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B67DB413-2DF5-4940-90F5-11B14401A233}"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T31" i="1"/>
  <c r="BT32"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T156" i="1"/>
  <c r="BT157" i="1"/>
  <c r="BF158" i="1"/>
  <c r="BT158" i="1"/>
  <c r="BF159" i="1"/>
  <c r="BT159" i="1"/>
  <c r="BF160" i="1"/>
  <c r="BT160" i="1"/>
  <c r="BF161" i="1"/>
  <c r="BT161" i="1"/>
  <c r="BF162" i="1"/>
  <c r="BT162" i="1"/>
  <c r="BF163" i="1"/>
  <c r="BT163"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T201" i="1"/>
  <c r="BF202" i="1"/>
  <c r="BT202" i="1"/>
  <c r="BF203" i="1"/>
  <c r="BT203" i="1"/>
  <c r="BF204" i="1"/>
  <c r="BT204" i="1"/>
  <c r="BT205" i="1"/>
  <c r="BF206" i="1"/>
  <c r="BT206" i="1"/>
  <c r="BT207" i="1"/>
  <c r="BF208" i="1"/>
  <c r="BT208" i="1"/>
  <c r="BF209" i="1"/>
  <c r="BT209" i="1"/>
  <c r="BT210" i="1"/>
  <c r="BT211" i="1"/>
  <c r="BF212" i="1"/>
  <c r="BT212" i="1"/>
  <c r="BT213" i="1"/>
  <c r="BF214" i="1"/>
  <c r="BT214" i="1"/>
  <c r="BF215" i="1"/>
  <c r="BT215" i="1"/>
  <c r="BT216" i="1"/>
  <c r="BF217" i="1"/>
  <c r="BT217" i="1"/>
  <c r="BF218" i="1"/>
  <c r="BT218" i="1"/>
  <c r="BF219" i="1"/>
  <c r="BT219" i="1"/>
  <c r="BF220" i="1"/>
  <c r="BT220"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T236" i="1"/>
  <c r="BT237" i="1"/>
  <c r="BT238" i="1"/>
  <c r="BT239" i="1"/>
  <c r="BT240" i="1"/>
  <c r="BT241" i="1"/>
  <c r="BT242"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T261" i="1"/>
  <c r="BF262" i="1"/>
  <c r="BT262" i="1"/>
  <c r="BF263" i="1"/>
  <c r="BT263" i="1"/>
  <c r="BF264" i="1"/>
  <c r="BT264" i="1"/>
  <c r="BF265" i="1"/>
  <c r="BT265" i="1"/>
  <c r="BT266" i="1"/>
  <c r="BT267" i="1"/>
  <c r="BF268" i="1"/>
  <c r="BT268" i="1"/>
  <c r="BF269" i="1"/>
  <c r="BT269" i="1"/>
  <c r="BF270" i="1"/>
  <c r="BT270" i="1"/>
  <c r="BF271" i="1"/>
  <c r="BT271" i="1"/>
  <c r="BF272" i="1"/>
  <c r="BT272" i="1"/>
  <c r="BF273" i="1"/>
  <c r="BT273" i="1"/>
  <c r="BT274" i="1"/>
  <c r="BT275" i="1"/>
  <c r="BT276" i="1"/>
  <c r="BT277" i="1"/>
  <c r="BT278" i="1"/>
  <c r="BT279" i="1"/>
  <c r="BT280" i="1"/>
  <c r="BT281"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T303"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T389" i="1"/>
  <c r="BT390"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T521" i="1"/>
  <c r="BT522" i="1"/>
  <c r="BT523" i="1"/>
  <c r="BT524" i="1"/>
  <c r="BF525" i="1"/>
  <c r="BT525" i="1"/>
  <c r="BF526" i="1"/>
  <c r="BT526" i="1"/>
  <c r="BF527" i="1"/>
  <c r="BT527" i="1"/>
  <c r="BF528" i="1"/>
  <c r="BT528" i="1"/>
  <c r="BT529" i="1"/>
  <c r="BT530" i="1"/>
  <c r="BT531" i="1"/>
  <c r="BF532" i="1"/>
  <c r="BT532" i="1"/>
  <c r="BF533" i="1"/>
  <c r="BT533" i="1"/>
  <c r="BF534" i="1"/>
  <c r="BT534"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T604"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T630" i="1"/>
  <c r="BT631"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T674" i="1"/>
  <c r="BT675" i="1"/>
  <c r="BF676" i="1"/>
  <c r="BT676" i="1"/>
  <c r="BF677" i="1"/>
  <c r="BT677" i="1"/>
  <c r="BT678" i="1"/>
  <c r="BT679" i="1"/>
  <c r="BF680" i="1"/>
  <c r="BT680" i="1"/>
  <c r="BF681" i="1"/>
  <c r="BT681" i="1"/>
  <c r="BF682" i="1"/>
  <c r="BT682" i="1"/>
  <c r="BF683" i="1"/>
  <c r="BT683" i="1"/>
  <c r="BF684" i="1"/>
  <c r="BT684" i="1"/>
  <c r="BF685" i="1"/>
  <c r="BT685" i="1"/>
  <c r="BF686" i="1"/>
  <c r="BT686" i="1"/>
  <c r="BF687" i="1"/>
  <c r="BT687" i="1"/>
  <c r="BF688" i="1"/>
  <c r="BT688"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T724"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T749" i="1"/>
  <c r="BF750" i="1"/>
  <c r="BT750" i="1"/>
  <c r="BF751" i="1"/>
  <c r="BT751"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T764" i="1"/>
  <c r="BT765" i="1"/>
  <c r="BT766" i="1"/>
  <c r="BT767" i="1"/>
  <c r="BT768" i="1"/>
  <c r="BF769" i="1"/>
  <c r="BT769" i="1"/>
  <c r="BT770" i="1"/>
  <c r="BF771" i="1"/>
  <c r="BT771" i="1"/>
  <c r="BF772" i="1"/>
  <c r="BT772" i="1"/>
  <c r="BF773" i="1"/>
  <c r="BT773" i="1"/>
  <c r="BF774" i="1"/>
  <c r="BT774" i="1"/>
  <c r="BF775" i="1"/>
  <c r="BT775" i="1"/>
  <c r="BF776" i="1"/>
  <c r="BT776" i="1"/>
  <c r="BF777" i="1"/>
  <c r="BT777" i="1"/>
  <c r="BF778" i="1"/>
  <c r="BT778" i="1"/>
  <c r="BF779" i="1"/>
  <c r="BT779" i="1"/>
  <c r="BF780" i="1"/>
  <c r="BT780" i="1"/>
  <c r="BT781" i="1"/>
  <c r="BF782" i="1"/>
  <c r="BT782" i="1"/>
  <c r="BT783" i="1"/>
  <c r="BT784" i="1"/>
  <c r="BT785" i="1"/>
  <c r="BF786" i="1"/>
  <c r="BT786" i="1"/>
  <c r="BF787" i="1"/>
  <c r="BT787" i="1"/>
  <c r="BF788" i="1"/>
  <c r="BT788" i="1"/>
  <c r="BF789" i="1"/>
  <c r="BT789" i="1"/>
  <c r="BF790" i="1"/>
  <c r="BT790" i="1"/>
  <c r="BT791" i="1"/>
  <c r="BF792" i="1"/>
  <c r="BT792" i="1"/>
  <c r="BF793" i="1"/>
  <c r="BT793" i="1"/>
  <c r="BF794" i="1"/>
  <c r="BT794" i="1"/>
  <c r="BF795" i="1"/>
  <c r="BT795" i="1"/>
  <c r="BF796" i="1"/>
  <c r="BT796" i="1"/>
  <c r="BF797" i="1"/>
  <c r="BT797" i="1"/>
  <c r="BF798" i="1"/>
  <c r="BT798" i="1"/>
  <c r="BT799" i="1"/>
  <c r="BT800" i="1"/>
  <c r="BF801" i="1"/>
  <c r="BT801" i="1"/>
  <c r="BT802" i="1"/>
  <c r="BT803" i="1"/>
  <c r="BF804" i="1"/>
  <c r="BT804" i="1"/>
  <c r="BF805" i="1"/>
  <c r="BT805" i="1"/>
  <c r="BF806" i="1"/>
  <c r="BT806" i="1"/>
  <c r="BF807" i="1"/>
  <c r="BT807"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T980" i="1"/>
  <c r="BF981" i="1"/>
  <c r="BT981" i="1"/>
  <c r="BF982" i="1"/>
  <c r="BT982" i="1"/>
  <c r="BF983" i="1"/>
  <c r="BT983" i="1"/>
  <c r="BF984" i="1"/>
  <c r="BT984" i="1"/>
  <c r="BF985" i="1"/>
  <c r="BT985" i="1"/>
  <c r="BF986" i="1"/>
  <c r="BT986" i="1"/>
  <c r="BF987" i="1"/>
  <c r="BT987" i="1"/>
  <c r="BF988" i="1"/>
  <c r="BT988" i="1"/>
  <c r="BF989" i="1"/>
  <c r="BT989"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<sst xmlns="http://schemas.openxmlformats.org/spreadsheetml/2006/main" count="59607" uniqueCount="18237">
  <si>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</si>
  <si>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</si>
  <si>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</si>
  <si>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</si>
  <si>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</si>
  <si>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</si>
  <si>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</si>
  <si>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</si>
  <si>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</si>
  <si>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</si>
  <si>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</si>
  <si>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</si>
  <si>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</si>
  <si>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</si>
  <si>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</si>
  <si>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</si>
  <si>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</si>
  <si>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</si>
  <si>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</si>
  <si>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</si>
  <si>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</si>
  <si>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</si>
  <si>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</si>
  <si>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</si>
  <si>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</si>
  <si>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</si>
  <si>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</si>
  <si>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</si>
  <si>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</si>
  <si>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</si>
  <si>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</si>
  <si>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</si>
  <si>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</si>
  <si>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</si>
  <si>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</si>
  <si>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</si>
  <si>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</si>
  <si>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</si>
  <si>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</si>
  <si>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</si>
  <si>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</si>
  <si>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</si>
  <si>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</si>
  <si>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</si>
  <si>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</si>
  <si>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</si>
  <si>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</si>
  <si>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</si>
  <si>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</si>
  <si>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</si>
  <si>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</si>
  <si>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</si>
  <si>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</si>
  <si>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</si>
  <si>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</si>
  <si>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</si>
  <si>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</si>
  <si>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</si>
  <si>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</si>
  <si>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</si>
  <si>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</si>
  <si>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</si>
  <si>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</si>
  <si>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</si>
  <si>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</si>
  <si>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</si>
  <si>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</si>
  <si>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</si>
  <si>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</si>
  <si>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</si>
  <si>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</si>
  <si>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</si>
  <si>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</si>
  <si>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Shupe, MD; Turner, DD; Walden, VP; Bennartz, R; Cadeddu, MP; Castellani, BB; Cox, CJ; Hudak, DR; Kulie, MS; Miller, NB; Neely, RR; Neff, WD; Rowe, PM</t>
  </si>
  <si>
    <t/>
  </si>
  <si>
    <t>Shupe, Matthew D.; Turner, David D.; Walden, Von P.; Bennartz, Ralf; Cadeddu, Maria P.; Castellani, Benjamin B.; Cox, Christopher J.; Hudak, David R.; Kulie, Mark S.; Miller, Nathaniel B.; Neely, Ryan R., III; Neff, William D.; Rowe, Penny M.</t>
  </si>
  <si>
    <t>HIGH AND DRY New Observations of Tropospheric and Cloud Properties above the Greenland Ice Sheet</t>
  </si>
  <si>
    <t>BULLETIN OF THE AMERICAN METEOROLOGICAL SOCIETY</t>
  </si>
  <si>
    <t>English</t>
  </si>
  <si>
    <t>Article</t>
  </si>
  <si>
    <t>LIQUID WATER PATH; BOUNDARY-LAYER; PART I; ARCTIC CLOUD; PHASE DETERMINATION; RADAR OBSERVATIONS; SNOW ACCUMULATION; ANTARCTIC PLATEAU; LIDAR; CLIMATE</t>
  </si>
  <si>
    <t>HIGH AND DRY: NEW OBSERVATIONS OF TROPOSPHERIC AND CLOUD PROPERTIES ABOVE THE GREENLAND ICE SHEET Cloud and atmospheric properties strongly influence the mass and energy budgets of the Greenland Ice Sheet (GIS). To address critical gaps in the understanding of these systems, a new suite of cloud- and atmosphere-observing instruments has been installed on the central GIS as part of the Integrated Characterization of Energy, Clouds, Atmospheric State, and Precipitation at Summit (ICECAPS) project. During the first 20 months in operation, this complementary suite of active and passive ground-based sensors and radiosondes has provided new and unique perspectives on important cloud-atmosphere properties. High atop the GIS, the atmosphere is extremely dry and cold with strong near-surface static stability predominating throughout the year, particularly in winter. This low-level thermodynamic structure, coupled with frequent moisture inversions, conveys the importance of advection for local cloud and precipitation formation. Cloud liquid water is observed in all months of the year, even the particularly cold and dry winter, while annual cycle observations indicate that the largest atmospheric moisture amounts, cloud water contents, and snowfall occur in summer and under southwesterly flow. Many of the basic structural properties of clouds observed at Summit, Greenland, particularly for low-level stratiform clouds, are similar to their counterparts in Other Arctic regions. The ICECAPS observations and accompanying analyses will be used to improve the under-standing of key cloud-atmosphere processes and the manner in which they interact with the GIS. Furthermore, they will facilitate model evaluation and development in this data-sparse but environmentally unique region. (Page 169)</t>
  </si>
  <si>
    <t>[Shupe, Matthew D.; Castellani, Benjamin B.; Neely, Ryan R., III] Univ Colorado, Cooperat Inst Res Environm Sci, Boulder, CO 80309 USA; [Shupe, Matthew D.; Castellani, Benjamin B.; Neely, Ryan R., III; Neff, William D.] NOAA, Earth Syst Res Lab, Boulder, CO USA; [Turner, David D.] NOAA, Natl Severe Storms Lab, Norman, OK 73069 USA; [Walden, Von P.; Cox, Christopher J.; Rowe, Penny M.] Univ Idaho, Moscow, ID 83843 USA; [Bennartz, Ralf; Kulie, Mark S.; Miller, Nathaniel B.] Univ Wisconsin, Madison, WI 53706 USA; [Cadeddu, Maria P.] Argonne Natl Lab, Argonne, IL 60439 USA; [Hudak, David R.] Environm Canada, King City, ON, Canada</t>
  </si>
  <si>
    <t>University of Colorado System; University of Colorado Boulder; National Oceanic Atmospheric Admin (NOAA) - USA; National Oceanic Atmospheric Admin (NOAA) - USA; Idaho; University of Idaho; University of Wisconsin System; University of Wisconsin Madison; United States Department of Energy (DOE); Argonne National Laboratory; Environment &amp; Climate Change Canada</t>
  </si>
  <si>
    <t>Shupe, MD (corresponding author), R PSD3,325 Broadway, Boulder, CO 80305 USA.</t>
  </si>
  <si>
    <t>matthew.shupe@noaa.gov</t>
  </si>
  <si>
    <t>Bennartz, Ralf/F-3760-2010; Cox, Christopher/O-4276-2016; Neff, William D/E-2725-2010; SHUPE, MATTHEW/F-8754-2011; Turner, David/E-5180-2016; Kulie, Mark/C-3289-2011; Neely III, Ryan R./F-8702-2010</t>
  </si>
  <si>
    <t>Cox, Christopher/0000-0003-2203-7173; Neff, William D/0000-0003-4047-7076; Bennartz, Ralf/0000-0001-7133-9659; SHUPE, MATTHEW/0000-0002-0973-9982; Turner, David/0000-0003-1097-897X; Kulie, Mark/0000-0003-1400-1007; Neely III, Ryan R./0000-0003-4560-4812</t>
  </si>
  <si>
    <t>U.S. National Science Foundation, Arctic Observing Network (AON) program [ARC-0856773, 0904152, 0856559]; U.S. Department of Energy, Office of Science [DE-AC02-06CH11357]; Directorate For Geosciences; Office of Polar Programs (OPP) [1304692, 1414314, 0856773, 1303879] Funding Source: National Science Foundation; Directorate For Geosciences; Office of Polar Programs (OPP) [1314156, 0904152] Funding Source: National Science Foundation; Division Of Polar Programs; Directorate For Geosciences [0856559] Funding Source: National Science Foundation</t>
  </si>
  <si>
    <t>U.S. National Science Foundation, Arctic Observing Network (AON) program(National Science Foundation (NSF)); U.S. Department of Energy, Office of Science(United States Department of Energy (DOE)); Directorate For Geosciences; Office of Polar Programs (OPP)(National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t>
  </si>
  <si>
    <t>ICECAPS is supported by the U.S. National Science Foundation under Grants ARC-0856773, 0904152, and 0856559 as part of the Arctic Observing Network (AON) program. Argonne National Laboratory's work was supported by the U.S. Department of Energy, Office of Science, under contract DE-AC02-06CH11357. Additional instrumentation support is provided by the NOAA Earth System Research Laboratory (ESRL), U.S. Department of Energy ARM Program, and Environment Canada. Low-level wind and pressure measurements were obtained from the NOAA ESRL Global Monitoring Division. Model analyses were provided by Richard Forbes at the ECMWF. We appreciate the tremendous contributions from an extensive team who have facilitated field operations, installations, instrument maintenance, and other support, including Scott Abbott, Catherine Alvarez, Raul Alvarez, Steven Bradley, Rich Coulter, Thomas Cox, Bradley Halter, Michael Hardesty, Matthew Hayman, Duane Hazen, Richard Marchbanks, Timothy Martin, Aronne Merrelli, Ken Moran, Matthew Okrazewski, Erik Olson, Micheal O'Neill, Claire Pettersen, Peter Rodriguez, Lance Roth, Scott Sandberg, Robert Stillwell, and Jeffery Thayer. ICECAPS is made possible by excellent logistical support provided by Polar Field Services; including its team of remote and on-site personnel led by Katrine Gorham; and by the Summit Science Coordination Office led by John Burkhart and Jack Dibb.</t>
  </si>
  <si>
    <t>AMER METEOROLOGICAL SOC</t>
  </si>
  <si>
    <t>BOSTON</t>
  </si>
  <si>
    <t>45 BEACON ST, BOSTON, MA 02108-3693 USA</t>
  </si>
  <si>
    <t>0003-0007</t>
  </si>
  <si>
    <t>1520-0477</t>
  </si>
  <si>
    <t>B AM METEOROL SOC</t>
  </si>
  <si>
    <t>Bull. Amer. Meteorol. Soc.</t>
  </si>
  <si>
    <t>FEB</t>
  </si>
  <si>
    <t>+</t>
  </si>
  <si>
    <t>10.1175/BAMS-D-11-00249.1</t>
  </si>
  <si>
    <t>Meteorology &amp; Atmospheric Sciences</t>
  </si>
  <si>
    <t>Science Citation Index Expanded (SCI-EXPANDED)</t>
  </si>
  <si>
    <t>103PY</t>
  </si>
  <si>
    <t>hybrid</t>
  </si>
  <si>
    <t>2024-04-21</t>
  </si>
  <si>
    <t>WOS:000315932500008</t>
  </si>
  <si>
    <t>Jana, PK; Saha, DK; Sarkar, D</t>
  </si>
  <si>
    <t>Jana, P. K.; Saha, D. K.; Sarkar, D.</t>
  </si>
  <si>
    <t>Contribution of some ozone depleting substances (ODS) and greenhouse gases (GHGs) on total column ozone growth at Srinagar (34°N, 74.8°E), India</t>
  </si>
  <si>
    <t>JOURNAL OF EARTH SYSTEM SCIENCE</t>
  </si>
  <si>
    <t>Ozone depleting substances; ozone decline; ozone destruction and formation processes; Srinagar</t>
  </si>
  <si>
    <t>NIGHT AIRGLOW INTENSITY; ATMOSPHERIC METHYL-BROMIDE; HALLEY BAY 76-DEGREES-S; NITROUS-OXIDE; TROPOSPHERIC METHANE; ANTARCTIC OZONE; CLIMATE; INCREASE; DECLINE; TRENDS</t>
  </si>
  <si>
    <t>A critical analysis has been made on the contribution of CFC-11, CFC-12, CFC-113, CH3Cl, CH3Br, CCl4, CH3CCl3, HCFCs, halons, WMO (World Meteorological Organization) minor constituents, CH4, N2O and water vapour to the variation of total column ozone (TCO) concentration at the station in Srinagar (34 degrees N, 74.8 degrees E), India from 1992 to 2003. With the implementation of Montreal Protocol, though the concentrations of CFC-11, CFC-113, CH3Cl, CH3Br, CCl4 and CH3CCl3 had decreased, the concentrations of CFC-12, HCFCs, halons, WMO minor constituents, CH4, N2O and water vapour had increased, as a result of which TCO had risen from 1992 to 2003 at the above station. The nature of yearly variations of concentrations of the above ozone depleting substances and greenhouse gases as well as ozone has been presented. Possible explanations for build-up of TCO have also been offered.</t>
  </si>
  <si>
    <t>[Jana, P. K.] Inst Educ PG Women, Dept Chem, Chandernagore 712138, Hooghly, India; [Saha, D. K.] Dinabandhu Mahavidyalaya, Dept Chem, Bangaon 743235, Parganas, India; [Sarkar, D.] Howrah Zilla Sch, Dept Chem, Howrah 711101, India</t>
  </si>
  <si>
    <t>Jana, PK (corresponding author), Inst Educ PG Women, Dept Chem, Chandernagore 712138, Hooghly, India.</t>
  </si>
  <si>
    <t>pkjjngl@yahoo.co.in</t>
  </si>
  <si>
    <t>INDIAN ACAD SCIENCES</t>
  </si>
  <si>
    <t>BANGALORE</t>
  </si>
  <si>
    <t>C V RAMAN AVENUE, SADASHIVANAGAR, P B #8005, BANGALORE 560 080, INDIA</t>
  </si>
  <si>
    <t>2347-4327</t>
  </si>
  <si>
    <t>0973-774X</t>
  </si>
  <si>
    <t>J EARTH SYST SCI</t>
  </si>
  <si>
    <t>J. Earth Syst. Sci.</t>
  </si>
  <si>
    <t>10.1007/s12040-012-0246-y</t>
  </si>
  <si>
    <t>Geosciences, Multidisciplinary; Multidisciplinary Sciences</t>
  </si>
  <si>
    <t>Geology; Science &amp; Technology - Other Topics</t>
  </si>
  <si>
    <t>099FB</t>
  </si>
  <si>
    <t>Bronze</t>
  </si>
  <si>
    <t>WOS:000315605600020</t>
  </si>
  <si>
    <t>Garenne, A; Montes-Hernandez, G; Beck, P; Schmitt, B; Brissaud, O; Pommerol, A</t>
  </si>
  <si>
    <t>Garenne, A.; Montes-Hernandez, G.; Beck, P.; Schmitt, B.; Brissaud, O.; Pommerol, A.</t>
  </si>
  <si>
    <t>Gas-solid carbonation as a possible source of carbonates in cold planetary environments</t>
  </si>
  <si>
    <t>PLANETARY AND SPACE SCIENCE</t>
  </si>
  <si>
    <t>Carbonates; Gas-solid carbonation; Mars; Low temperature; Infrared microscopy; Ca and Mg hydroxides</t>
  </si>
  <si>
    <t>WATER-VAPOR; SURFACE-COMPOSITION; CO2 CHEMISORPTION; NANOSIZED CALCITE; MINERAL FORMATION; MARS; SORPTION; IDENTIFICATION; GROWTH; STABILITY</t>
  </si>
  <si>
    <t>Carbonates are abundant sedimentary minerals at the surface and sub-surface of the Earth and they have been proposed as tracers of liquid water in extraterrestrial environments. Their formation mechanism is since generally associated with aqueous alteration processes. Recently, carbonate minerals have been discovered on Mars' surface by different orbitals or rover missions. In particular, the phoenix mission has measured from 1% to 5% of calcium carbonate (calcite type) within the soil (Smith et al., 2009). These occurrences have been reported in area where the relative humidity is significantly high (Boynton et al., 2009). The small concentration of carbonates suggests an alternative process on mineral grain surfaces (as suggested by Shaheen et al., 2010) than carbonation in aqueous conditions. Such an observation could rather point toward a possible formation mechanism by dust-gas reaction under current Martian conditions. To understand the mechanism of carbonate formation under conditions relevant to current Martian atmosphere and surface, we designed an experimental setup consisting of an infrared microscope coupled to a cryogenic reaction cell (IR-CryoCell setup). Three different mineral precursors of carbonates (Ca and Mg hydroxides, and a hydrated Ca silicate formed from Ca2SiO4), low temperature (from -10 to +30 degrees C), and reduced CO2 pressure (from 100 to 2000 mbar) were utilized to investigate the mechanism of gas-solid carbonation at mineral surfaces. These mineral materials are crucial precursors to form Ca and Mg carbonates in humid environments (0% &lt; relative humidity &lt;100%) at dust-CO2 or dust-water ice-CO2 interfaces. Our results reveal a significant and fast carbonation process for Ca hydroxide and hydrated Ca silicate. Conversely, only a moderate carbonation is observed for the Mg hydroxide. These results suggest that gas-solid carbonation process or carbonate formation at the dust-water ice-CO2 interfaces could be a currently active Mars' surface process. To the best of our knowledge, we report for the first time that calcium carbonate can be formed at a negative temperature (10 degrees C) via gas-solid carbonation of Ca hydroxide. We note that the carbonation process at low temperature (&lt;0 degrees C) described in the present study could also have important implications on the dust-water ice-CO2 interactions in cold terrestrial environments (e.g. Antarctic). (C) 2012 Elsevier Ltd. All rights reserved.</t>
  </si>
  <si>
    <t>[Montes-Hernandez, G.] Univ Grenoble 1, ISTerre UMR 5275, OSUG INSU, F-38041 Grenoble 9, France; [Garenne, A.; Montes-Hernandez, G.; Beck, P.; Schmitt, B.; Brissaud, O.] CNRS, F-38041 Grenoble 9, France; [Garenne, A.; Beck, P.; Schmitt, B.; Brissaud, O.] Univ Grenoble 1, IPAG, OSUG INSU, F-38041 Grenoble 9, France; [Pommerol, A.] Univ Bern, Inst Phys, CH-3012 Bern, Switzerland</t>
  </si>
  <si>
    <t>Communaute Universite Grenoble Alpes; Universite Grenoble Alpes (UGA); Centre National de la Recherche Scientifique (CNRS); Universite Gustave-Eiffel; Laboratoire Central des Ponts et Chaussees (LCPC); Communaute Universite Grenoble Alpes; Institut National Polytechnique de Grenoble; Universite Grenoble Alpes (UGA); Centre National de la Recherche Scientifique (CNRS); Institut de Recherche pour le Developpement (IRD); Universite Savoie Mont Blanc; Institut de Planetologie et d'Astrophysique de Grenoble (IPAG); University of Bern</t>
  </si>
  <si>
    <t>Garenne, A (corresponding author), CNRS, BP 53, F-38041 Grenoble 9, France.</t>
  </si>
  <si>
    <t>alexandre.garenne@ujf-grenoble.fr; german.montes-hernandez@obs.ujf-grenoble.fr</t>
  </si>
  <si>
    <t>Montes-Hernandez, German/C-5570-2009; Beck, Pierre/F-3149-2011; Schmitt, Bernard/A-1064-2009</t>
  </si>
  <si>
    <t>Schmitt, Bernard/0000-0002-1230-6627; Pommerol, Antoine/0000-0002-9165-9243</t>
  </si>
  <si>
    <t>French National Center for Scientific Research (CNRS); French National Research Agency (ANR); University Joseph Fourier (UJF) in Grenoble</t>
  </si>
  <si>
    <t>French National Center for Scientific Research (CNRS)(Centre National de la Recherche Scientifique (CNRS)); French National Research Agency (ANR)(Agence Nationale de la Recherche (ANR)Norwegian Agency for Development Cooperation - NORAD); University Joseph Fourier (UJF) in Grenoble</t>
  </si>
  <si>
    <t>The authors are grateful to the French National Center for Scientific Research (CNRS), the French National Research Agency (ANR) and University Joseph Fourier (UJF) in Grenoble for providing the financial support.</t>
  </si>
  <si>
    <t>PERGAMON-ELSEVIER SCIENCE LTD</t>
  </si>
  <si>
    <t>OXFORD</t>
  </si>
  <si>
    <t>THE BOULEVARD, LANGFORD LANE, KIDLINGTON, OXFORD OX5 1GB, ENGLAND</t>
  </si>
  <si>
    <t>0032-0633</t>
  </si>
  <si>
    <t>PLANET SPACE SCI</t>
  </si>
  <si>
    <t>Planet Space Sci.</t>
  </si>
  <si>
    <t>10.1016/j.pss.2012.11.005</t>
  </si>
  <si>
    <t>Astronomy &amp; Astrophysics</t>
  </si>
  <si>
    <t>102FW</t>
  </si>
  <si>
    <t>Green Submitted</t>
  </si>
  <si>
    <t>WOS:000315831300003</t>
  </si>
  <si>
    <t>Agee, E; Orton, A; Rogers, J</t>
  </si>
  <si>
    <t>Agee, Ernest; Orton, Andrea; Rogers, John</t>
  </si>
  <si>
    <t>CO2 Snow Deposition in Antarctica to Curtail Anthropogenic Global Warming</t>
  </si>
  <si>
    <t>JOURNAL OF APPLIED METEOROLOGY AND CLIMATOLOGY</t>
  </si>
  <si>
    <t>A scientific plan is presented that proposes the construction of carbon dioxide (CO2) deposition plants in the Antarctic for removing CO2 gas from Earth's atmosphere. The Antarctic continent offers the best environment on Earth for CO2 deposition at 1 bar of pressure and temperatures closest to that required for terrestrial air CO2 snow deposition-133 K. This plan consists of several components, including 1) air chemistry and CO2 snow deposition, 2) the deposition plant and a closed-loop liquid nitrogen refrigeration cycle, 3) the mass storage landfill, 4) power plant requirements, 5) prevention of dry ice sublimation, and 6) disposal (or use) of thermal waste. Calculations demonstrate that this project is worthy of consideration, whereby 446 deposition plants supported by sixteen 1200-MW wind farms can remove 1 billion tons (10(12) kg) of carbon (1 GtC) annually (a reduction of 0.5 ppmv), which can be stored in an equivalent landfill volume of 2 km X 2 km X 160 m(insulated to prevent dry ice sublimation). The individual deposition plant, with a 100 m X 100 m X 100 m refrigeration chamber, would produce approximately 0.4 m of CO2 snow per day. The solid CO2 would be excavated into a 380 m X 380 m X 10 m insulated landfill, which would allow 1 yr of storage amounting to 2.24 X 10(-3) GtC. Demonstrated success of a prototype system in the Antarctic would be followed by a complete installation of all 446 plants for CO2 snow deposition and storage (amounting to 1 billion tons annually), with wind farms positioned in favorable coastal regions with katabatic wind currents.</t>
  </si>
  <si>
    <t>[Agee, Ernest; Orton, Andrea; Rogers, John] Purdue Univ, Dept Earth &amp; Atmospher Sci, W Lafayette, IN 47907 USA</t>
  </si>
  <si>
    <t>Purdue University System; Purdue University</t>
  </si>
  <si>
    <t>Agee, E (corresponding author), Purdue Univ, Dept Earth &amp; Atmospher Sci, 550 Stadium Mall Dr, W Lafayette, IN 47907 USA.</t>
  </si>
  <si>
    <t>eagee@purdue.edu</t>
  </si>
  <si>
    <t>Div Atmospheric &amp; Geospace Sciences; Directorate For Geosciences [1050588] Funding Source: National Science Foundation</t>
  </si>
  <si>
    <t>Div Atmospheric &amp; Geospace Sciences; Directorate For Geosciences(National Science Foundation (NSF)NSF - Directorate for Geosciences (GEO))</t>
  </si>
  <si>
    <t>1558-8424</t>
  </si>
  <si>
    <t>1558-8432</t>
  </si>
  <si>
    <t>J APPL METEOROL CLIM</t>
  </si>
  <si>
    <t>J. Appl. Meteorol. Climatol.</t>
  </si>
  <si>
    <t>10.1175/JAMC-D-12-0110.1</t>
  </si>
  <si>
    <t>097JO</t>
  </si>
  <si>
    <t>WOS:000315470000001</t>
  </si>
  <si>
    <t>Ummenhofer, CC; Schwarzkopf, FU; Meyers, G; Behrens, E; Biastoch, A; Böning, CW</t>
  </si>
  <si>
    <t>Ummenhofer, Caroline C.; Schwarzkopf, Franziska U.; Meyers, Gary; Behrens, Erik; Biastoch, Arne; Boening, Claus W.</t>
  </si>
  <si>
    <t>Pacific Ocean Contribution to the Asymmetry in Eastern Indian Ocean Variability</t>
  </si>
  <si>
    <t>JOURNAL OF CLIMATE</t>
  </si>
  <si>
    <t>EL-NINO; INDONESIAN THROUGHFLOW; TEMPERATURE ANOMALIES; DIPOLE; RAINFALL; ENSO; EVENTS; MODE</t>
  </si>
  <si>
    <t>Variations in eastern Indian Ocean upper-ocean thermal properties are assessed for the period 1970-2004, with a particular focus on asymmetric features related to opposite phases of Indian Ocean dipole events, using high-resolution ocean model hindcasts. Sensitivity experiments, where interannual atmospheric forcing variability is restricted to the Indian or Pacific Ocean only, support the interpretation of forcing mechanisms for large-scale asymmetric behavior in eastern Indian Ocean variability. Years are classified according to eastern Indian Ocean subsurface heat content (HC) as proxy of thermocline variations. Years characterized by an anomalous low HC feature a zonal gradient in upper-ocean properties near the equator, while high events have a meridional gradient from the tropics into the subtropics. The spatial and temporal characteristics of the seasonal evolution of HC anomalies for the two cases is distinct, as is the relative contribution from Indian Ocean atmospheric forcing versus remote influences from Pacific wind forcing: low events develop rapidly during austral winter/spring in response to Indian Ocean wind forcing associated with an enhanced southeasterly monsoon driving coastal upwelling and a shoaling thermocline in the east; in contrast, formation of an anomalous high eastern Indian Ocean HC is more gradual, with anomalies earlier in the year expanding from the Indonesian Throughflow(ITF) region, initiated by remote Pacific wind forcing, and transmitted through the ITF via coastal wave dynamics. Implications for seasonal predictions arise with high HC events offering extended lead times for predicting thermocline variations and upper-ocean properties across the eastern Indian Ocean.</t>
  </si>
  <si>
    <t>[Ummenhofer, Caroline C.] Univ New S Wales, Climate Change Res Ctr, Sydney, NSW 2052, Australia; [Schwarzkopf, Franziska U.; Behrens, Erik; Biastoch, Arne; Boening, Claus W.] GEOMAR Helmholtz Ctr Ocean Res Kiel, Kiel, Germany; [Meyers, Gary] Univ Tasmania, CSIRO Marine &amp; Atmospher Res, Hobart, Tas, Australia; [Meyers, Gary] Univ Tasmania, Inst Marine &amp; Antarctic Res, Hobart, Tas, Australia</t>
  </si>
  <si>
    <t>University of New South Wales Sydney; Helmholtz Association; GEOMAR Helmholtz Center for Ocean Research Kiel; Commonwealth Scientific &amp; Industrial Research Organisation (CSIRO); University of Tasmania; University of Tasmania</t>
  </si>
  <si>
    <t>Ummenhofer, CC (corresponding author), Univ New S Wales, Climate Change Res Ctr, Sydney, NSW 2052, Australia.</t>
  </si>
  <si>
    <t>cummenhofer@whoi.edu</t>
  </si>
  <si>
    <t>Biastoch, Arne/B-5219-2014; Boening, Claus W./B-1686-2012; Schwarzkopf, Franziska/P-7621-2019; Behrens, Erik/B-9631-2013; Boening, Claus W/HIR-8996-2022; Boening, Claus/AAW-6387-2020</t>
  </si>
  <si>
    <t>Biastoch, Arne/0000-0003-3946-4390; Boening, Claus W./0000-0002-6251-5777; Schwarzkopf, Franziska/0000-0002-2747-8456; Boening, Claus W/0000-0002-6251-5777; Boening, Claus/0000-0002-6251-5777</t>
  </si>
  <si>
    <t>Cnes; research cluster of excellence The Future Ocean, IFM-GEOMAR, Kiel, Germany; Australia-Germany Researcher Mobility Call by the Australian Academy of Science; DFG [SFB754]</t>
  </si>
  <si>
    <t>Cnes(Centre National D'etudes Spatiales); research cluster of excellence The Future Ocean, IFM-GEOMAR, Kiel, Germany; Australia-Germany Researcher Mobility Call by the Australian Academy of Science; DFG(German Research Foundation (DFG))</t>
  </si>
  <si>
    <t>We are grateful for the following observational products: HadISST from the Met Office and the altimeter products were produced by Ssalto/Duacs and distributed by Aviso, with support from Cnes (http://www.aviso.oceanobs.com/duacs/). The integration of the experiments has been performed at the North-German Supercomputing Alliance (HLRN) and the Computing Centre at Kiel University. CCU gratefully acknowledges financial support by the research cluster of excellence The Future Ocean, IFM-GEOMAR, Kiel, Germany, and the Australia-Germany Researcher Mobility Call by the Australian Academy of Science. FUS was supported by the DFG through SFB754 (http://www.sfb754.de). Helpful discussions with J. McCreary, University of Hawaii, are gratefully acknowledged. An earlier version of the manuscript benefitted from comments by three anonymous reviewers.</t>
  </si>
  <si>
    <t>0894-8755</t>
  </si>
  <si>
    <t>1520-0442</t>
  </si>
  <si>
    <t>J CLIMATE</t>
  </si>
  <si>
    <t>J. Clim.</t>
  </si>
  <si>
    <t>10.1175/JCLI-D-11-00673.1</t>
  </si>
  <si>
    <t>097IH</t>
  </si>
  <si>
    <t>Green Accepted, Bronze</t>
  </si>
  <si>
    <t>WOS:000315466700004</t>
  </si>
  <si>
    <t>Grossmann, MM; Lindsay, DJ; Fuentes, V</t>
  </si>
  <si>
    <t>Grossmann, Mary M.; Lindsay, Dhugal J.; Fuentes, Veronica</t>
  </si>
  <si>
    <t>A redescription of the post-larval physonect siphonophore stage known as Mica micula Margulis 1982, from Antarctica, with notes on its distribution and identity</t>
  </si>
  <si>
    <t>MARINE ECOLOGY-AN EVOLUTIONARY PERSPECTIVE</t>
  </si>
  <si>
    <t>Antarctic; Collaborative East-Antarctic MARine Census; Mica micula; post-larval stage; Pyrostephidae</t>
  </si>
  <si>
    <t>EASTERN WEDDELL SEA; VERTICAL-DISTRIBUTION; ABUNDANCE; HYDROZOA; MEDUSAE</t>
  </si>
  <si>
    <t>The samples obtained during the 2008 Collaborative East-Antarctic MARine Census (CEAMARC) campaign in the Southern Ocean on the TR/V Umitaka Maru contained many specimens of the physonect post-larval stage known as Mica micula, in varying stages of development, allowing us to complement the existing descriptions. M. micula appears to be endemic to the Southern Ocean, and its possible position in the family Pyrostephidae, in particular the species Pyrostephos vanhoeffeni, is discussed. For the first time, the definitive nectophores were observed, but they were still too underdeveloped to be assigned conclusively to any known physonect species.</t>
  </si>
  <si>
    <t>[Grossmann, Mary M.] Yokohama City Univ, Yokohama, Kanagawa 232, Japan; [Grossmann, Mary M.; Lindsay, Dhugal J.] Japan Agcy Marine Earth Sci &amp; Technol JAMSTEC, Yokosuka, Kanagawa 2370061, Japan; [Fuentes, Veronica] CSIC, Inst Ciencies Mar, Barcelona, Spain</t>
  </si>
  <si>
    <t>Yokohama City University; Japan Agency for Marine-Earth Science &amp; Technology (JAMSTEC); Consejo Superior de Investigaciones Cientificas (CSIC); CSIC - Centro Mediterraneo de Investigaciones Marinas y Ambientales (CMIMA); CSIC - Instituto de Ciencias del Mar (ICM)</t>
  </si>
  <si>
    <t>Lindsay, DJ (corresponding author), Japan Agcy Marine Earth Sci &amp; Technol JAMSTEC, 2-15 Natsushima Cho, Yokosuka, Kanagawa 2370061, Japan.</t>
  </si>
  <si>
    <t>dhugal@jamstec.go.jp</t>
  </si>
  <si>
    <t>Fuentes, Verónica L/K-7589-2014; Grossmann, Mary/G-3445-2013</t>
  </si>
  <si>
    <t>Fuentes, Verónica L/0000-0002-6380-0174; Grossmann, Mary/0000-0002-6800-6092</t>
  </si>
  <si>
    <t>JSPS KAKENHI [24248032]; CONISMA, the Italian National Interuniversity Consortium for Marine Sciences</t>
  </si>
  <si>
    <t>JSPS KAKENHI(Ministry of Education, Culture, Sports, Science and Technology, Japan (MEXT)Japan Society for the Promotion of ScienceGrants-in-Aid for Scientific Research (KAKENHI)); CONISMA, the Italian National Interuniversity Consortium for Marine Sciences</t>
  </si>
  <si>
    <t>This study is a contribution to the Census of Marine Zooplankton (CMarZ) and the Census of Antarctic Marine Life (CAML), ocean realm field projects of the Census of Marine Life (CoML). This work was partially funded by JSPS KAKENHI, grant number 24248032.; The publication of this paper is supported by CONISMA, the Italian National Interuniversity Consortium for Marine Sciences.</t>
  </si>
  <si>
    <t>WILEY-BLACKWELL</t>
  </si>
  <si>
    <t>HOBOKEN</t>
  </si>
  <si>
    <t>111 RIVER ST, HOBOKEN 07030-5774, NJ USA</t>
  </si>
  <si>
    <t>0173-9565</t>
  </si>
  <si>
    <t>1439-0485</t>
  </si>
  <si>
    <t>MAR ECOL-EVOL PERSP</t>
  </si>
  <si>
    <t>Mar. Ecol.-Evol. Persp.</t>
  </si>
  <si>
    <t>SI</t>
  </si>
  <si>
    <t>10.1111/maec.12026</t>
  </si>
  <si>
    <t>Marine &amp; Freshwater Biology</t>
  </si>
  <si>
    <t>096HV</t>
  </si>
  <si>
    <t>WOS:000315395700007</t>
  </si>
  <si>
    <t>Cantero, ALP</t>
  </si>
  <si>
    <t>Pena Cantero, Alvaro Luis</t>
  </si>
  <si>
    <t>Benthic hydroids from off Low Island (Southern Ocean, Antarctica)</t>
  </si>
  <si>
    <t>Biodiversity; biogeography; ecology; Hydrozoa; new species</t>
  </si>
  <si>
    <t>SYMPLECTOSCYPHUS MARKTANNER-TURNERETSCHER; BRANSFIELD STRAIT ANTARCTICA; SCHIZOTRICHA ALLMAN; OSWALDELLA STECHOW; CNIDARIA HYDROZOA; R.V. POLARSTERN; EXPEDITIONS; SERTULARIIDAE; GENUS; HALOPTERIDIDAE</t>
  </si>
  <si>
    <t>A survey of marine benthic community biodiversity off Low Island (Southern Ocean) was carried out by the Spanish Antarctic Expedition Bentart 2006, using the BIO Hesperides. Samples from the expedition included an important collection of hydroids. A total of 39 species was recorded, two of them being new to science (Eudendrium bentart sp. nov., and Orthopyxis curiosa sp. nov.), belonging to the subclasses Anthoathecata and Leptothecata. Anthoathecates are represented by only two species, both referable to the genus Eudendrium. The 37 leptothecate species belong to the families Campanulinidae, Lafoeidae, Haleciidae, Schizotrichidae, Kirchenpaueriidae, Sertulariidae and Campanulariidae. Sertulariidae is the most diverse family with 16 species (41%), followed by Campanulariidae with five species (13%) and Haleciidae, Schizotrichidae and Kirchenpaueriidae with four species (10%) each. At the generic level, the predominant genera are Symplectoscyphus with nine species (23%) and Halecium, Oswaldella and Schizotricha with four species (10%) each. Fifteen of the 39 species represent new records for the waters surrounding Low Island, as also are three (Lafoeina, Opercularella and Orthopyxis) of the 16 genera. In all, 33 species (c. 81%) are endemic to Antarctic waters, either with a circum-Antarctic (20 species, c. 49%) or West Antarctic (13 species, c. 32%) distribution. Thirty-eight species (c. 93%) are restricted to Antarctic or Antarctic/sub-Antarctic waters; only three species have a wider distribution. The Low Island hydroid fauna is composed of typical representatives of the Antarctic benthic hydroid fauna, with good representation of some of the most diverse and widespread Antarctic genera such as Antarctoscyphus, Oswaldella, Schizotricha and Staurotheca.</t>
  </si>
  <si>
    <t>Univ Valencia, Dept Zool, Inst Cavanilles Biodiversidad &amp; Biol Evolut, Valencia 46071, Spain</t>
  </si>
  <si>
    <t>University of Valencia</t>
  </si>
  <si>
    <t>Cantero, ALP (corresponding author), Univ Valencia, Dept Zool, Inst Cavanilles Biodiversidad &amp; Biol Evolut, Apdo Correos 22085, Valencia 46071, Spain.</t>
  </si>
  <si>
    <t>alvaro.l.pena@uv.es</t>
  </si>
  <si>
    <t>Cantero, Álvaro Luis Peña/F-7888-2016</t>
  </si>
  <si>
    <t>Pena Cantero, Alvaro/0000-0003-3056-6673</t>
  </si>
  <si>
    <t>Ministerio de Ciencia y Tecnologia of Spain [CGL2004-01856]; Ministerio de Ciencia e Innovacion of Spain [CTM2009-11128ANT]; Fondo Europeo de Desarrollo Regional (FEDER); CONISMA, the Italian National Interuniversity Consortium for Marine Sciences</t>
  </si>
  <si>
    <t>Ministerio de Ciencia y Tecnologia of Spain(Spanish Government); Ministerio de Ciencia e Innovacion of Spain(Spanish Government); Fondo Europeo de Desarrollo Regional (FEDER)(European Union (EU)Spanish Government); CONISMA, the Italian National Interuniversity Consortium for Marine Sciences</t>
  </si>
  <si>
    <t>I wish to thank Dr Jose Luis Sanz Alonso from the Instituto Espanol de Oceanografia for his help in the elaboration of Fig. 1. The Bentart 2006 campaign was funded by the Ministerio de Ciencia y Tecnologia (Ref. CGL2004-01856) of Spain. This study was developed thanks to a research project (Ref. CTM2009-11128ANT) funded by the Ministerio de Ciencia e Innovacion of Spain and the Fondo Europeo de Desarrollo Regional (FEDER). The publication of this paper is supported by CONISMA, the Italian National Interuniversity Consortium for Marine Sciences.</t>
  </si>
  <si>
    <t>10.1111/maec.12031</t>
  </si>
  <si>
    <t>WOS:000315395700012</t>
  </si>
  <si>
    <t>Hallis, LJ</t>
  </si>
  <si>
    <t>Hallis, L. J.</t>
  </si>
  <si>
    <t>Alteration assemblages in the Miller Range and Elephant Moraine regions of Antarctica: Comparisons between terrestrial igneous rocks and Martian meteorites</t>
  </si>
  <si>
    <t>METEORITICS &amp; PLANETARY SCIENCE</t>
  </si>
  <si>
    <t>WEATHERING PRODUCTS; MERIDIANI-PLANUM; RAMAN-SPECTRUM; SULFATE; SULFUR; MARS; MINERALOGY; CHEMISTRY; NAKHLITES; SOILS</t>
  </si>
  <si>
    <t>The weathering products present in igneous terrestrial Antarctic samples were analyzed, and compared with those found in the four Miller Range nakhlite Martian meteorites. The aim of these comparisons was to determine which of the alteration phases in the Miller Range nakhlites are produced by terrestrial weathering, and what effect rock composition has on these phases. Antarctic terrestrial samples MIL 05031 and EET 96400, along with the Miller Range nakhlites MIL 03346 and 090032, were found to contain secondary alteration assemblages at their externally exposed surfaces. Despite the difference in primary mineralogy, the assemblages of these rocks consist mostly of sulfates (jarosite in MIL 05031, jarosite and gypsum in EET 96400) and iddingsite-like Fe-clay. As neither of the terrestrial samples contains sulfur-bearing primary minerals, and these minerals are rare in the Miller Range nakhlites, it appears that SO42, possibly along with some of the Na+, K+, and Ca+ in these phases, was sourced from wind-blown sea spray and biogenic emissions from the southern ocean. Cl enrichment in the terrestrially derived iddingsite of MIL 05031 and MIL 03346, and the presence of halite at the exterior edge of MIL 090032, can also be explained by this process. However, jarosite within and around the olivine-bound melt inclusions of MIL 090136 is present in the interior of the meteorite and, therefore, is probably the product of preterrestrial weathering on Mars.</t>
  </si>
  <si>
    <t>Univ Hawaii, HIGP SOEST, NASA Astrobiol Inst, Honolulu, HI 96822 USA</t>
  </si>
  <si>
    <t>National Aeronautics &amp; Space Administration (NASA); University of Hawaii System</t>
  </si>
  <si>
    <t>Hallis, LJ (corresponding author), Univ Hawaii, HIGP SOEST, NASA Astrobiol Inst, Honolulu, HI 96822 USA.</t>
  </si>
  <si>
    <t>lydh@higp.hawaii.edu</t>
  </si>
  <si>
    <t>hallis, lydia/0000-0001-6455-8415</t>
  </si>
  <si>
    <t>National Aeronautics and Space Administration, through the NASA Astrobiology Institute [NNA09DA77A]</t>
  </si>
  <si>
    <t>National Aeronautics and Space Administration, through the NASA Astrobiology Institute</t>
  </si>
  <si>
    <t>This material is based upon work supported by the National Aeronautics and Space Administration, through the NASA Astrobiology Institute under Cooperative Agreement No. NNA09DA77A, issued through the Office of Space Science. Thanks to the NASA Johnson Space Center for allocation of the Miller Range nakhlite thin sections, and rock chips of MIL 05031 and EET 96400. I would also like to thank JoAnn Sinton for thin-section production and Eric Hellebrand for his assistance with EMP analyses. Prof. Jeff Taylor is thanked for his helpful comments and corrections, as are Francis McCubbin, Michael Velbel, and Gretchen Benedix.</t>
  </si>
  <si>
    <t>WILEY</t>
  </si>
  <si>
    <t>1086-9379</t>
  </si>
  <si>
    <t>1945-5100</t>
  </si>
  <si>
    <t>METEORIT PLANET SCI</t>
  </si>
  <si>
    <t>Meteorit. Planet. Sci.</t>
  </si>
  <si>
    <t>10.1111/maps.12049</t>
  </si>
  <si>
    <t>Geochemistry &amp; Geophysics</t>
  </si>
  <si>
    <t>097SD</t>
  </si>
  <si>
    <t>WOS:000315492900002</t>
  </si>
  <si>
    <t>Trappitsch, R; Leya, I</t>
  </si>
  <si>
    <t>Trappitsch, Reto; Leya, Ingo</t>
  </si>
  <si>
    <t>Cosmogenic production rates and recoil loss effects in micrometeorites and interplanetary dust particles</t>
  </si>
  <si>
    <t>ANTARCTIC MICROMETEORITES; NUCLIDES; COLLECTION; METEORITES; ISOTOPES; GRAINS; STONY; AGES; HE</t>
  </si>
  <si>
    <t>We present a purely physical model to determine cosmogenic production rates for noble gases and radionuclides in micrometeorites (MMs) and interplanetary dust particles (IDPs) by solar cosmic-rays (SCR) and galactic cosmic-rays (GCR) fully considering recoil loss effects. Our model is based on various nuclear model codes to calculate recoil cross sections, recoil ranges, and finally the percentages of the cosmogenic nuclides that are lost as a function of grain size, chemical composition of the grain, and the spectral distribution of the projectiles. The main advantage of our new model compared with earlier approaches is that we consider the entire SCR particle spectrum up to 240MeV and not only single energy points. Recoil losses for GCR-produced nuclides are assumed to be equal to recoil losses for SCR-produced nuclides. Combining the model predictions with Poynting-Robertson orbital lifetimes, we calculate cosmic-ray exposure ages for recently studied MMs, cosmic spherules, and IDPs. The ages for MMs and the cosmic-spherule are in the range &lt;2.2233Ma, which corresponds, according to the Poynting-Robertson drag, to orbital distances in the range 4.034AU. For two IDPs, we determine exposure ages of longer than 900Ma, which corresponds to orbital distances larger than 150AU. The orbital distance in the range 46AU for one MM and the cosmic spherule indicate an origin either in the asteroid belt or release from comets coming either from the Kuiper Belt or the Oort Cloud. Three of the studied MMs have orbital distances in the range 2334AU, clearly indicating a cometary origin, either from short-period comets from the Kuiper Belt or from the Oort Cloud. The two IDPs have orbital distances of more than 150AU, indicating an origin from Oort Cloud comets.</t>
  </si>
  <si>
    <t>[Trappitsch, Reto; Leya, Ingo] Univ Bern, CH-3012 Bern, Switzerland</t>
  </si>
  <si>
    <t>University of Bern</t>
  </si>
  <si>
    <t>Leya, I (corresponding author), Univ Bern, CH-3012 Bern, Switzerland.</t>
  </si>
  <si>
    <t>ingo.leya@space.unibe.ch</t>
  </si>
  <si>
    <t>Trappitsch, Reto/0000-0002-0924-236X; Leya, Ingo/0000-0002-3843-6681</t>
  </si>
  <si>
    <t>Swiss National Science Foundation; NASA [NNX09AG39G]</t>
  </si>
  <si>
    <t>Swiss National Science Foundation(Swiss National Science Foundation (SNSF)); NASA(National Aeronautics &amp; Space Administration (NASA))</t>
  </si>
  <si>
    <t>We thank Rebecca A. Fischer for constructive comments on a first version of the manuscript and Andrew M. Davis, Philipp R. Heck, and Thomas Stephan for helpful discussions. The work was supported by the Swiss National Science Foundation. RT was partially supported by the NASA Cosmochemistry Program through grant NNX09AG39G (to A. M. Davis). We thank Jozef Masarik for his careful review, which helped us in improving the model predictions.</t>
  </si>
  <si>
    <t>10.1111/maps.12051</t>
  </si>
  <si>
    <t>WOS:000315492900004</t>
  </si>
  <si>
    <t>Koshlyakov, MN; Gladyshev, SV; Tarakanov, RY; Fedorov, DA</t>
  </si>
  <si>
    <t>Koshlyakov, M. N.; Gladyshev, S. V.; Tarakanov, R. Yu; Fedorov, D. A.</t>
  </si>
  <si>
    <t>Currents in the Drake Passage by the observations in October-November of 2011</t>
  </si>
  <si>
    <t>OCEANOLOGY</t>
  </si>
  <si>
    <t>The currents in the Drake Passage are studied from the ADCP and CTD data acquired in a section across the Drake Passage in October-November of 2011 and from the satellite altimeter data. A complicated pattern of currents including eight jets of the Antarctic Circumpolar Current (ACC) and a system of slope and abyssal currents was found. The most interesting result is the discovery of several cyclonic and anticyclonic mesoscale eddies confined to the abyss. Some reasons explaining the generation of such eddies by the meandering of the ACC jets in the upper ocean layer are presented.</t>
  </si>
  <si>
    <t>[Koshlyakov, M. N.; Gladyshev, S. V.; Tarakanov, R. Yu; Fedorov, D. A.] Russian Acad Sci, PP Shirshov Oceanol Inst, Moscow, Russia</t>
  </si>
  <si>
    <t>Russian Academy of Sciences; Shirshov Institute of Oceanology</t>
  </si>
  <si>
    <t>Koshlyakov, MN (corresponding author), Russian Acad Sci, PP Shirshov Oceanol Inst, Moscow, Russia.</t>
  </si>
  <si>
    <t>mnkoshl@ocean.ru</t>
  </si>
  <si>
    <t>Gladyshev, Sergey/N-6508-2017; Tarakanov, Roman/R-3325-2016</t>
  </si>
  <si>
    <t>Tarakanov, Roman/0000-0002-8711-1859</t>
  </si>
  <si>
    <t>Russian Academy of Sciences [23]; Russian Foundation for Basic Research [12-05-00131a, 12-05-00277a, 10-05-00029a]</t>
  </si>
  <si>
    <t>Russian Academy of Sciences(Russian Academy of Sciences); Russian Foundation for Basic Research(Russian Foundation for Basic Research (RFBR)Spanish Government)</t>
  </si>
  <si>
    <t>This work was supported by Program no. 23 for Fundamental Research of the Russian Academy of Sciences (project Hydrological Structure and Circulation of the South Ocean's Waters) and by the Russian Foundation for Basic Research (project nos. 12-05-00131a, 12-05-00277a, and 10-05-00029a). The field mission of 2011 was accomplished in the framework of the interagency project Meridian Plus.</t>
  </si>
  <si>
    <t>MAIK NAUKA/INTERPERIODICA/SPRINGER</t>
  </si>
  <si>
    <t>NEW YORK</t>
  </si>
  <si>
    <t>233 SPRING ST, NEW YORK, NY 10013-1578 USA</t>
  </si>
  <si>
    <t>0001-4370</t>
  </si>
  <si>
    <t>1531-8508</t>
  </si>
  <si>
    <t>OCEANOLOGY+</t>
  </si>
  <si>
    <t>Oceanology</t>
  </si>
  <si>
    <t>10.1134/S0001437013010062</t>
  </si>
  <si>
    <t>Oceanography</t>
  </si>
  <si>
    <t>097FR</t>
  </si>
  <si>
    <t>WOS:000315459900001</t>
  </si>
  <si>
    <t>Gao, H; Liu, YY; Wang, YG; Li, WJ</t>
  </si>
  <si>
    <t>Gao Hui; Liu YunYun; Wang YongGuang; Li WeiJing</t>
  </si>
  <si>
    <t>Precursory influence of the Antarctic Oscillation on the onset of Asian summer monsoon</t>
  </si>
  <si>
    <t>CHINESE SCIENCE BULLETIN</t>
  </si>
  <si>
    <t>Asian summer monsoon; Indo-China Peninsula; South China Sea; Antarctic Oscillation; Somalia cross-equatorial flow</t>
  </si>
  <si>
    <t>SOUTHERN-HEMISPHERE; VARIABILITY; RAINFALL; CIRCULATION; MIDDLE; WINTER</t>
  </si>
  <si>
    <t>The Asian summer monsoon (ASM) begins firstly over the Indo-China Peninsula in early May and over the South China Sea (SCS) in mid-May. The different monsoon onset dates can exert distinct effects on the summer rainfall in Asia. Statistical results indicate that the Antarctic Oscillation (AAO) in the boreal winter has a significant precursory influence on the ASM onset dates. In stronger AAO years, both the Mascarene high and the Australia high in March are stronger owing to the see-saw structure of atmospheric circulation over the subtropics and higher latitudes in the Southern Hemisphere, and the tropical intertropical convergence zone (ITCZ) is deeper. Thus, the pressure gradient between the subtropical and tropical regions increases in spring. As a result, the Somalia cross-equatorial flow (SCEF) occurs earlier, strengthens, and enhances the westerlies over the tropical Indian Ocean. The enhanced westerlies impel an eastward withdrawal of the western Pacific subtropical high and intensify the convergence and rising motion at the lower troposphere, accelerating the burst of ASM. Differently, weaker AAO weakens the pressure gradient between the tropical and subtropical regions and delays the establishment of SCEF, resulting in a delayed onset of ASM. This study extends the leading time of seasonal forecast of ASM onset from the previous spring to winter and provides useful information about precursory signals in climate prediction operation.</t>
  </si>
  <si>
    <t>[Gao Hui; Liu YunYun; Wang YongGuang; Li WeiJing] China Meteorol Adm, Natl Climate Ctr, Beijing 100081, Peoples R China</t>
  </si>
  <si>
    <t>China Meteorological Administration</t>
  </si>
  <si>
    <t>Gao, H (corresponding author), China Meteorol Adm, Natl Climate Ctr, Beijing 100081, Peoples R China.</t>
  </si>
  <si>
    <t>gaohui@cma.gov.cn</t>
  </si>
  <si>
    <t>Liu, Yunyun/S-3335-2016</t>
  </si>
  <si>
    <t>National Basic Research Program of China [2012CB417205]; International Cooperation Program of Ministry of Science and Technology of China [2009DFA23010]; Special Research Fund of Public Welfare Project [GYHY200906018, GYHY201306070]; National Science &amp; Technology Supporting Program [2009BAC51B]; National Innovation Team of Climate Prediction of China Meteorological Administration</t>
  </si>
  <si>
    <t>National Basic Research Program of China(National Basic Research Program of China); International Cooperation Program of Ministry of Science and Technology of China; Special Research Fund of Public Welfare Project; National Science &amp; Technology Supporting Program; National Innovation Team of Climate Prediction of China Meteorological Administration</t>
  </si>
  <si>
    <t>Many thanks to the reviewers and Dr. Song Yang at CPC/NOAA for their valuable comments and suggestions. This work was supported by the National Basic Research Program of China (2012CB417205), the International Cooperation Program of Ministry of Science and Technology of China (2009DFA23010), the Special Research Fund of Public Welfare Project (Meteorology: GYHY200906018 and GYHY201306070), and the National Science &amp; Technology Supporting Program (2009BAC51B). The authors also thank the support of the National Innovation Team of Climate Prediction of China Meteorological Administration.</t>
  </si>
  <si>
    <t>SCIENCE PRESS</t>
  </si>
  <si>
    <t>BEIJING</t>
  </si>
  <si>
    <t>16 DONGHUANGCHENGGEN NORTH ST, BEIJING 100717, PEOPLES R CHINA</t>
  </si>
  <si>
    <t>1001-6538</t>
  </si>
  <si>
    <t>CHINESE SCI BULL</t>
  </si>
  <si>
    <t>Chin. Sci. Bull.</t>
  </si>
  <si>
    <t>10.1007/s11434-012-5455-x</t>
  </si>
  <si>
    <t>Multidisciplinary Sciences</t>
  </si>
  <si>
    <t>Science &amp; Technology - Other Topics</t>
  </si>
  <si>
    <t>097AJ</t>
  </si>
  <si>
    <t>WOS:000315446000015</t>
  </si>
  <si>
    <t>Miyake, A; Hokada, T</t>
  </si>
  <si>
    <t>Miyake, Akira; Hokada, Tomokazu</t>
  </si>
  <si>
    <t>First find of ferropseudobrookite in quartz from Napier Complex, East Antarctica</t>
  </si>
  <si>
    <t>EUROPEAN JOURNAL OF MINERALOGY</t>
  </si>
  <si>
    <t>ferropseudobrookite; exsolution; Ti in quartz; electron microscopy; Napier complex</t>
  </si>
  <si>
    <t>GEOCHRONOLOGY; METAMORPHISM</t>
  </si>
  <si>
    <t>Ferropseudobrookite exsolution rods, approximately Mg0.112+Fe0.702+Al0.043+Fe0.343+Ti1.814+O5, space group Cmcm with a about 0.98 nm, b about 0.37 nm, c about 1.00 nm, are first reported in quartz from a garnet-orthopyroxene-bearing quartzo-feldspathic gneiss, Napier Complex, East Antarctica. The elongated direction of ferropseudobrookite rods is the b axis and is parallel to either the &lt; 101 &gt; or &lt; 111 &gt; of low-quartz. Moreover these rods have almost six-fold symmetry along the c axis of quartz. The formation of the exsolution must result from the cooling of the gneiss and the exsolution took place in the high-quartz field. The present exsolution phenomenon suggests that quartz can dissolve not only Ti but also Fe2+ and Fe3+ and that the gneiss contains Fe2+ ion under the ultrahigh-temperature peak metamorphic conditions.</t>
  </si>
  <si>
    <t>[Miyake, Akira] Kyoto Univ, Dept Geol &amp; Mineral, Kyoto 6068502, Japan; [Hokada, Tomokazu] Natl Inst Polar Res, Tachikawa, Tokyo 1908518, Japan</t>
  </si>
  <si>
    <t>Kyoto University; Research Organization of Information &amp; Systems (ROIS); National Institute of Polar Research (NIPR) - Japan</t>
  </si>
  <si>
    <t>Miyake, A (corresponding author), Kyoto Univ, Dept Geol &amp; Mineral, Kyoto 6068502, Japan.</t>
  </si>
  <si>
    <t>miya@kueps.kyoto-u.ac.jp</t>
  </si>
  <si>
    <t>MIYAKE, Akira/JTU-6576-2023; Hokada, Tomokazu/AAC-7847-2019</t>
  </si>
  <si>
    <t>MIYAKE, Akira/0000-0002-6197-4656;</t>
  </si>
  <si>
    <t>KAKENHI; Grants-in-Aid for Scientific Research [25287132, 25400521, 23340155, 25302008, 25400518, 24654175] Funding Source: KAKEN</t>
  </si>
  <si>
    <t>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</si>
  <si>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are grateful to M. Kitamura, N. Shimobayashi, Y. Motoyoshi, S. Toh, and T. Kawakami for constructive suggestions. We thank E. Ghent, an anonymous reviewer and the editor for constructive comments and suggestions. The sample described in this paper was collected during the field work of the 1997-1998 Japanese Antarctic Research Expedition (JARE). TH acknowledges NIPR for enabling him to participate in JARE. This work was supported by KAKENHI.</t>
  </si>
  <si>
    <t>E SCHWEIZERBARTSCHE VERLAGSBUCHHANDLUNG</t>
  </si>
  <si>
    <t>STUTTGART</t>
  </si>
  <si>
    <t>NAEGELE U OBERMILLER, SCIENCE PUBLISHERS, JOHANNESSTRASSE 3A, D 70176 STUTTGART, GERMANY</t>
  </si>
  <si>
    <t>0935-1221</t>
  </si>
  <si>
    <t>1617-4011</t>
  </si>
  <si>
    <t>EUR J MINERAL</t>
  </si>
  <si>
    <t>Eur. J. Mineral.</t>
  </si>
  <si>
    <t>10.1127/0935-1221/2013/0025-2256</t>
  </si>
  <si>
    <t>Mineralogy</t>
  </si>
  <si>
    <t>092WN</t>
  </si>
  <si>
    <t>WOS:000315153800005</t>
  </si>
  <si>
    <t>Fraser, CI; Waters, JM</t>
  </si>
  <si>
    <t>Fraser, Ceridwen I.; Waters, Jonathan M.</t>
  </si>
  <si>
    <t>Algal Parasite Herpodiscus durvillaeae (Phaeophyceae: Sphacelariales) Inferred to have Traversed the Pacific Ocean with its Buoyant Host</t>
  </si>
  <si>
    <t>JOURNAL OF PHYCOLOGY</t>
  </si>
  <si>
    <t>cytochrome c oxidase subunit I; RuBisCO; 28S; epiphyte; endophyte; Durvillaea; Malvinas; numt</t>
  </si>
  <si>
    <t>NEW-ZEALAND; KELP; PHYLOGENY; DNA; FUCALES; ICE</t>
  </si>
  <si>
    <t>The parasitic phaeophycean endophyte Herpodiscus durvillaeae (Lindauer) G. R. South has previously only been recorded from New Zealand, in association with a single host species, Durvillaea antarctica (Chamisso) Hariot (southern bull-kelp). Here we use DNA sequence data from plastid and nuclear markers (chloroplast rbcL, ribosomal LSU, and a nuclear pseudogene copy of COI) to test for the presence of H.durvillaeae beyond the New Zealand region, and on host species other than D.antarctica. Analyses of samples from the Falkland Islands confirm the first record of H.durvillaeae from the Atlantic Ocean. We report that Falkland Islands H.durvillaeae are genetically indistinguishable from samples of this species from New Zealand's sub-Antarctic Campbell Island, suggesting recent dispersal of the parasite across the Pacific Ocean, presumably by rafting with its buoyant macroalgal host. We also here record H.durvillaeae from New Zealand endemics Durvillaea poha Fraser etal. and D.willana Lindauer.</t>
  </si>
  <si>
    <t>[Fraser, Ceridwen I.; Waters, Jonathan M.] Univ Otago, Dept Zool, Allan Wilson Ctr Mol Ecol &amp; Evolut, Dunedin 9016, New Zealand</t>
  </si>
  <si>
    <t>University of Otago</t>
  </si>
  <si>
    <t>Fraser, CI (corresponding author), Australian Natl Univ, Fenner Sch Environm &amp; Soc, ANU Coll Med Biol &amp; Environm, GPO Box 4, Canberra, ACT 0200, Australia.</t>
  </si>
  <si>
    <t>ceridwen.fraser@gmail.com</t>
  </si>
  <si>
    <t>Waters, Jonathan/B-4983-2009</t>
  </si>
  <si>
    <t>Waters, Jonathan/0000-0002-1514-7916; Fraser, Ceridwen/0000-0002-6918-8959</t>
  </si>
  <si>
    <t>Allan Wilson Centre for Molecular Ecology and Evolution postdoctoral fellowship; Shackleton Scholarship; PBRF Research Enhancement Grant</t>
  </si>
  <si>
    <t>Thanks to J. Dalen (Museum of New Zealand Te Papa Tongarewa) for registration of herbarium vouchers. For field support and/or sample collection we thank J. Brown, K. Neely, B. Wagman, the Department of Fisheries and Sea Lion Lodge (Falkland Islands collection support); G. Landreth, K. Pashuk and H. Landreth (Northanger expeditions) (South Georgia collections); R. Nikula, H. Haazen (Tiama expeditions), T. Whiting and R. Watters (New Zealand sub-Antarctic collection support); J. Doube and the Australian Antarctic Division (Macquarie Island collection); D. Renault (IPEV, France) (Kerguelen Islands collections); S. Clusella-Trullas (University of Stellenbosch), K. Rexer-Huber, G. Parker and the South African National Antarctic Program (Gough Island and Marion Island collections). For collection/export permits we thank: T. Glass (Tristan da Cunha Conservation); N. Rendell (Falkland Islands Government); R. McKee (Government of South Georgia); R. Green (Department of Primary Industries, Australia); Macquarie Island Research Advisory Group; Department of Environmental Affairs, South Africa; P. McClelland and D. Veint (Department of Conservation, Southland, NZ). Thanks to S. Draisma and W. Prudhomme van Reine for sending DNA extractions of congeneric taxa. Thanks to T. King, G. Garcia, and L. Salvatore for laboratory assistance. This research was supported by an Allan Wilson Centre for Molecular Ecology and Evolution postdoctoral fellowship for CIF, a Shackleton Scholarship for CIF, and a PBRF Research Enhancement Grant to JMW.</t>
  </si>
  <si>
    <t>0022-3646</t>
  </si>
  <si>
    <t>J PHYCOL</t>
  </si>
  <si>
    <t>J. Phycol.</t>
  </si>
  <si>
    <t>10.1111/jpy.12017</t>
  </si>
  <si>
    <t>Plant Sciences; Marine &amp; Freshwater Biology</t>
  </si>
  <si>
    <t>089QM</t>
  </si>
  <si>
    <t>WOS:000314925100019</t>
  </si>
  <si>
    <t>Zhou, LB; Zou, H; Ma, SP; Li, P</t>
  </si>
  <si>
    <t>Zhou Libo; Zou Han; Ma Shupo; Li Peng</t>
  </si>
  <si>
    <t>The Tibetan ozone low and its long-term variation during 1979-2010</t>
  </si>
  <si>
    <t>ACTA METEOROLOGICA SINICA</t>
  </si>
  <si>
    <t>Tibetan ozone low; long-term ozone variation; dynamical proxies</t>
  </si>
  <si>
    <t>COLUMN OZONE; PLATEAU; TEMPERATURE; TRENDS; TOMS; STRATOSPHERE; TRANSPORT; DEPLETION; RECOVERY; VALLEY</t>
  </si>
  <si>
    <t>A Tibetan ozone low was found in the 1990s after the Antarctic ozone hole. Whether this ozone low has been recovering from the beginning of the 2000s following the global ozone recovery is an intriguing topic. With the most recent merged TOMS/SBUV (Total Ozone Mapping Spectrometer/Solar Backscatter Ultra Violet) ozone data, the Tibetan ozone low and its long-term variation during 1979-2010 are analyzed using a statistical regression model that includes the seasonal cycle, solar cycle, quasi-biennial oscillation (QBO), ENSO signal, and trends. The results show that the Tibetan ozone low maintains and may become more severe on average during 1979-2010, compared with its mean state in the periods before 2000, possibly caused by the stronger downward trend of total ozone concentration over the Tibet. Compared with the ozone variation over the non-Tibetan region along the same latitudes, the Tibetan ozone has a larger downward trend during 1979-2010, with a maximum value of -0.40 +/- 0.10 DU yr(-1) in January, which suggests the strengthening of the Tibetan ozone low in contrast to the recovery of global ozone. Regression analyses show that the QBO signal plays an important role in determining the total ozone variation over the Tibet. In addition, the long-term ozone variation over the Tibetan region is largely affected by the thermal-dynamical proxies such as the lower stratospheric temperature, with its contribution reaching around 10% of the total ozone change, which is greatly different from that over the non-Tibetan region.</t>
  </si>
  <si>
    <t>[Zhou Libo] Chinese Acad Sci, LAPC, Inst Atmospher Phys, Beijing 100029, Peoples R China; Chinese Acad Sci, LAOR, Inst Atmospher Phys, Beijing 100029, Peoples R China</t>
  </si>
  <si>
    <t>Chinese Academy of Sciences; Institute of Atmospheric Physics, CAS; Chinese Academy of Sciences; Institute of Atmospheric Physics, CAS</t>
  </si>
  <si>
    <t>Zhou, LB (corresponding author), Chinese Acad Sci, LAPC, Inst Atmospher Phys, Beijing 100029, Peoples R China.</t>
  </si>
  <si>
    <t>zhoulibo@mail.iap.ac.cn</t>
  </si>
  <si>
    <t>IAP, LAPC/AAI-6390-2020; Zhou, Libo/AAH-6087-2020</t>
  </si>
  <si>
    <t>IAP, LAPC/0000-0002-6195-7362;</t>
  </si>
  <si>
    <t>National Basic Research and Development (973) Program of China [2009CB421403]; State Oceanic Administration Public Science and Technology Research Fund [201005017-5]; China Meteorological Administration Special Public Welfare Research Fund [GYHY201106018]; State Oceanic Administration Polar Environment Investigation and Assessment Project [CHINARE2012-04-04, CHINARE2012-02-03]</t>
  </si>
  <si>
    <t>National Basic Research and Development (973) Program of China(National Basic Research Program of China); State Oceanic Administration Public Science and Technology Research Fund; China Meteorological Administration Special Public Welfare Research Fund; State Oceanic Administration Polar Environment Investigation and Assessment Project</t>
  </si>
  <si>
    <t>Supported by the National Basic Research and Development (973) Program of China (2009CB421403), State Oceanic Administration Public Science and Technology Research Fund (201005017-5), China Meteorological Administration Special Public Welfare Research Fund (GYHY201106018), and State Oceanic Administration Polar Environment Investigation and Assessment Project (CHINARE2012-04-04 and CHINARE2012-02-03).</t>
  </si>
  <si>
    <t>SPRINGER HEIDELBERG</t>
  </si>
  <si>
    <t>HEIDELBERG</t>
  </si>
  <si>
    <t>TIERGARTENSTRASSE 17, D-69121 HEIDELBERG, GERMANY</t>
  </si>
  <si>
    <t>0894-0525</t>
  </si>
  <si>
    <t>ACTA METEOROL SIN</t>
  </si>
  <si>
    <t>Acta Meteorol. Sin.</t>
  </si>
  <si>
    <t>10.1007/s13351-013-0108-9</t>
  </si>
  <si>
    <t>088UJ</t>
  </si>
  <si>
    <t>WOS:000314862300007</t>
  </si>
  <si>
    <t>Bergene, JA; Taylor, EL; Taylor, TN</t>
  </si>
  <si>
    <t>Bergene, Julie A.; Taylor, Edith L.; Taylor, Thomas N.</t>
  </si>
  <si>
    <t>DORDRECHTITES ARCANUS SP NOV., AN ANATOMICALLY PRESERVED GYMNOSPERMOUS REPRODUCTIVE STRUCTURE FROM THE MIDDLE TRIASSIC OF ANTARCTICA</t>
  </si>
  <si>
    <t>INTERNATIONAL JOURNAL OF PLANT SCIENCES</t>
  </si>
  <si>
    <t>Triassic; gymnosperm; cupule; ovules; central Transantarctic Mountains</t>
  </si>
  <si>
    <t>CENTRAL TRANSANTARCTIC MOUNTAINS; PRINCE-CHARLES-MOUNTAINS; SEED CONE TELEMACHUS; NEW-SOUTH-WALES; LIVINGSTON-ISLAND; WILLIAMS POINT; FOSSIL PLANTS; POLLEN CONE; NEW-ZEALAND; FLORA</t>
  </si>
  <si>
    <t>The genus Dordrechtites is an isolated ovulate structure previously described only from South Africa and Australia as impressions. The discovery of compressed and permineralized specimens of this taxon at the base of Mount Falla (uppermost Fremouw Formation) in the central Transantarctic Mountains extends the geographical and geological distribution of the genus and increases the known floral diversity of the Triassic of Antarctica. The first permineralized species, Dordrechtites arcanus, is described using standard acetate peel techniques and includes internal anatomy of an elongate arm that extends over the top of a central cupule containing two elongate, bilaterally symmetrical, orthotropous ovules. An arc-shaped collateral vascular bundle extends from the arm into the top of the cupule, branches, and then extends around the ovule to about halfway down to the micropylar end. The cupule is parenchymatous and includes transfusion tissue with cells that have pitted walls. The sclerotesta of the ovule is up to 200 mu m thick, consisting of an outer layer with longitudinally oriented, thick-walled cells and an inner layer one cell thick of rectangular, thick-walled cells. The micropyle is flared at the attenuated tip of the pyramidal cupule. The four previously described species of Dordrechtites have uncertain affinities, and although the morphology and anatomy of this taxon is now known, the affinities within the gymnosperms are still uncertain.</t>
  </si>
  <si>
    <t>[Bergene, Julie A.; Taylor, Edith L.; Taylor, Thomas N.] Univ Kansas, Dept Ecol &amp; Evolutionary Biol, Lawrence, KS 66045 USA; [Bergene, Julie A.; Taylor, Edith L.; Taylor, Thomas N.] Univ Kansas, Biodivers Inst, Lawrence, KS 66045 USA</t>
  </si>
  <si>
    <t>University of Kansas; University of Kansas</t>
  </si>
  <si>
    <t>Taylor, EL (corresponding author), Univ Kansas, Dept Ecol &amp; Evolutionary Biol, Lawrence, KS 66045 USA.</t>
  </si>
  <si>
    <t>etaylor@ku.edu</t>
  </si>
  <si>
    <t>National Science Foundation [ANT-0943934]</t>
  </si>
  <si>
    <t>National Science Foundation(National Science Foundation (NSF))</t>
  </si>
  <si>
    <t>We thank Dr. Anne-Laure Decombeix and Dr. Sharon Klavins for beginning the work on this project and their preliminary identification of Dordrechtites within the Antarctic fossil collection. Dr. Stephen T. Hasiotis was helpful in discussing the depositional environment of the Antarctic fossils. We thank Sara Taliaferro and Gilbert Ortiz for their collaboration on the reconstructions, Dr. Rudolph Serbet for his help in the preparation of specimens and constructive discussions, and Dr. Charles P. Daghlian for figure 1B. Two anonymous reviewers provided many helpful suggestions on an earlier version of this manuscript. This research was supported in part by the National Science Foundation (ANT-0943934) and was submitted in partial fulfillment of the requirements for the Masters of Arts degree in Ecology and Evolutionary Biology at the University of Kansas.</t>
  </si>
  <si>
    <t>UNIV CHICAGO PRESS</t>
  </si>
  <si>
    <t>CHICAGO</t>
  </si>
  <si>
    <t>1427 E 60TH ST, CHICAGO, IL 60637-2954 USA</t>
  </si>
  <si>
    <t>1058-5893</t>
  </si>
  <si>
    <t>INT J PLANT SCI</t>
  </si>
  <si>
    <t>Int. J. Plant Sci.</t>
  </si>
  <si>
    <t>10.1086/668792</t>
  </si>
  <si>
    <t>Plant Sciences</t>
  </si>
  <si>
    <t>087ZF</t>
  </si>
  <si>
    <t>Green Published</t>
  </si>
  <si>
    <t>WOS:000314802600009</t>
  </si>
  <si>
    <t>Peterson, RN; Burnett, WC; Opsahl, SP; Santos, IR; Misra, S; Froelich, PN</t>
  </si>
  <si>
    <t>Peterson, Richard N.; Burnett, William C.; Opsahl, Stephen P.; Santos, Isaac R.; Misra, Sambuddha; Froelich, Philip N.</t>
  </si>
  <si>
    <t>Tracking suspended particle transport via radium isotopes (226Ra and 228Ra) through the Apalachicola-Chattahoochee-Flint River system</t>
  </si>
  <si>
    <t>JOURNAL OF ENVIRONMENTAL RADIOACTIVITY</t>
  </si>
  <si>
    <t>Suspended particles; Particle tracing; Radium isotopes; K-40</t>
  </si>
  <si>
    <t>COAL ASH SPILL; MIXING ZONE; SEDIMENT; GEOCHEMISTRY; PHOSPHORUS; DISCHARGE; KINGSTON; IMPACTS; FLUXES; RATES</t>
  </si>
  <si>
    <t>Suspended particles in rivers can carry metals, nutrients, and pollutants downstream which can become bioactive in estuaries and coastal marine waters. In river systems with multiple sources of both suspended particles and contamination sources, it is important to assess the hydrologic conditions under which contaminated particles can be delivered to downstream ecosystems. The Apalachicola-Chattahoochee-Flint (ACF) River system in the southeastern United States represents an ideal system to study these hydrologic impacts on particle transport through a heavily-impacted river (the Chattahoochee River) and one much less impacted by anthropogenic activities (the Flint River). We demonstrate here the utility of natural radioisotopes as tracers of suspended particles through the ACF system, where particles contaminated with arsenic (As) and antimony (Sb) have been shown to be contributed from coal-fired power plants along the Chattahoochee River, and have elevated concentrations in the surficial sediments of the Apalachicola Bay Delta. Radium isotopes (Ra-228 and Ra-226) on suspended particles should vary throughout the different geologic provinces of this river system, allowing differentiation of the relative contributions of the Chattahoochee and Flint Rivers to the suspended load delivered to Lake Seminole, the Apalachicola River, and ultimately to Apalachicola Bay. We also use various geochemical proxies (K-40, organic carbon, and calcium) to assess the relative composition of suspended particles (lithogenic, organic, and carbonate fractions, respectively) under a range of hydrologic conditions. During low (base) flow conditions, the Flint River contributed 70% of the suspended particle load to both the Apalachicola River and the bay, whereas the Chattahoochee River became the dominant source during higher discharge, contributing 80% of the suspended load to the Apalachicola River and 62% of the particles entering the estuary. Neither of these hydrologic scenarios, which were moderately low flow regimes, appeared to transport particles contaminated with arsenic and antimony to Apalachicola Bay. (C) 2012 Elsevier Ltd. All rights reserved.</t>
  </si>
  <si>
    <t>[Peterson, Richard N.; Burnett, William C.; Santos, Isaac R.; Misra, Sambuddha] Florida State Univ, Dept Earth Ocean &amp; Atmospher Sci, Tallahassee, FL 32306 USA; [Opsahl, Stephen P.] Joseph W Jones Ecol Res Ctr, Newton, GA 39870 USA; [Froelich, Philip N.] Froelich Educ Serv, Tallahassee, FL 32309 USA; [Peterson, Richard N.] Coastal Carolina Univ, Ctr Marine &amp; Wetland Studies, Conway, SC 29526 USA; [Opsahl, Stephen P.] US Geol Survey, San Antonio, TX 78249 USA; [Santos, Isaac R.] So Cross Univ, Sch Environm Sci &amp; Management, Ctr Coastal Biogeochem, Lismore, NSW 2480, Australia; [Misra, Sambuddha] Univ Cambridge, Godwin Lab Paleoclimate Res, Dept Earth Sci, Cambridge CB3 0EZ, Cambs, England</t>
  </si>
  <si>
    <t>State University System of Florida; Florida State University; Coastal Carolina University; United States Department of the Interior; United States Geological Survey; Southern Cross University; University of Cambridge</t>
  </si>
  <si>
    <t>Peterson, RN (corresponding author), Coastal Carolina Univ, Ctr Marine &amp; Wetland Studies, Conway, SC 29526 USA.</t>
  </si>
  <si>
    <t>rpeters2@coastal.edu</t>
  </si>
  <si>
    <t>Santos, Isaac R./A-3960-2019</t>
  </si>
  <si>
    <t>Santos, Isaac R./0000-0003-0524-842X</t>
  </si>
  <si>
    <t>NOAA Graduate Research Fellowship [NA05NOS4201041]</t>
  </si>
  <si>
    <t>NOAA Graduate Research Fellowship(National Oceanic Atmospheric Admin (NOAA) - USA)</t>
  </si>
  <si>
    <t>We thank Amanda Peterson, Natasha Dimova, and Axel Schmidt for assisting with our fieldwork. We are indebted to the faculty and staff of the Joseph W. Jones Ecological Research Center at Ichauway, Georgia, especially Woody Hicks and Brian Clayton for providing lab space during our fieldwork. Lee Edmiston and his group at the Apalachicola National Estuarine Research Reserve also provided necessary aquatic facilities for sample collection. We thank the Antarctic Research Facility at Florida State University and its curator Dr. Matt Olney for providing cold room space for storing our samples. The Geochemistry Group (especially Yingfeng Xu and Nicole Tibbetts) at FSU assisted greatly in our mass spectrometry work and Dr. Jack Winchester took an active interest in the data analysis. We thank Patrick Hutchins for running the statistical tests on this data set. This work was funded by a NOAA Graduate Research Fellowship (NA05NOS4201041 to RNP).</t>
  </si>
  <si>
    <t>ELSEVIER SCI LTD</t>
  </si>
  <si>
    <t>THE BOULEVARD, LANGFORD LANE, KIDLINGTON, OXFORD OX5 1GB, OXON, ENGLAND</t>
  </si>
  <si>
    <t>0265-931X</t>
  </si>
  <si>
    <t>1879-1700</t>
  </si>
  <si>
    <t>J ENVIRON RADIOACTIV</t>
  </si>
  <si>
    <t>J. Environ. Radioact.</t>
  </si>
  <si>
    <t>10.1016/j.jenvrad.2012.09.001</t>
  </si>
  <si>
    <t>Environmental Sciences</t>
  </si>
  <si>
    <t>Environmental Sciences &amp; Ecology</t>
  </si>
  <si>
    <t>090UN</t>
  </si>
  <si>
    <t>WOS:000315005600010</t>
  </si>
  <si>
    <t>Dudgeon, CL; Lanyon, JM; Semmens, JM</t>
  </si>
  <si>
    <t>Dudgeon, Christine L.; Lanyon, Janet M.; Semmens, Jayson M.</t>
  </si>
  <si>
    <t>Seasonality and site fidelity of the zebra shark, Stegostoma fasciatum, in southeast Queensland, Australia</t>
  </si>
  <si>
    <t>ANIMAL BEHAVIOUR</t>
  </si>
  <si>
    <t>acoustic telemetry; elasmobranch; GLMM; leopard shark; migration movement; philopatry; Stegostoma fasciatum</t>
  </si>
  <si>
    <t>BLACKTIP REEF SHARKS; OXYGEN-CONSUMPTION; CARCHARHINUS-MELANOPTERUS; MOVEMENT PATTERNS; CARCHARIAS-TAURUS; MANTA RAY; AGGREGATION; MIGRATION; ABUNDANCE; BEHAVIOR</t>
  </si>
  <si>
    <t>Site fidelity and migratory movements of vertebrate animals occur at many spatial and temporal scales. Larger migratory movements tend to occur in species that live in seasonal environments in which food supplies vary markedly, while species found in thermally stable environments are more site-attached. In the marine environment, seasonal migrations are often associated with predictable temporary aggregations that have largely been targeted for exploitation. We employed passive acoustic telemetry to investigate inter- and intraseasonal site fidelity of zebra sharks to an aggregation site in southeast Queensland, Australia, close to the southern latitudinal extent of this species' range. We tracked 10 zebra sharks over two aggregation seasons (21 months). We applied a generalized linear mixed-effects model to investigate the presence/absence of these zebra sharks with respect to several environmental variables. We found that different environmental factors were associated with site fidelity of zebra sharks at different temporal levels and that these may be indicative of the mechanisms driving the movements. Seasonal patterns may be driven by endogenous systems, and cues such as photoperiod and water temperature are likely to be important. Intraseasonal patterns are more likely to be indicative of direct behavioural responses to changes in environmental conditions such as increased wave heights, as well as foraging bouts away from a core refuge. Understanding the relative contributions of these environmental parameters, as well as biological factors, will be important for making predictions of site fidelity and movements of migratory marine vertebrates under differing future scenarios such as increases in sea temperature. (C) 2012 The Association for the Study of Animal Behaviour. Published by Elsevier Ltd. All rights reserved.</t>
  </si>
  <si>
    <t>[Dudgeon, Christine L.; Lanyon, Janet M.] Univ Queensland, Sch Biol Sci, Brisbane, Qld, Australia; [Dudgeon, Christine L.] Univ Queensland, Sch Vet Sci, Gatton, Qld 4343, Australia; [Semmens, Jayson M.] Univ Tasmania, Inst Marine &amp; Antarctic Studies, Fisheries Aquaculture &amp; Coasts Ctr, Hobart, Tas, Australia</t>
  </si>
  <si>
    <t>University of Queensland; University of Queensland; University of Tasmania</t>
  </si>
  <si>
    <t>Dudgeon, CL (corresponding author), Univ Queensland, Sch Vet Sci, Gatton, Qld 4343, Australia.</t>
  </si>
  <si>
    <t>c.dudgeon@uq.edu.au</t>
  </si>
  <si>
    <t>Lanyon, Janet/JYP-1848-2024; Dudgeon, Christine/A-1633-2017</t>
  </si>
  <si>
    <t>Lanyon, Janet/0000-0003-1453-5594; Dudgeon, Christine/0000-0001-5059-7886; Semmens, Jayson/0000-0003-1742-6692</t>
  </si>
  <si>
    <t>Winifred Violet Scott Foundation; Australia Pacific Science Foundation; Australian Geographic, a University of Queensland scholarship</t>
  </si>
  <si>
    <t>Many thanks go to the field volunteers: M. Noad, R. Slade, J. Smith, J. Kreuger, D. Broderick, J. White, M. Kospartov, R. Dunlop, D. Paton, S. Waller, A. Byatt, T. Suddendorf. We thank S. Blomberg and A.G. Barnett for assistance with data analysis, and R. Harcourt, A. Barnett and two anonymous referees for comments on the manuscript. This research was generously funded by The Winifred Violet Scott Foundation, The Australia Pacific Science Foundation, Australian Geographic, a University of Queensland scholarship to C.L.D., and in-kind support from Tasmanian Aquaculture and Fisheries Institute, Moreton Bay Research Station, Manta Lodge and SCUBA Centre and B. Yarrow.</t>
  </si>
  <si>
    <t>ACADEMIC PRESS LTD- ELSEVIER SCIENCE LTD</t>
  </si>
  <si>
    <t>LONDON</t>
  </si>
  <si>
    <t>24-28 OVAL RD, LONDON NW1 7DX, ENGLAND</t>
  </si>
  <si>
    <t>0003-3472</t>
  </si>
  <si>
    <t>1095-8282</t>
  </si>
  <si>
    <t>ANIM BEHAV</t>
  </si>
  <si>
    <t>Anim. Behav.</t>
  </si>
  <si>
    <t>10.1016/j.anbehav.2012.12.013</t>
  </si>
  <si>
    <t>Behavioral Sciences; Zoology</t>
  </si>
  <si>
    <t>086KR</t>
  </si>
  <si>
    <t>WOS:000314683000022</t>
  </si>
  <si>
    <t>Koerper, J; Höschel, I; Lowe, JA; Hewitt, CD; Melia, DSY; Roeckner, E; Huebener, H; Royer, JF; Dufresne, JL; Pardaens, A; Giorgetta, MA; Sanderson, MG; Otterå, OH; Tjiputra, J; Denvil, S</t>
  </si>
  <si>
    <t>Koerper, J.; Hoeschel, I.; Lowe, J. A.; Hewitt, C. D.; Salas y Melia, D.; Roeckner, E.; Huebener, H.; Royer, J. -F.; Dufresne, J. -L.; Pardaens, A.; Giorgetta, M. A.; Sanderson, M. G.; Ottera, O. H.; Tjiputra, J.; Denvil, S.</t>
  </si>
  <si>
    <t>The effects of aggressive mitigation on steric sea level rise and sea ice changes</t>
  </si>
  <si>
    <t>CLIMATE DYNAMICS</t>
  </si>
  <si>
    <t>Climate; Projections; Stabilization; Sea level rise; Sea ice; Multi-model; ENSEMBLES; CMIP5; Mitigation</t>
  </si>
  <si>
    <t>ISOPYCNIC COORDINATE MODEL; GENERAL-CIRCULATION MODEL; BERGEN CLIMATE MODEL; SEASONAL CYCLE; COUPLED MODEL; OCEAN; SIMULATION; 21ST-CENTURY; SENSITIVITY; FUTURE</t>
  </si>
  <si>
    <t>With an increasing political focus on limiting global warming to less than 2 A degrees C above pre-industrial levels it is vital to understand the consequences of these targets on key parts of the climate system. Here, we focus on changes in sea level and sea ice, comparing twenty-first century projections with increased greenhouse gas concentrations (using the mid-range IPCC A1B emissions scenario) with those under a mitigation scenario with large reductions in emissions (the E1 scenario). At the end of the twenty-first century, the global mean steric sea level rise is reduced by about a third in the mitigation scenario compared with the A1B scenario. Changes in surface air temperature are found to be poorly correlated with steric sea level changes. While the projected decreases in sea ice extent during the first half of the twenty-first century are independent of the season or scenario, especially in the Arctic, the seasonal cycle of sea ice extent is amplified. By the end of the century the Arctic becomes sea ice free in September in the A1B scenario in most models. In the mitigation scenario the ice does not disappear in the majority of models, but is reduced by 42 % of the present September extent. Results for Antarctic sea ice changes reveal large initial biases in the models and a significant correlation between projected changes and the initial extent. This latter result highlights the necessity for further refinements in Antarctic sea ice modelling for more reliable projections of future sea ice.</t>
  </si>
  <si>
    <t>[Koerper, J.; Hoeschel, I.] Free Univ Berlin, Inst Meteorol, D-12165 Berlin, Germany; [Lowe, J. A.; Hewitt, C. D.; Pardaens, A.; Sanderson, M. G.] Met Off Hadley Ctr, Exeter EX1 3PB, Devon, England; [Salas y Melia, D.; Royer, J. -F.] Meteo France CNRS, GAME, CNRM, F-31057 Toulouse, France; [Roeckner, E.; Giorgetta, M. A.] Max Planck Inst Meteorol, D-20146 Hamburg, Germany; [Huebener, H.] Hessian Agcy Environm &amp; Geol, D-65203 Wiesbaden, Germany; [Dufresne, J. -L.] UPMC, CNRS, IPSL, LMD, F-75252 Paris 05, France; [Ottera, O. H.] Nansen Environm &amp; Remote Sensing Ctr, N-5006 Bergen, Norway; [Ottera, O. H.; Tjiputra, J.] Uni Res, Uni Bjerknes Ctr, N-5007 Bergen, Norway; [Tjiputra, J.] Univ Bergen, Inst Geophys, N-5007 Bergen, Norway; [Denvil, S.] UPMC, CNRS, IPSL, F-75252 Paris 05, France</t>
  </si>
  <si>
    <t>Free University of Berlin; Met Office - UK; Hadley Centre; Meteo France; Centre National de la Recherche Scientifique (CNRS); Max Planck Society; Sorbonne Universite; Universite Paris Cite; Centre National de la Recherche Scientifique (CNRS); Ecole des Ponts ParisTech; Nansen Environmental &amp; Remote Sensing Center (NERSC); Bjerknes Centre for Climate Research; University of Bergen; Sorbonne Universite; Universite Paris Cite; Centre National de la Recherche Scientifique (CNRS)</t>
  </si>
  <si>
    <t>Koerper, J (corresponding author), Free Univ Berlin, Inst Meteorol, Carl Heinrich Becker Weg 6-10, D-12165 Berlin, Germany.</t>
  </si>
  <si>
    <t>janina.koerper@met.fu-berlin.de</t>
  </si>
  <si>
    <t>Dufresne, Jean-Louis/I-5616-2015; Lowe, Jason/GQI-4036-2022; Otterå, Odd Helge/H-7854-2016; Otterå, Odd Helge/AAD-5006-2022; Sanderson, Michael/JYP-2959-2024; Tjiputra, Jerry/AAB-5896-2022</t>
  </si>
  <si>
    <t>Dufresne, Jean-Louis/0000-0003-4764-9600; Sanderson, Michael/0000-0001-8123-8237; Denvil, Sebastien/0000-0002-6715-3533; AZIRI, Dhiya eddine/0000-0003-2008-868X; Giorgetta, Marco/0000-0002-4278-1963; Hewitt, Chris/0000-0002-4718-4009; Tjiputra, Jerry/0000-0002-4600-2453</t>
  </si>
  <si>
    <t>European Commission [GOCE-CT-2003-505539]; Joint DECC/Defra Met Office Hadley Centre Climate Programme [GA01101]</t>
  </si>
  <si>
    <t>European Commission(European Union (EU)European Commission Joint Research Centre); Joint DECC/Defra Met Office Hadley Centre Climate Programme</t>
  </si>
  <si>
    <t>We gratefully acknowledge the ENSEMBLES project, funded by the European Commission's 6th Framework Program (FP6) through contract GOCE-CT-2003-505539. Anne Pardaens and Jason Lowe were also supported by the Joint DECC/Defra Met Office Hadley Centre Climate Programme (GA01101). We thank two anonymous reviewers for their very helpful suggestions and Larry Gates for his very helpful comments.</t>
  </si>
  <si>
    <t>SPRINGER</t>
  </si>
  <si>
    <t>ONE NEW YORK PLAZA, SUITE 4600, NEW YORK, NY, UNITED STATES</t>
  </si>
  <si>
    <t>0930-7575</t>
  </si>
  <si>
    <t>1432-0894</t>
  </si>
  <si>
    <t>CLIM DYNAM</t>
  </si>
  <si>
    <t>Clim. Dyn.</t>
  </si>
  <si>
    <t>3-4</t>
  </si>
  <si>
    <t>10.1007/s00382-012-1612-9</t>
  </si>
  <si>
    <t>081CA</t>
  </si>
  <si>
    <t>hybrid, Green Submitted</t>
  </si>
  <si>
    <t>WOS:000314292200001</t>
  </si>
  <si>
    <t>Wang, YT; Sodemann, H; Hou, SG; Masson-Delmotte, V; Jouzel, J; Pang, HX</t>
  </si>
  <si>
    <t>Wang, Yetang; Sodemann, Harald; Hou, Shugui; Masson-Delmotte, Valerie; Jouzel, Jean; Pang, Hongxi</t>
  </si>
  <si>
    <t>Snow accumulation and its moisture origin over Dome Argus, Antarctica</t>
  </si>
  <si>
    <t>SURFACE MASS-BALANCE; DRONNING MAUD LAND; SHALLOW ICE CORE; TEMPORAL VARIABILITY; ISOTOPIC COMPOSITION; SPATIAL VARIABILITY; DEUTERIUM EXCESS; ZHONGSHAN STATION; EAST ANTARCTICA; TRAVERSE ROUTE</t>
  </si>
  <si>
    <t>The spatial and temporal variability of snow accumulation near Dome Argus, Antarctica, is assessed using new snow pit and stake measurement data together with existing snow pit, ice core and automatic weather station records. Snow accumulation rate shows large inter-annual variations, but stable multi-decadal levels over the last seven centuries. Spatial variations in snow accumulation within the space of 50 km of Dome Argus are relatively small, probably thanks to the smooth topography. A comparison of theses accumulation observations with ECMWF reanalyses (ERA-40 and ERA-Interim) suggests ECMWF reanalysis captures the seasonal variations, but underestimates the overall snow accumulation at Dome Argus by similar to 50 %. The moisture sources for precipitation over Dome Argus are examined by means of a Lagrangian moisture source diagnostic, based on the tracing of specific humidity changes along air parcel trajectories, for the period 2000-2004 using operational ECMWF analysis data. Dome Argus mainly receives moisture from the mid-latitude (46 +/- A 4A degrees S) South Indian Ocean, with a seasonal latitudinal shift of about 6A degrees. Compared to other central East Antarctic deep ice core sites such as Dome F, Dome C, Vostok, and EPICA Dronning Maud Land, Dome Argus has a more southerly moisture origin, probably due to topographic influences on the moisture transport paths. These results have important implications for the interpretation of future ice cores at Dome Argus.</t>
  </si>
  <si>
    <t>[Wang, Yetang; Hou, Shugui; Pang, Hongxi] Nanjing Univ, MOE, Key Lab Coast &amp; Isl Dev, Sch Geog &amp; Oceanog Sci, Nanjing 210093, Jiangsu, Peoples R China; [Wang, Yetang] Shandong Marine Fisheries Res Inst, Shandong Prov Key Lab Marine Ecol Restorat, Yantai 264006, Peoples R China; [Sodemann, Harald] ETH, Inst Atmospher &amp; Climate Sci, Zurich, Switzerland; [Hou, Shugui] Chinese Acad Sci, State Key Lab Cryospher Sci, Cold &amp; Arid Reg Environm &amp; Engn Res Inst, Lanzhou 73000, Peoples R China; [Masson-Delmotte, Valerie; Jouzel, Jean] CE Saclay, CEA CNRS UVSQ, LSCE, IPSL, F-91191 Gif Sur Yvette, France</t>
  </si>
  <si>
    <t>Nanjing University; Swiss Federal Institutes of Technology Domain; ETH Zurich; Chinese Academy of Sciences; Cold &amp; Arid Regions Environmental &amp; Engineering Research Institute, CAS; Universite Paris Saclay; CEA; Centre National de la Recherche Scientifique (CNRS); Universite Paris Cite</t>
  </si>
  <si>
    <t>Wang, YT (corresponding author), Nanjing Univ, MOE, Key Lab Coast &amp; Isl Dev, Sch Geog &amp; Oceanog Sci, Nanjing 210093, Jiangsu, Peoples R China.</t>
  </si>
  <si>
    <t>wangyetang@163.com; shugui@nju.edu.cn</t>
  </si>
  <si>
    <t>Sodemann, Harald/ABG-5304-2021; Masson-Delmotte, Valerie L/G-1995-2011; Hou, Shugui/J-3651-2015</t>
  </si>
  <si>
    <t>Sodemann, Harald/0000-0002-8167-0860; Masson-Delmotte, Valerie L/0000-0001-8296-381X; Hou, Shugui/0000-0002-0905-3542</t>
  </si>
  <si>
    <t>Natural Science Foundation of China [40825017, 41171052, 41176165]; State Oceanic Administration [CHINARE2012-02-02]; Ministry of Education [20110091110025]</t>
  </si>
  <si>
    <t>Natural Science Foundation of China(National Natural Science Foundation of China (NSFC)); State Oceanic Administration; Ministry of Education</t>
  </si>
  <si>
    <t>Thanks to the members of the 21st and 26th CHINARE for field support. Thanks to Michiel Martijn Helsen for providing 1 degrees x 1 degrees ERA-40 data. We would like to acknowledge two anonymous referees for their comments and suggestions to improve the paper. This work was funded by the Natural Science Foundation of China (40825017, 41171052, 41176165), the State Oceanic Administration (CHINARE2012-02-02) and Ministry of Education (20110091110025).</t>
  </si>
  <si>
    <t>233 SPRING ST, NEW YORK, NY 10013 USA</t>
  </si>
  <si>
    <t>10.1007/s00382-012-1398-9</t>
  </si>
  <si>
    <t>WOS:000314292200012</t>
  </si>
  <si>
    <t>Talalay, PG</t>
  </si>
  <si>
    <t>Talalay, Pavel G.</t>
  </si>
  <si>
    <t>Subglacial till and bedrock drilling</t>
  </si>
  <si>
    <t>COLD REGIONS SCIENCE AND TECHNOLOGY</t>
  </si>
  <si>
    <t>Drilling technology; Glacier bedrock sampling; Till; Subglacial environment</t>
  </si>
  <si>
    <t>ANTARCTIC ICE STREAM; BLACK RAPIDS GLACIER; SEDIMENT DEFORMATION; HYDRAULIC SYSTEM; WEST ANTARCTICA; GREENLAND; BENEATH; CORE; CONSTRAINTS; ALASKA</t>
  </si>
  <si>
    <t>Drilling to till and bedrock of ice sheets and glaciers offers unique opportunities for examining processes acting at the bed. Samples of basal and subglacial material contain important paleo-climatic and paleo-environmental records and provide a unique habitat for life, give significant information on sediment deformation beneath glaciers and its coupling to the subglacial hydraulic system, subglacial geology, and tectonics. Retrieving bedrock samples under ice sheets and glaciers is a very difficult task. Drilling operations are complicated by extremely low temperature at the surface of, and within glaciers, and by glacier flow, the absence of roads and infrastructures, storms, winds, snowfalls, etc. Nevertheless, borehole drilling might be considered as the optimal method to access beds of the glaciers and to sample subglacial material. Four types of subglacial drilling technologies are considered: (1) non-rotary sampling; (2) non-core penetrating; (3) pipe-string rotary drilling; (4) electromechanical cable-suspended drilling. The most simple and effective systems for sampling in subglacial soft sediments or unfrozen till from pre-drilled access holes are non-rotary devices like gravity corer and piston corer. The maximal thickness of ice is determined by the length of wire rope attached to the corer and could possibly be more than 4000 m. Potentially, piston sampling can reach a maximal depth of 25 m in soft subglacial lake sediments. In stiffer sediments a hammer corer or vibrocorer should be used. To install different sensors and markers into the soft till beneath glaciers and to measure basal sliding, different types of sediment non-core penetrators were used. Typically the boreholes are pre-drilled by hot-water systems as well. To recover core of the true bedrock the rotary drilling systems are used. The experience of pipe-string rotary drilling in subglacial environment showed that drilling operations were very unstable, and the recovery of subglacial sediment was generally poor. Commercial drilling rigs for drilling up to the depth of 3000 m or more tend to be very heavy and require a large logistical load to move and support. They also require more equipment for the circulation system. Taking into account that they are not adapted for extremely unfavorable conditions in Polar Regions and also need high power consumption, these drill rigs were not considered for subglacial exploration. Electromechanical cable-suspended systems are widely used for core drilling in pure and debris-containing ice. The main feature of these systems is that an armored cable with a winch is used instead of a pipe-string to provide power to the down-hole motor system and to retrieve the down-hole unit. The use of armored cable allows a significant reduction in power and material consumption, a decrease in the time of round-trip operations, and a simplification in the cleaning of the hole from the cuttings. To penetrate frozen till and bedrock the electomechanical drills can be adapted for coring bedrock. This was confirmed by four successful penetrations into the bedrock carried out by U.S. and Russian specialists. The procedure of till and bedrock drilling and the geological description of retrieved debris-containing ice and bedrock cores are given. (C) 2012 Elsevier B.V. All rights reserved.</t>
  </si>
  <si>
    <t>Jilin Univ, Polar Res Ctr, Changchun 130026, Jilin Province, Peoples R China</t>
  </si>
  <si>
    <t>Jilin University</t>
  </si>
  <si>
    <t>Talalay, PG (corresponding author), Jilin Univ, Polar Res Ctr, 6 Ximinzhu St, Changchun 130026, Jilin Province, Peoples R China.</t>
  </si>
  <si>
    <t>ptalalay@yahoo.com</t>
  </si>
  <si>
    <t>Talalay, Pavel/AAH-2908-2020</t>
  </si>
  <si>
    <t>Talalay, Pavel/0000-0002-8230-4600</t>
  </si>
  <si>
    <t>ELSEVIER SCIENCE BV</t>
  </si>
  <si>
    <t>AMSTERDAM</t>
  </si>
  <si>
    <t>PO BOX 211, 1000 AE AMSTERDAM, NETHERLANDS</t>
  </si>
  <si>
    <t>0165-232X</t>
  </si>
  <si>
    <t>1872-7441</t>
  </si>
  <si>
    <t>COLD REG SCI TECHNOL</t>
  </si>
  <si>
    <t>Cold Reg. Sci. Tech.</t>
  </si>
  <si>
    <t>10.1016/j.coldregions.2012.08.009</t>
  </si>
  <si>
    <t>Engineering, Environmental; Engineering, Civil; Geosciences, Multidisciplinary</t>
  </si>
  <si>
    <t>Engineering; Geology</t>
  </si>
  <si>
    <t>084SD</t>
  </si>
  <si>
    <t>WOS:000314558500014</t>
  </si>
  <si>
    <t>Vance, TR; van Ommen, TD; Curran, MAJ; Plummer, CT; Moy, AD</t>
  </si>
  <si>
    <t>Vance, Tessa R.; van Ommen, Tas D.; Curran, Mark A. J.; Plummer, Chris T.; Moy, Andrew D.</t>
  </si>
  <si>
    <t>A Millennial Proxy Record of ENSO and Eastern Australian Rainfall from the Law Dome Ice Core, East Antarctica</t>
  </si>
  <si>
    <t>NINO-SOUTHERN-OSCILLATION; EL-NINO; SURFACE-TEMPERATURE; ANNULAR MODE; PACIFIC; VARIABILITY; CLIMATE; BLOCKING; TELECONNECTION; PRECIPITATION</t>
  </si>
  <si>
    <t>ENSO causes climate extremes across and beyond the Pacific basin; however, evidence of ENSO at high southern latitudes is generally restricted to the South Pacific and West Antarctica. Here, the authors report a statistically significant link between ENSO and sea salt deposition during summer from the Law Dome (LD) ice core in East Antarctica. ENSO-related atmospheric anomalies from the central-western equatorial Pacific (CWEP) propagate to the South Pacific and the circumpolar high latitudes. These anomalies modulate high-latitude zonal winds, with El Nino (La Nina) conditions causing reduced (enhanced) zonal wind speeds and subsequent reduced (enhanced) summer sea salt deposition at LD. Over the last 1010 yr, the LD summer sea salt (LDSSS) record has exhibited two below-average (El Nino-like) epochs, 1000-1260AD and 1920-2009AD, and a longer above-average (La Nina-like) epoch from 1260 to 1860 AD. Spectral analysis shows the below-average epochs are associated with enhanced ENSO-like variability around 2-5 yr, while the above-average epoch is associated more with variability around 6-7 yr. The LDSSS record is also significantly correlated with annual rainfall in eastern mainland Australia. While the correlation displays decadal-scale variability similar to changes in the interdecadal Pacific oscillation (IPO), the LDSSS record suggests rainfall in the modern instrumental era (1910-2009 AD) is below the long-term average. In addition, recent rainfall declines in some regions of eastern and southeastern Australia appear to be mirrored by a downward trend in the LDSSS record, suggesting current rainfall regimes are unusual though not unknown over the last millennium.</t>
  </si>
  <si>
    <t>[Vance, Tessa R.; van Ommen, Tas D.; Curran, Mark A. J.; Moy, Andrew D.] Univ Tasmania, Antarctic Climate &amp; Ecosyst Cooperat Res Ctr, Hobart, Tas, Australia; [van Ommen, Tas D.; Curran, Mark A. J.; Moy, Andrew D.] Australian Antarctic Div, Kingston, ON, Canada; [Plummer, Chris T.] Univ Tasmania, Inst Marine &amp; Antarctic Studies, Hobart, Tas, Australia</t>
  </si>
  <si>
    <t>University of Tasmania; Antarctic Climate &amp; Ecosystems Cooperative Research Centre (ACE CRC); Australian Antarctic Division; University of Tasmania</t>
  </si>
  <si>
    <t>Vance, TR (corresponding author), Antarctic Climate &amp; Ecosyst CRC, Private Bag 80, Hobart, Tas 7000, Australia.</t>
  </si>
  <si>
    <t>tessa.vance@utas.edu.au</t>
  </si>
  <si>
    <t>IPO, PAGES/JXY-7546-2024; van Ommen, Tas/B-5020-2012</t>
  </si>
  <si>
    <t>Vance, Tessa/0000-0001-6970-8646; Plummer, Christopher/0000-0002-9765-5753; van Ommen, Tas/0000-0002-2463-1718; Moy, Andrew/0000-0002-7664-9960</t>
  </si>
  <si>
    <t>Australian Government s Cooperative Research Centres Programme, through the Antarctic Climate; Ecosystems Cooperative Research Centre (ACE CRC)</t>
  </si>
  <si>
    <t>Australian Government s Cooperative Research Centres Programme, through the Antarctic Climate(Australian GovernmentDepartment of Industry, Innovation and ScienceCooperative Research Centres (CRC) Programme); Ecosystems Cooperative Research Centre (ACE CRC)(Australian GovernmentDepartment of Industry, Innovation and ScienceCooperative Research Centres (CRC) Programme)</t>
  </si>
  <si>
    <t>This work was supported by the Australian Government s Cooperative Research Centres Programme, through the Antarctic Climate and Ecosystems Cooperative Research Centre (ACE CRC). NCEP correlations and composites produced using NOAA/ESRL PDI data (http://www.esrl.noaa.gov/psd/) and Panoply version 3.0 (http://www.giss.nasa.gov/tools/panoply). SST data are from the Met Office (http://www.metoffice.gov.uk/hadobs). We thank M. Pook, J. Risbey, G. Meyers, and three anonymous reviewers for helpful comments and suggestions.</t>
  </si>
  <si>
    <t>10.1175/JCLI-D-12-00003.1</t>
  </si>
  <si>
    <t>086OR</t>
  </si>
  <si>
    <t>WOS:000314695500002</t>
  </si>
  <si>
    <t>Hernández-León, S; Sangrà, P; Lehette, P; Lubián, L; Almeida, C; Putzeys, S; Bécognée, P; Andrade, MP</t>
  </si>
  <si>
    <t>Hernandez-Leon, S.; Sangra, P.; Lehette, P.; Lubian, L.; Almeida, C.; Putzeys, S.; Becognee, P.; Andrade, M. P.</t>
  </si>
  <si>
    <t>Zooplankton biomass and metabolism in the frontal zones of the Bransfield Strait, Antarctica</t>
  </si>
  <si>
    <t>JOURNAL OF MARINE SYSTEMS</t>
  </si>
  <si>
    <t>Zooplankton; Biomass; Metabolism; Fronts; Antarctica</t>
  </si>
  <si>
    <t>CONVERGENCE REGION SOUTH; SUBTROPICAL-CONVERGENCE; PHYTOPLANKTON BIOMASS; PENINSULA; GROWTH; RESPIRATION; COMMUNITIES; GERLACHE; BLOOMS; IMAGES</t>
  </si>
  <si>
    <t>Biomass, abundance, gut fluorescence and electron transfer system (ETS) activity of zooplankton have been studied in the Bransfield Strait (Antarctic Peninsula). Two well-defined frontal systems were observed: (1) the so-called Peninsula front between the Transitional Bellingshausen Water (TBW) and Transitional Weddell Waters (TWW); and (2) the Bransfield front related to the Bransfield Gravity Current flowing northeastward along the slope of the South Shetland Islands. As expected, a typical pattern of plankton distribution was observed with higher phyto- and mesozooplankton in the TBW. However, our more detailed study of the Peninsula front between the TBW and TWW showed the sinking of phytoplankton and a higher abundance of large copepods on the TBW side of the front while krill and small copepods were observed on the opposite side, in the TWIN. Ageostrophic secondary circulation around the front supported a striking food web at both sides of the front. It is suggested that this pattern drives a relatively important flux of carbon, due to the sinking of phytoplankton and the production of fast sinking fecal pellets by large copepods and krill. (C) 2012 Elsevier B.V. All rights reserved.</t>
  </si>
  <si>
    <t>[Hernandez-Leon, S.; Sangra, P.; Lehette, P.; Almeida, C.; Putzeys, S.; Becognee, P.; Andrade, M. P.] Univ Las Palmas GC, Inst Oceanog &amp; Global Change, Canary Isl, Spain; [Lubian, L.] CSIC, Inst Ciencia Marinas Andalucia, Cadiz, Spain; [Andrade, M. P.] Ctr Oceanog Malaga, Insituto Espanol Oceanog, Malaga, Spain</t>
  </si>
  <si>
    <t>Universidad de Las Palmas de Gran Canaria; Consejo Superior de Investigaciones Cientificas (CSIC); CSIC - Instituto de Ciencias Marinas de Andalucia (ICMAN); Spanish Institute of Oceanography</t>
  </si>
  <si>
    <t>Hernández-León, S (corresponding author), Univ Las Palmas GC, Inst Oceanog &amp; Global Change, Canary Isl, Spain.</t>
  </si>
  <si>
    <t>shemandez@dbio.ulpgc.es</t>
  </si>
  <si>
    <t>Hernández-León, Santiago/M-2563-2014; DE ALMEIDA, CARLOS CAETANO/K-4265-2016; Almeida, Carlos/AAN-3854-2021; LUBIAN, LUIS M/L-7241-2014; Sangra, Pablo/I-1350-2015; Lehette, Pascal/L-3853-2017</t>
  </si>
  <si>
    <t>Almeida, Carlos/0000-0001-9283-4851; Hernandez-Leon, Santiago/0000-0002-3085-4969; Sangra, Pablo/0000-0002-6600-2194; Putzeys, Sebastien/0000-0003-2947-2629; Lehette, Pascal/0000-0002-6923-6359</t>
  </si>
  <si>
    <t>CICYT (Spanish Commission for Science and Technology) [REN2001-2650, CTM2008-06343-CO2-01]; Spanish Government (Salvador de Madariaga) [PR2010-0517]</t>
  </si>
  <si>
    <t>CICYT (Spanish Commission for Science and Technology)(Consejo Interinstitucional de Ciencia y Tecnologia (CICYT)); Spanish Government (Salvador de Madariaga)</t>
  </si>
  <si>
    <t>The authors are indebted to all the technical staff and crew of the RV Hesperides. This research was supported financially by the Breddies (REN2001-2650) and Coupling (CTM2008-06343-CO2-01) projects of the CICYT (Spanish Commission for Science and Technology). Part of this paper was written while PS was visiting the Institute of Geophysics and Planetary Physics, University of California, Los Angeles, supported by a scholarship from the Spanish Government (Salvador de Madariaga, PR2010-0517).</t>
  </si>
  <si>
    <t>ELSEVIER</t>
  </si>
  <si>
    <t>RADARWEG 29, 1043 NX AMSTERDAM, NETHERLANDS</t>
  </si>
  <si>
    <t>0924-7963</t>
  </si>
  <si>
    <t>1879-1573</t>
  </si>
  <si>
    <t>J MARINE SYST</t>
  </si>
  <si>
    <t>J. Mar. Syst.</t>
  </si>
  <si>
    <t>10.1016/j.jmarsys.2012.11.001</t>
  </si>
  <si>
    <t>Geosciences, Multidisciplinary; Marine &amp; Freshwater Biology; Oceanography</t>
  </si>
  <si>
    <t>Geology; Marine &amp; Freshwater Biology; Oceanography</t>
  </si>
  <si>
    <t>082EQ</t>
  </si>
  <si>
    <t>WOS:000314375500017</t>
  </si>
  <si>
    <t>Munday, DR; Zhai, X</t>
  </si>
  <si>
    <t>Munday, D. R.; Zhai, X.</t>
  </si>
  <si>
    <t>Modulation of eddy kinetic energy, temperature variance, and eddy heat fluxes by surface buoyancy forcing</t>
  </si>
  <si>
    <t>OCEAN MODELLING</t>
  </si>
  <si>
    <t>Ocean modelling; Eddy-resolving model; Eddy kinetic energy; Surface buoyancy forcing; Residual flow</t>
  </si>
  <si>
    <t>ANTARCTIC CIRCUMPOLAR CURRENT; MESOSCALE TRACER TRANSPORTS; GLOBAL OCEAN CIRCULATION; AIR-SEA INTERACTION; SOUTHERN-OCEAN; MIXED-LAYER; OVERTURNING CIRCULATION; MODEL; CONVECTION; FLOW</t>
  </si>
  <si>
    <t>Although mesoscale eddies are a ubiquitous feature of the world's oceans, mechanisms determining their strength and variability remain poorly understood. Here we investigate the effects of surface buoyancy forcing on eddy kinetic energy (EKE), temperature variance, and lateral eddy heat fluxes. In keeping with previous investigations, sustained heat loss ultimately leads to an increase in the magnitude of EKE, whereas sustained heat gain only alters the spatial pattern of EKE, albeit enhancing the temperature variance. These changes to the eddy field and stratification are shown to result in changes in meridional eddy heat flux and residual meridional overturning circulation, which acts to bring the system to equilibrium with the applied surface buoyancy forcing. (C) 2012 Elsevier Ltd. All rights reserved.</t>
  </si>
  <si>
    <t>[Munday, D. R.; Zhai, X.] Univ Oxford, Dept Phys, Oxford OX1 3PU, England; [Zhai, X.] Univ E Anglia, Sch Environm Sci, Norwich NR4 7TJ, Norfolk, England</t>
  </si>
  <si>
    <t>University of Oxford; University of East Anglia</t>
  </si>
  <si>
    <t>Munday, DR (corresponding author), Univ Oxford, Dept Phys, Oxford OX1 3PU, England.</t>
  </si>
  <si>
    <t>munday@atm.ox.ac.uk</t>
  </si>
  <si>
    <t>Munday, David/Y-7052-2019; Munday, David R/R-1986-2016</t>
  </si>
  <si>
    <t>Munday, David R/0000-0003-1920-708X</t>
  </si>
  <si>
    <t>UK Natural Environment Research Council; Office of Science and Technology through EPSRC's High End Computing Programme</t>
  </si>
  <si>
    <t>UK Natural Environment Research Council(UK Research &amp; Innovation (UKRI)Natural Environment Research Council (NERC)); Office of Science and Technology through EPSRC's High End Computing Programme(UK Research &amp; Innovation (UKRI)Engineering &amp; Physical Sciences Research Council (EPSRC))</t>
  </si>
  <si>
    <t>The authors wish to acknowledge Ryan Abernathey for his MIT-gcm layers package, which made calculation of the residual overturning quick and simple. The authors thank two anonymous reviewers whose constructive criticism led to a significant improvement to the manuscript. D.R.M. and X.Z. are both supported by the UK Natural Environment Research Council. This work made use of the facilities of HECToR, the UK's national high-performance computing service, which is provided by UoE HPCx Ltd. at the University of Edinburgh, Cray Inc. and NAG Ltd., and funded by the Office of Science and Technology through EPSRC's High End Computing Programme.</t>
  </si>
  <si>
    <t>1463-5003</t>
  </si>
  <si>
    <t>OCEAN MODEL</t>
  </si>
  <si>
    <t>Ocean Model.</t>
  </si>
  <si>
    <t>10.1016/j.ocemod.2012.11.003</t>
  </si>
  <si>
    <t>Meteorology &amp; Atmospheric Sciences; Oceanography</t>
  </si>
  <si>
    <t>086MX</t>
  </si>
  <si>
    <t>WOS:000314689900004</t>
  </si>
  <si>
    <t>Brunn, B; Nitschke, A; Schramm, T</t>
  </si>
  <si>
    <t>Brunn, Benjamin; Nitschke, Andreas; Schramm, Thomas</t>
  </si>
  <si>
    <t>New Indian Research Station at Larsemann Hills, Antarctica</t>
  </si>
  <si>
    <t>STRUCTURAL ENGINEERING INTERNATIONAL</t>
  </si>
  <si>
    <t>research station; Antarctica; India; general planning; container building; architecture</t>
  </si>
  <si>
    <t>Apart from technical issues the first challenge of this extraordinary project was the integration of all involved parties: the Indian client, the Norwegian and German construction companies, and the authors as the German general planners and site supervisors who were the head of a team with two sub-consultants for architecture and building services. The second challenge was the location: Antarctica. Boundary conditions, usually taken from codes of practice, must be determined by investigation, engineering judgement and statistics, for example, wind loads, snow, ice and rock conditions. All materials needed to be suitable for Antarctica, which means, resistant to low temperatures, high ultra violet (UV) radiation, air salinity and abrasive ice particles during extreme wind conditions. The third challenge centred around logistical planning. All the materials had to fit into 20 ft International Standards Organisation (ISO) containers for easy transport; however, the containers were also required to be light enough for helicopter transport, since ice conditions made it impossible for the vessel to reach the site on time. The time frame for construction during the Antarctic summer was short. Therefore, construction had to start prior to the arrival of the vessel. All the boundary conditions are reflected in the building and its type of construction; the form and materials are suited for the location, climate and logistics. The research station is located on a small peninsula of Larsemann Hills. The three-storey containerised building, 52 m long and 30 m wide, can accommodate up to 47 people and contains laboratories, a garage, a workshop, living and office areas, a cinema, a fitness room, a library, dining hall and lounge with a view of the Antarctic Ocean. The Indian government initiated this state-of-the-art project, which was successfully completed through the cooperation of international participants whose passion, faith and respect for each other and nature ruled over regulations and standards.</t>
  </si>
  <si>
    <t>[Brunn, Benjamin; Nitschke, Andreas; Schramm, Thomas] IMS Ingn Gesell GmbH, D-20097 Hamburg, Germany</t>
  </si>
  <si>
    <t>Brunn, B (corresponding author), IMS Ingn Gesell GmbH, Stadtdeich 7, D-20097 Hamburg, Germany.</t>
  </si>
  <si>
    <t>b.brunn@ims-ing.de</t>
  </si>
  <si>
    <t>IABSE</t>
  </si>
  <si>
    <t>ZURICH</t>
  </si>
  <si>
    <t>ETH ZURICH, ZURICH, 8093, SWITZERLAND</t>
  </si>
  <si>
    <t>1016-8664</t>
  </si>
  <si>
    <t>STRUCT ENG INT</t>
  </si>
  <si>
    <t>Struct. Eng. Int.</t>
  </si>
  <si>
    <t>10.2749/101686613X13439149157353</t>
  </si>
  <si>
    <t>Construction &amp; Building Technology; Engineering, Civil</t>
  </si>
  <si>
    <t>Construction &amp; Building Technology; Engineering</t>
  </si>
  <si>
    <t>082HF</t>
  </si>
  <si>
    <t>WOS:000314382200008</t>
  </si>
  <si>
    <t>Mooney, TJ; King, CK; Wasley, J; Andrew, NR</t>
  </si>
  <si>
    <t>Mooney, Thomas J.; King, Catherine K.; Wasley, Jane; Andrew, Nigel R.</t>
  </si>
  <si>
    <t>Toxicity of diesel contaminated soils to the subantarctic earthworm Microscolex macquariensis</t>
  </si>
  <si>
    <t>ENVIRONMENTAL TOXICOLOGY AND CHEMISTRY</t>
  </si>
  <si>
    <t>Macquarie Island; Petroleum hydrocarbon; Fuel; Avoidance; Survival; Reproduction</t>
  </si>
  <si>
    <t>PETROLEUM; BIOAVAILABILITY; BIOREMEDIATION; SEQUESTRATION; HYDROCARBONS; BIODIVERSITY; ATTENUATION; CHEMICALS; SPILLS</t>
  </si>
  <si>
    <t>Several fuel spills have occurred on subantarctic Macquarie Island (54 degrees 30' S 158 degrees 57' E) associated with storing fuel and generating power for the island's research station. The Australian Antarctic Division began full-scale, on-site remediation of these sites in 2009. To develop appropriate target concentrations for remediation, acute and chronic tests were developed with the endemic earthworm, Microscolex macquariensis, using avoidance, survival, and reproduction as endpoints. Uncontaminated low (3%), medium (11%), and high (38-48%) carbon content soils from Macquarie Island were used to examine the influence of soil carbon on toxicity. Soils were spiked with Special Antarctic Blend (SAB) diesel and used either immediately to simulate a fresh spill or after four weeks to simulate an aged spill. Earthworms were sensitive to fresh SAB, with significant avoidance at 181?mg/kg; acute 14-d survival median lethal concentration (LC50) of 103?mg/kg for low carbon soil; and juvenile production median effective concentration (EC50) of 317?mg/kg for high carbon soil. Earthworms were less sensitive to aged SAB than to fresh SAB in high carbon soil for juvenile production (EC50 of 1,753 and 317?mg/kg, respectively), but were more sensitive for adult survival (LC50 of 2,322 and 1,364?mg/kg, respectively). Using M. macquariensis as a surrogate for soil quality, approximately 50 to 200?mg SAB/kg soil would be a sufficiently protective remediation target. Environ. Toxicol. Chem. 2013;32:370377. (C) 2012 SETAC</t>
  </si>
  <si>
    <t>[Mooney, Thomas J.; Andrew, Nigel R.] Univ New England, Ctr Behav &amp; Physiol Ecol, Armidale, NSW, Australia; [Mooney, Thomas J.; King, Catherine K.; Wasley, Jane] Australian Antarctic Div, Terr &amp; Near Shore Ecosyst Program, Kingston, Tas, Australia</t>
  </si>
  <si>
    <t>University of New England; Australian Antarctic Division</t>
  </si>
  <si>
    <t>Mooney, TJ (corresponding author), Univ New England, Ctr Behav &amp; Physiol Ecol, Armidale, NSW, Australia.</t>
  </si>
  <si>
    <t>tom.mooney@aad.gov.au</t>
  </si>
  <si>
    <t>Andrew, Nigel/B-7162-2008; Wasley, Jane/KHX-4880-2024; King, Catherine K/G-7059-2017</t>
  </si>
  <si>
    <t>Andrew, Nigel/0000-0002-2850-2307; King, Catherine K/0000-0003-3356-0381; Mooney, Thomas/0000-0002-9217-6382; Wasley, Jane/0000-0001-9379-664X</t>
  </si>
  <si>
    <t>Australian Antarctic Division</t>
  </si>
  <si>
    <t>Funding for the present study was provided by the Australian Antarctic Division. The authors thank the Risk and Remediation team at the Australian Antarctic Division, especially G. Hince, A. Palmer, S. Stark, and T. Raymond.</t>
  </si>
  <si>
    <t>0730-7268</t>
  </si>
  <si>
    <t>1552-8618</t>
  </si>
  <si>
    <t>ENVIRON TOXICOL CHEM</t>
  </si>
  <si>
    <t>Environ. Toxicol. Chem.</t>
  </si>
  <si>
    <t>10.1002/etc.2060</t>
  </si>
  <si>
    <t>Environmental Sciences; Toxicology</t>
  </si>
  <si>
    <t>Environmental Sciences &amp; Ecology; Toxicology</t>
  </si>
  <si>
    <t>075ET</t>
  </si>
  <si>
    <t>WOS:000313867300018</t>
  </si>
  <si>
    <t>Pereira, TTC; Schaefer, CEGR; Ker, JC; Almeida, CC; Almeida, ICC</t>
  </si>
  <si>
    <t>Pereira, Thiago T. C.; Schaefer, Carlos Ernesto G. R.; Ker, Joao C.; Almeida, Cecilia C.; Almeida, Ivan C. C.</t>
  </si>
  <si>
    <t>Micromorphological and microchemical indicators of pedogenesis in Ornithogenic Cryosols (Gelisols) of Hope Bay, Antarctic Peninsula</t>
  </si>
  <si>
    <t>GEODERMA</t>
  </si>
  <si>
    <t>Soil microstructure; Phosphatic minerals; Phosphatization; WDS analysis</t>
  </si>
  <si>
    <t>MARITIME ANTARCTICA; TURBIC CRYOSOLS; DISTRIBUTIONS; PERMAFROST; PARTICLES</t>
  </si>
  <si>
    <t>Micromorphological investigations of Antarctic soils are comparatively scarce, however, they could help understand the genesis of cryogenic soils under extreme polar conditions and different biotic factors. In most areas of Maritime Antarctica, the soil structure is apparently influenced by the local lithology, cryoturbation, guano deposition and reaction of guano solutions. The present study was carried out in Hope Bay, in the northern part of the Antarctic Peninsula, possibly one of the oldest sites of penguin occupation in the region. We describe and analyze the most important micro and sub-microscopic features of selected Ornithogenic Cryosols (Gelisols) from this part of Antarctic Peninsula, representing a transitional climatic zone between the wetter South Shetlands and the much drier Weddell Sea sector. Nine pedons representing the main ornithogenic soils found in ice-free areas of Hope Bay were selected for the micromorphological study. Undisturbed soil blocks were sampled at different depths, ranging between 0 and 30 cm. The microstructure and sub-microstructure were further investigated using a JEOL 8200 and a Zeiss scanning electron microscopes, both coupled with an microprobe (SEM/WDS). These pedons have a very limited surface accumulation of organic matter formed by mosses and lichens, changing abruptly to a mineral phosphatic horizon of bleached colours, and usually hardcemented by ice. A small to medium-sized granular structure is generally observed, with ovoidal, subrounded forms, including several well-defined ornithogenic materials, such as P-rich organic remains, nodular phosphates forms and minute fragments of bone apatite. The chemical composition of ornithogenic materials and phosphatic coatings indicates the presence of discrete forms of taranakite, minyulite, leucophosphite, struvite and fluorapatite, typical of phosphatization process in these soils. Phosphatization and enhanced chemical alteration of the substrate and is one of the main soil-forming process in ornithogenic soils, resulting in P-rich ovoidal aggregates formation. P-rich solutions penetrate desiccation fractures and cleavage planes in large clasts and react preferably with plagioclases. P reacts with Al and Fe to form various amorphous and crystalline P phases. Present day permafrost cementation of deeper phosphate layers indicate that warmer/wetter conditions occurred in the past, during which P was leached downwards and reacted with the rock substrates, developing stable ovoidal aggregates, now incorporated in ice-cemented subsurface horizon. (C) 2012 Elsevier B.V. All rights reserved.</t>
  </si>
  <si>
    <t>[Pereira, Thiago T. C.; Schaefer, Carlos Ernesto G. R.; Ker, Joao C.; Almeida, Cecilia C.] Univ Fed Vicosa, Dept Solos, BR-36570000 Vicosa, MG, Brazil; [Almeida, Ivan C. C.] Inst Fed N Minas Gerais, BR-39480000 Januaria, MG, Brazil</t>
  </si>
  <si>
    <t>Universidade Federal de Vicosa; Instituto Federal do Norte de Minas Gerais (IFNMG)</t>
  </si>
  <si>
    <t>Pereira, TTC (corresponding author), Univ Fed Vicosa, Dept Solos, Av PH Rolfs S-N, BR-36570000 Vicosa, MG, Brazil.</t>
  </si>
  <si>
    <t>torresthiago@yahoo.com.br</t>
  </si>
  <si>
    <t>DE ALMEIDA, CARLOS CAETANO/K-4265-2016; Schaefer, Carlos Ernesto/AAY-4977-2020</t>
  </si>
  <si>
    <t>Ernesto Goncalves Reynaud Schaefer, Carlos/0000-0001-7060-1598; Ernesto Goncalves Reynaud Schaefer, Carlos/0000-0001-5735-3227</t>
  </si>
  <si>
    <t>Brazilian CAPES agency; Brazilian National Research and Technology Council (CNPq)</t>
  </si>
  <si>
    <t>Brazilian CAPES agency(Coordenacao de Aperfeicoamento de Pessoal de Nivel Superior (CAPES)); Brazilian National Research and Technology Council (CNPq)(Conselho Nacional de Desenvolvimento Cientifico e Tecnologico (CNPQ))</t>
  </si>
  <si>
    <t>T. Pereira and C. Schaefer acknowledge the Brazilian CAPES agency and Brazilian National Research and Technology Council (CNPq) for financing this research. Thanks are due to the Brazilian Navy for the logistics during the Antarctic expeditions. A special acknowledgment is made to the staff of the Center of Microscopy and Microanalysis and Center of Geographical Studies of the University of Lisbon for their support during the SEM/WDS analysis. This is a contribution of INCT of Cryosphere (CNPq).</t>
  </si>
  <si>
    <t>0016-7061</t>
  </si>
  <si>
    <t>Geoderma</t>
  </si>
  <si>
    <t>10.1016/j.geoderma.2012.10.023</t>
  </si>
  <si>
    <t>Soil Science</t>
  </si>
  <si>
    <t>Agriculture</t>
  </si>
  <si>
    <t>079SV</t>
  </si>
  <si>
    <t>WOS:000314193400034</t>
  </si>
  <si>
    <t>Li, JL; Paden, J; Leuschen, C; Rodriguez-Morales, F; Hale, RD; Arnold, EJ; Crowe, R; Gomez-Garcia, D; Gogineni, P</t>
  </si>
  <si>
    <t>Li, Jilu; Paden, John; Leuschen, Carl; Rodriguez-Morales, Fernando; Hale, Richard D.; Arnold, Emily J.; Crowe, Reid; Gomez-Garcia, Daniel; Gogineni, Prasad</t>
  </si>
  <si>
    <t>High-Altitude Radar Measurements of Ice Thickness Over the Antarctic and Greenland Ice Sheets as a Part of Operation IceBridge</t>
  </si>
  <si>
    <t>IEEE TRANSACTIONS ON GEOSCIENCE AND REMOTE SENSING</t>
  </si>
  <si>
    <t>High-altitude ice sheet measurements; ice surface clutter reduction; multichannel airborne radar</t>
  </si>
  <si>
    <t>DESIGN</t>
  </si>
  <si>
    <t>The National Aeronautics and Space Administration (NASA) initiated a program called Operation IceBridge for monitoring critical parts of Greenland and Antarctica with airborne LIDARs until ICESat-II is launched in 2016. We have been operating radar instrumentation on the NASA DC-8 and P-3 aircraft used for LIDAR measurements over Antarctica and Greenland, respectively. The radar package on both aircraft includes a radar depth sounder/imager operating at the center frequency of 195 MHz. During high-altitude missions flown to perform surface-elevation measurements, we also collected radar depth sounder data. We obtained good ice thickness information and mapped internal layers for both thicker and thinner ice. We successfully sounded 3.2-km-thick low-loss ice with a smooth surface and also sounded about 1-km or less thick shallow ice with a moderately rough surface. The successful sounding required processing of data with an algorithm to obtain 56-dB or lower range sidelobes and array processing with a minimum variance distortionless response algorithm to reduce cross-track surface clutter. In this paper, we provide a brief description of the radar system, discuss range-sidelobe reduction and array processing algorithms, and provide sample results to demonstrate the successful sounding of the ice bottom interface from high altitudes over the Antarctic and Greenland ice sheets.</t>
  </si>
  <si>
    <t>[Li, Jilu; Paden, John; Leuschen, Carl; Rodriguez-Morales, Fernando; Hale, Richard D.; Arnold, Emily J.; Crowe, Reid; Gomez-Garcia, Daniel; Gogineni, Prasad] Univ Kansas, Ctr Remote Sensing Ice Sheets CReSIS, Lawrence, KS 66045 USA</t>
  </si>
  <si>
    <t>University of Kansas</t>
  </si>
  <si>
    <t>Li, JL (corresponding author), Univ Kansas, Ctr Remote Sensing Ice Sheets CReSIS, Lawrence, KS 66045 USA.</t>
  </si>
  <si>
    <t>jiluli@ku.edu; paden@cresis.ku.edu; leuschen@cresis.ku.edu; frodriguez@cresis.ku.edu; rhale@ku.edu; erat10@ku.edu; rcrowe@cresis.ku.edu; daniel@cresis.ku.edu; gogineni@cresis.ku.edu</t>
  </si>
  <si>
    <t>Arnold, Emily/AFF-8696-2022</t>
  </si>
  <si>
    <t>Rodriguez-Morales, Fernando/0000-0001-8004-6145</t>
  </si>
  <si>
    <t>National Aeronautics and Space Administration [NNX10AT68G]; National Science Foundation [ANT-0424589]</t>
  </si>
  <si>
    <t>National Aeronautics and Space Administration(National Aeronautics &amp; Space Administration (NASA)); National Science Foundation(National Science Foundation (NSF))</t>
  </si>
  <si>
    <t>The results reported in the paper were collected with support from the National Aeronautics and Space Administration under Grant NNX10AT68G. Original versions of the radar and signal processing algorithms were developed with support from the National Science Foundation under Grant ANT-0424589.</t>
  </si>
  <si>
    <t>IEEE-INST ELECTRICAL ELECTRONICS ENGINEERS INC</t>
  </si>
  <si>
    <t>PISCATAWAY</t>
  </si>
  <si>
    <t>445 HOES LANE, PISCATAWAY, NJ 08855-4141 USA</t>
  </si>
  <si>
    <t>0196-2892</t>
  </si>
  <si>
    <t>1558-0644</t>
  </si>
  <si>
    <t>IEEE T GEOSCI REMOTE</t>
  </si>
  <si>
    <t>IEEE Trans. Geosci. Remote Sensing</t>
  </si>
  <si>
    <t>10.1109/TGRS.2012.2203822</t>
  </si>
  <si>
    <t>Geochemistry &amp; Geophysics; Engineering, Electrical &amp; Electronic; Remote Sensing; Imaging Science &amp; Photographic Technology</t>
  </si>
  <si>
    <t>Geochemistry &amp; Geophysics; Engineering; Remote Sensing; Imaging Science &amp; Photographic Technology</t>
  </si>
  <si>
    <t>077HW</t>
  </si>
  <si>
    <t>WOS:000314019500003</t>
  </si>
  <si>
    <t>Jiang, NB; Griffiths, G; Lorrey, A</t>
  </si>
  <si>
    <t>Jiang, Ningbo; Griffiths, Georgina; Lorrey, Andrew</t>
  </si>
  <si>
    <t>Influence of large-scale climate modes on daily synoptic weather types over New Zealand</t>
  </si>
  <si>
    <t>INTERNATIONAL JOURNAL OF CLIMATOLOGY</t>
  </si>
  <si>
    <t>weather type; synoptic climatology; ENSO; IPO; SAM; GLM; New Zealand</t>
  </si>
  <si>
    <t>INTERDECADAL PACIFIC OSCILLATION; SOUTHERN ANNULAR MODE; PATTERNS; VARIABILITY; BLOCKING; ENSO; TEMPERATURE; GLACIER; MONSOON; TRENDS</t>
  </si>
  <si>
    <t>This article examines the influence of El Nino Southern Oscillation (ENSO), Southern Annular Mode (SAM) and Interdecadal Pacific Oscillation (IPO) on the synoptic weather types over New Zealand. The effects of ENSO (indicated by the Southern Oscillation Index, SOI), SAM and IPO on the occurrence of synoptic types are estimated in a holistic framework using the maximum likelihood method via applications of generalized linear models, both annually and by seasons. The average within-class variations in the intensity and air-mass characteristics (as expressed in the Auckland Airport meteorological variables) of synoptic systems were examined for individual types at the annual level. The results show that ENSO, SAM and IPO have significant effects on the probability of occurrence and to lesser degree the intensity and air-mass characteristics of some synoptic types. The effects vary considerably with seasons, synoptic types and phases of SOI, SAM and IPO and it is the confounding effects of different large-scale modes that lead to the observed changes in the type frequencies. The findings, with respect to ENSO and SAM in all cases and for IPO at the seasonal level, are in good agreement with the literature. However, the annual changes in type frequencies associated with the 1976/1977 IPO phase shift do not support the observed changes in the strength of anomalous southwesterly windflows over New Zealand, and the influence of the recent negative IPO phase also appears different from what we expect based on the existing research. It appears that the interaction between IPO and ENSO is important for understanding the observed climatic effects of IPO on New Zealand's weather and climate. This aspect deserves further attention in future studies. The findings from this work have important methodological and practical implications for New Zealand climate research. Copyright (C) 2012 Royal Meteorological Society</t>
  </si>
  <si>
    <t>[Jiang, Ningbo] Macquarie Univ, Dept Stat, Sydney, NSW 2109, Australia; [Jiang, Ningbo] New S Wales Dept Educ &amp; Training, Sydney, NSW, Australia; [Griffiths, Georgina; Lorrey, Andrew] Natl Inst Water &amp; Atmospher Res Ltd NIWA, Auckland, New Zealand</t>
  </si>
  <si>
    <t>Macquarie University; National Institute of Water &amp; Atmospheric Research (NIWA) - New Zealand</t>
  </si>
  <si>
    <t>Jiang, NB (corresponding author), POB 29, Lidcombe, NSW 1825, Australia.</t>
  </si>
  <si>
    <t>ningbo.jiang@environment.nsw.gov.au</t>
  </si>
  <si>
    <t>Jiang, Ningbo/AAN-8971-2021</t>
  </si>
  <si>
    <t>Jiang, Ningbo/0000-0002-4009-6399</t>
  </si>
  <si>
    <t>Ministry of Science and Innovation (MSI) [COX0701]</t>
  </si>
  <si>
    <t>Ministry of Science and Innovation (MSI)(Spanish Government)</t>
  </si>
  <si>
    <t>This work was initiated when the first author studied statistics in Macquarie University, Sydney, Australia. The second and third authors acknowledge the Ministry of Science and Innovation (MSI) for supporting this work through core funding to National Institute of Water and Atmospheric Research (NIWA), and contribute to Climate Present and Past (formerly a part of 'Adaptation to Climate Variability and Change' contract COX0701). The authors are grateful to the National Climate Centre of the Australian Bureau of Meteorology for accessing the monthly SOI values, the British Antarctic Survey for accessing the monthly SAM Index, the Hadley Centre, Meteorological Office, UK for accessing the IPO index, and NIWA, New Zealand for accessing the Auckland Airport meteorological data from the National Climate Database. Special thanks should go to Dr James Renwick, NIWA, Wellington, New Zealand and the unknown referees for constructive comments on the text.</t>
  </si>
  <si>
    <t>0899-8418</t>
  </si>
  <si>
    <t>1097-0088</t>
  </si>
  <si>
    <t>INT J CLIMATOL</t>
  </si>
  <si>
    <t>Int. J. Climatol.</t>
  </si>
  <si>
    <t>10.1002/joc.3443</t>
  </si>
  <si>
    <t>073PB</t>
  </si>
  <si>
    <t>WOS:000313753900019</t>
  </si>
  <si>
    <t>Raymond, MR; Wharton, DA</t>
  </si>
  <si>
    <t>Raymond, Melianie R.; Wharton, David A.</t>
  </si>
  <si>
    <t>The ability of the Antarctic nematode Panagrolaimus davidi to survive intracellular freezing is dependent upon nutritional status</t>
  </si>
  <si>
    <t>JOURNAL OF COMPARATIVE PHYSIOLOGY B-BIOCHEMICAL SYSTEMIC AND ENVIRONMENTAL PHYSIOLOGY</t>
  </si>
  <si>
    <t>Intracellular freezing; Antarctic nematode; Nutrients; Culture</t>
  </si>
  <si>
    <t>COLD-TOLERANCE MECHANISMS; CRYOPROTECTIVE DEHYDRATION; TERRESTRIAL NEMATODES; EUROSTA-SOLIDAGINIS; SUPERCOOLING POINTS; ACCLIMATION; TEMPERATURE; ADAPTATIONS; EVOLUTION; CELLS</t>
  </si>
  <si>
    <t>The Antarctic nematode Panagrolaimus davidi is the best documented example of an animal surviving intracellular freezing and the only animal so far shown to survive such freezing throughout its tissues. However, a recent study found that after exposure to a freezing stress that produced intracellular freezing in a proportion of nematodes, the resulting survival levels could be explained if those nematodes that froze intracellularly had died. We have thus re-examined the survival of intracellular freezing in this nematode. The ability to survive a freezing exposure that is likely to produce intracellular freezing (freezing at -10 A degrees C) declines with culture age. In cultures that are fed regularly, the ability to survive freezing at -10 A degrees C increases, but in starved cultures freezing survival declines. Survival of intracellular freezing in fed cultures was confirmed using cryomicroscopy, staining of cells with vital dyes and by freeze substitution and transmission electron microscopy. We have thus confirmed that P. davidi can survive intracellular freezing and shown that this ability is dependent upon them being well fed. The effect of culture conditions on the nutrient status of the nematodes should thus be an important factor in the design of experiments.</t>
  </si>
  <si>
    <t>[Raymond, Melianie R.; Wharton, David A.] Univ Otago, Dept Zool, Dunedin, New Zealand</t>
  </si>
  <si>
    <t>Wharton, DA (corresponding author), Univ Otago, Dept Zool, POB 56, Dunedin, New Zealand.</t>
  </si>
  <si>
    <t>david.wharton@otago.ac.nz</t>
  </si>
  <si>
    <t>Wharton, David/0000-0001-6369-4984; Raymond, Melianie/0000-0002-6158-8202</t>
  </si>
  <si>
    <t>University of Otago [PBRF: PL.104033.01.S.FZ.75]; Antarctica New Zealand [KO66]</t>
  </si>
  <si>
    <t>University of Otago; Antarctica New Zealand</t>
  </si>
  <si>
    <t>We would like to thank Karen Judge and Matthew Downes for technical assistance, the Otago Centre for Electron Microscopy for access to their facilities and Antarctica New Zealand for the support of our Antarctic studies. MRR would like to acknowledge the support of a Kelly Tarlton's Antarctica New Zealand Scholarship and the Fanny Evans Postgraduate Scholarship for Women. Funding for this study was provided by the University of Otago (PBRF: PL.104033.01.S.FZ.75) and Antarctica New Zealand (event no. KO66).</t>
  </si>
  <si>
    <t>0174-1578</t>
  </si>
  <si>
    <t>J COMP PHYSIOL B</t>
  </si>
  <si>
    <t>J. Comp. Physiol. B-Biochem. Syst. Environ. Physiol.</t>
  </si>
  <si>
    <t>10.1007/s00360-012-0697-0</t>
  </si>
  <si>
    <t>Physiology; Zoology</t>
  </si>
  <si>
    <t>080WC</t>
  </si>
  <si>
    <t>WOS:000314273800002</t>
  </si>
  <si>
    <t>Manju, PN; Akhil, PS; Sujatha, CH</t>
  </si>
  <si>
    <t>Manju, Nair P.; Akhil, P. S.; Sujatha, C. H.</t>
  </si>
  <si>
    <t>Geochemistry of Core Sediment from Antarctic Region</t>
  </si>
  <si>
    <t>RESEARCH JOURNAL OF CHEMISTRY AND ENVIRONMENT</t>
  </si>
  <si>
    <t>Organic matter; Core sediment; Texture; Trace metal; Antarctica; Southern Ocean</t>
  </si>
  <si>
    <t>HEAVY-METALS; ORGANIC-CARBON; BAY; WATER; RIVER; POLLUTION; MATTER; ISLAND; OCEAN; INDIA</t>
  </si>
  <si>
    <t>Southern Ocean (SO) is the fourth largest Ocean comprising the southern portions of the Atlantic Ocean, Indian Ocean and Pacific Ocean. Sediment core sample (66 degrees 34' S and 58 degrees 40' E) was collected onboard O.R.V Sagar Nidhi from January to March 2010 in the Fourth Southern Ocean expedition cruise launched by the National Centre for Antarctic and Ocean Research, Goa. Sedimentary records from this area reveal the sensitivity and climatic variability's of the region over a large time scale. Organic matter (OM) and textural behaviour of the samples were analyzed and processed concurrently. Distribution of OM, Total Organic Carbon (TOC), Protein, Lipid and Carbohydrate along with the trace metal was highlighted. Textural variation was in the array of Sand &gt; Clay &gt; Silt. Sand content ranges from 30.29% to 80.11%. The order of relative distribution of OM was Lipid &gt; Protein &gt; TOC &gt; Carbohydrate. The average concentrations of TOC, Protein, Lipid and Carbohydrate were 2.2 mg/g, 1.2 mg/g, 3.3 mg/g and 1.1mg/g respectively. Protein to carbohydrate ratio and lipid to carbohydrate ratio were also encountered to understand the respective freshness and nutritional quality of the sediments. Trace metal distribution showed the average concentration was maximum for Mn and minimum for Co.</t>
  </si>
  <si>
    <t>[Manju, Nair P.; Akhil, P. S.; Sujatha, C. H.] Cochin Univ Sci &amp; Technol, Sch Marine Sci, Dept Chem Oceanog, Cochin 16, Kerala, India</t>
  </si>
  <si>
    <t>Cochin University Science &amp; Technology</t>
  </si>
  <si>
    <t>Sujatha, CH (corresponding author), Cochin Univ Sci &amp; Technol, Sch Marine Sci, Dept Chem Oceanog, Cochin 16, Kerala, India.</t>
  </si>
  <si>
    <t>drchsujatha@yahoo.co.in</t>
  </si>
  <si>
    <t>C.H, Sujatha/ABB-1621-2021</t>
  </si>
  <si>
    <t>DR JYOTI GARG</t>
  </si>
  <si>
    <t>INDORE MP</t>
  </si>
  <si>
    <t>SECTOR A/80 SCHEME NO 54, VIJAY NAGAR, A B ROAD, INDORE MP, 452 010, INDIA</t>
  </si>
  <si>
    <t>0972-0626</t>
  </si>
  <si>
    <t>RES J CHEM ENVIRON</t>
  </si>
  <si>
    <t>Res. J. Chem. Environ.</t>
  </si>
  <si>
    <t>Chemistry, Multidisciplinary; Environmental Sciences</t>
  </si>
  <si>
    <t>Chemistry; Environmental Sciences &amp; Ecology</t>
  </si>
  <si>
    <t>077MP</t>
  </si>
  <si>
    <t>WOS:000314032100003</t>
  </si>
  <si>
    <t>[Anonymous]</t>
  </si>
  <si>
    <t>Mount Elizabeth, Antarctica 1 No Survivors in Antarctic Plane Crash</t>
  </si>
  <si>
    <t>SCIENCE</t>
  </si>
  <si>
    <t>News Item</t>
  </si>
  <si>
    <t>AMER ASSOC ADVANCEMENT SCIENCE</t>
  </si>
  <si>
    <t>WASHINGTON</t>
  </si>
  <si>
    <t>1200 NEW YORK AVE, NW, WASHINGTON, DC 20005 USA</t>
  </si>
  <si>
    <t>0036-8075</t>
  </si>
  <si>
    <t>1095-9203</t>
  </si>
  <si>
    <t>Science</t>
  </si>
  <si>
    <t>FEB 1</t>
  </si>
  <si>
    <t>080UR</t>
  </si>
  <si>
    <t>WOS:000314270000002</t>
  </si>
  <si>
    <t>Antarctic disappointment</t>
  </si>
  <si>
    <t>WEATHER</t>
  </si>
  <si>
    <t>0043-1656</t>
  </si>
  <si>
    <t>Weather</t>
  </si>
  <si>
    <t>079QF</t>
  </si>
  <si>
    <t>WOS:000314185700002</t>
  </si>
  <si>
    <t>Carvalho, JVD; Mendonça, ED; La Scala, N; Reis, C; Reis, EL; Schaefer, CEGR</t>
  </si>
  <si>
    <t>De Souza Carvalho, Juliana Vanir; Mendonca, Eduardo De Sa; La Scala, Newton, Jr.; Reis, Cesar; Reis, Efrain Lazaro; Schaefer, Carlos E. G. R.</t>
  </si>
  <si>
    <t>CO2-C losses and carbon quality of selected Maritime Antarctic soils</t>
  </si>
  <si>
    <t>ANTARCTIC SCIENCE</t>
  </si>
  <si>
    <t>CO2 emission; C sequestration; C stocks; permafrost; polar soils</t>
  </si>
  <si>
    <t>KING-GEORGE-ISLAND; TEMPERATURE SENSITIVITY; ORGANIC-CARBON; ARCTOWSKI STATION; CLIMATE-CHANGE; ADMIRALTY BAY; RESPIRATION; VARIABILITY; CRYOSOLS; VEGETATION</t>
  </si>
  <si>
    <t>Polar Regions are the most important soil carbon reservoirs on Earth. Monitoring soil carbon storage in a changing global climate context may indicate possible effects of climate change on terrestrial environments. In this regard, we need to understand the dynamics of soil organic matter in relation to its chemical characteristics. We evaluated the influence of chemical characteristics of humic substances on the process of soil organic matter mineralization in selected Maritime Antarctic soils. A laboratory assay was carried out with soils from five locations from King George Island. We determined the contents of total organic carbon, oxidizable carbon fractions of soil organic matter, and humic substances. Two in situ field experiments were carried out during two summers, in order to evaluate the CO2-C emissions in relation to soil temperature variations. The overall low amounts of soil organic matter in Maritime Antarctic soils have a low humification degree and reduced microbial activity. CO2-C emissions showed significant exponential relationship with temperature, suggesting a sharp increase in CO2-C emissions with a warming scenario, and Q10 values (the percentage increase in emission for a 10 degrees C increase in soil temperature) were higher than values reported from elsewhere. The sensitivity of the CO2-C emission in relation to temperature was significantly correlated with the humification degree of soil organic matter and microbial activity for Antarctic soils.</t>
  </si>
  <si>
    <t>[De Souza Carvalho, Juliana Vanir] Univ Estado Minas Gerais, Dept Chem, BR-36500000 Uba, MG, Brazil; [Mendonca, Eduardo De Sa] Univ Fed Espirito Santo, Dept Plant Prod, BR-29500000 Alegre, ES, Brazil; [La Scala, Newton, Jr.] Univ Estadual Paulista, FCAV, BR-14884900 Jaboticabal, SP, Brazil; [Reis, Cesar; Reis, Efrain Lazaro] Univ Fed Vicosa, Dept Chem, BR-36570000 Vicosa, MG, Brazil</t>
  </si>
  <si>
    <t>Universidade do Estado de Minas Gerais; Universidade Federal do Espirito Santo; Universidade Estadual Paulista; Universidade Federal de Vicosa</t>
  </si>
  <si>
    <t>Mendonça, ED (corresponding author), Univ Fed Espirito Santo, Dept Plant Prod, BR-29500000 Alegre, ES, Brazil.</t>
  </si>
  <si>
    <t>esmjplia@gmail.com</t>
  </si>
  <si>
    <t>Schaefer, Carlos Ernesto/AAY-4977-2020; Criosfera, Inct/J-8639-2013; La Scala Jr., Newton/C-4398-2012</t>
  </si>
  <si>
    <t>La Scala Jr., Newton/0000-0002-1575-9875; Ernesto Goncalves Reynaud Schaefer, Carlos/0000-0001-5735-3227; Ernesto Goncalves Reynaud Schaefer, Carlos/0000-0001-7060-1598</t>
  </si>
  <si>
    <t>Conselho Nacional de Desenvolvimento Cientifico e Tecnologico, Brazil; Cambridge University</t>
  </si>
  <si>
    <t>Conselho Nacional de Desenvolvimento Cientifico e Tecnologico, Brazil(Conselho Nacional de Desenvolvimento Cientifico e Tecnologico (CNPQ)); Cambridge University(University of Cambridge)</t>
  </si>
  <si>
    <t>We acknowledge Conselho Nacional de Desenvolvimento Cientifico e Tecnologico, Brazil, for financial support. Carlos Schaefer thanks CAPES agency for granting a sabbatical visiting professorship at Cambridge University. This work is a contribution of INCT-Criosfera TERRANTAR group. The constructive comments of the reviewers are also gratefully acknowledged.</t>
  </si>
  <si>
    <t>CAMBRIDGE UNIV PRESS</t>
  </si>
  <si>
    <t>32 AVENUE OF THE AMERICAS, NEW YORK, NY 10013-2473 USA</t>
  </si>
  <si>
    <t>0954-1020</t>
  </si>
  <si>
    <t>1365-2079</t>
  </si>
  <si>
    <t>ANTARCT SCI</t>
  </si>
  <si>
    <t>Antarct. Sci.</t>
  </si>
  <si>
    <t>10.1017/S0954102012000648</t>
  </si>
  <si>
    <t>Environmental Sciences; Geography, Physical; Geosciences, Multidisciplinary</t>
  </si>
  <si>
    <t>Environmental Sciences &amp; Ecology; Physical Geography; Geology</t>
  </si>
  <si>
    <t>079CL</t>
  </si>
  <si>
    <t>WOS:000314147700003</t>
  </si>
  <si>
    <t>Eastman, JT; Amsler, MO; Aronson, RB; Thatje, S; McClintock, JB; Vos, SC; Kaeli, JW; Singh, H; La Mesa, M</t>
  </si>
  <si>
    <t>Eastman, Joseph T.; Amsler, Margaret O.; Aronson, Richard B.; Thatje, Sven; McClintock, James B.; Vos, Stephanie C.; Kaeli, Jeffrey W.; Singh, Hanumant; La Mesa, Mario</t>
  </si>
  <si>
    <t>Photographic survey of benthos provides insights into the Antarctic fish fauna from the Marguerite Bay slope and the Amundsen Sea</t>
  </si>
  <si>
    <t>Chionobathyscus; Dissostichus; Lepidonotothen; Macrourus; Notothenioidei; Pogonophryne</t>
  </si>
  <si>
    <t>TOOTHFISH DISSOSTICHUS-MAWSONI; ROSS SEA; DEMERSAL FISH; WEDDELL SEA; BELLINGSHAUSEN SEA; MACROURUS-WHITSONI; AGE ESTIMATION; PERCIFORMES; ARTEDIDRACONIDAE; BUOYANCY</t>
  </si>
  <si>
    <t>We reviewed photographic images of fishes from depths of 381-2282 m in Marguerite Bay and 405-2007m in the Amundsen Sea. Marguerite Bay fishes were 33% notothenioids and 67% non-notothenioids. Channichthyids (47%) and nototheniids (44%) were the most abundant notothenioids. The deep-living channichthyid Chionobathyscus dewitti (74%) and the nototheniid genus Trematomus (66%) were the most abundant taxa within these two families. The most abundant non-notothenioids were the macrourid Macrourus whitsoni (72%) and zoarcids (18%). Amundsen Sea fishes were 87% notothenioids and 13% non-notothenioids, the latter exclusively Macrourus whitsoni. Bathydraconids (38%) and artedidraconids (30%) were the most abundant notothenioids. We observed that Macrourus whitsoni was benthopelagic and benthic and infested by large ectoparasitic copepods. Juvenile (42 cm) Dissostichus mawsoni was not neutrally buoyant and resided on the substrate at 1277 m. Lepidonotothen squamifrons was seen near and on nests of eggs in early December. A Pogonophryne sp. from 2127 m was not a member of the deep-living unspotted P. albipinna group. Chionobathyscus dewitti inhabited the water column as well as the substrate. The pelagic zoarcid Melanostigma gelatinosum was documented in the water column a few metres above the substrate. The zoogeographic character of the Marguerite Bay fauna was West Antarctic or low-Antarctic and the Amundsen Sea was East Antarctic or high-Antarctic.</t>
  </si>
  <si>
    <t>[Eastman, Joseph T.] Ohio Univ, Dept Biomed Sci, Athens, OH 45701 USA; [Amsler, Margaret O.; McClintock, James B.] Univ Alabama Birmingham, Dept Biol, Birmingham, AL 35294 USA; [Aronson, Richard B.; Vos, Stephanie C.] Florida Inst Technol, Dept Biol Sci, Melbourne, FL 32901 USA; [Thatje, Sven] Univ Southampton, Natl Oceanog Ctr, Southampton SO14 3ZH, Hants, England; [Kaeli, Jeffrey W.; Singh, Hanumant] Woods Hole Oceanog Inst, Woods Hole, MA 02543 USA; [La Mesa, Mario] UOS Ancona, Ist Sci Marine, ISMAR CNR, I-60125 Ancona, Italy</t>
  </si>
  <si>
    <t>University System of Ohio; Ohio University; University of Alabama System; University of Alabama Birmingham; Florida Institute of Technology; University of Southampton; NERC National Oceanography Centre; Woods Hole Oceanographic Institution; Consiglio Nazionale delle Ricerche (CNR); Istituto di Scienze Marine (ISMAR-CNR)</t>
  </si>
  <si>
    <t>Eastman, JT (corresponding author), Ohio Univ, Dept Biomed Sci, Athens, OH 45701 USA.</t>
  </si>
  <si>
    <t>eastman@ohiou.edu</t>
  </si>
  <si>
    <t>Eastman, Joseph T/A-9786-2008; Eastman, Joseph T./O-6150-2019; CNR, Ismar/P-1247-2014</t>
  </si>
  <si>
    <t>Eastman, Joseph T./0000-0003-3868-261X; Aronson, Richard/0000-0003-0383-3844; CNR, Ismar/0000-0001-5351-1486</t>
  </si>
  <si>
    <t>National Science Foundation Office of Polar Programs [ANT-0838846, ANT-0838844]; National Science Foundation [ANT-0436190]; PNRA (Italian National Antarctic Research Program); Directorate For Geosciences; Office of Polar Programs (OPP) [1141896] Funding Source: National Science Foundation; Office of Polar Programs (OPP); Directorate For Geosciences [1141877, 0838844, 0838846] Funding Source: National Science Foundation</t>
  </si>
  <si>
    <t>National Science Foundation Office of Polar Programs(National Science Foundation (NSF)NSF - Directorate for Geosciences (GEO)); National Science Foundation(National Science Foundation (NSF)); PNRA (Italian National Antarctic Research Program); Directorate For Geosciences; Office of Polar Programs (OPP)(National Science Foundation (NSF)NSF - Directorate for Geosciences (GEO)); Office of Polar Programs (OPP); Directorate For Geosciences(National Science Foundation (NSF)NSF - Directorate for Geosciences (GEO))</t>
  </si>
  <si>
    <t>We authors gratefully acknowledge John Bailey, Roberta Challener, Frank Weyer and the crews of the RV Nathaniel B. Palmer and RVIB Oden for field assistance. We also thank Danette Pratt for her work on the figures and Meghan Ange for her assistance with image analysis. Richard Eakin and Esteban Barrera-Oro provided advice on the identification of fishes. The constructive comments of the reviewers are also gratefully acknowledged. Our research was supported by a collaborative grant from the National Science Foundation Office of Polar Programs to RBA (ANT-0838846) and JBM (ANT-0838844). JTE was supported by National Science Foundation grant ANT-0436190. MLM was supported by the PNRA (Italian National Antarctic Research Program). This paper is Contribution No. 74 from the Institute for Research on Global Climate Change at the Florida Institute of Technology.</t>
  </si>
  <si>
    <t>10.1017/S0954102012000697</t>
  </si>
  <si>
    <t>WOS:000314147700006</t>
  </si>
  <si>
    <t>Park, M; Lee, H; Hong, SG; Kim, OS</t>
  </si>
  <si>
    <t>Park, Mira; Lee, Hyoungseok; Hong, Soon Gyu; Kim, Ok-Sun</t>
  </si>
  <si>
    <t>Endophytic bacterial diversity of an Antarctic moss, Sanionia uncinata</t>
  </si>
  <si>
    <t>16S rRNA; bacterial endophytes; moss gametophore; pyrosequencing; surface decontamination</t>
  </si>
  <si>
    <t>COMMUNITIES; PLANTS</t>
  </si>
  <si>
    <t>Although the beneficial effects of endophytic bacteria on their host are significant, the investigation of the microbial diversity in any Antarctic moss has been neglected. In this study, we investigate the endophytic bacterial diversity of the upper green part and the lower brown part of Sanionia uncinata through 16S rRNA genes using pyrosequencing. Proteobacteria was the most dominant phylum with 65.6%, followed by Bacteroidetes (29.1%) and Actinobacteria (11.7%). The different distribution of Alphaproteobacteria between the upper green (2%) and lower brown (22.2%) parts of the moss was significant. Furthermore, dominant and diverse species were detected and closely related to the environmental sequences. These findings suggest that there are likely to be specific relationships between endophytes and host Antarctic moss species.</t>
  </si>
  <si>
    <t>[Park, Mira; Lee, Hyoungseok; Hong, Soon Gyu; Kim, Ok-Sun] Korea Polar Res Inst, Div Life Sci, Inchon 406840, South Korea</t>
  </si>
  <si>
    <t>Korea Institute of Ocean Science &amp; Technology (KIOST); Korea Polar Research Institute (KOPRI)</t>
  </si>
  <si>
    <t>Kim, OS (corresponding author), Korea Polar Res Inst, Div Life Sci, Get Pearl Tower,Songdo Techno Pk,12 Gaetbeol Ro, Inchon 406840, South Korea.</t>
  </si>
  <si>
    <t>oskim@kopri.re.kr</t>
  </si>
  <si>
    <t>Park, Mira/F-8443-2015</t>
  </si>
  <si>
    <t>Lee, Hyoungseok/0000-0002-5831-6345</t>
  </si>
  <si>
    <t>Korea Polar Research Institute [PE11060, PE11030]</t>
  </si>
  <si>
    <t>Korea Polar Research Institute(Korea Polar Research Institute of Marine Research Placement (KOPRI))</t>
  </si>
  <si>
    <t>This research was supported by the Korea Polar Research Institute (Grant PE11060 and PE11030). The technical help of Ahnna Cho is gratefully acknowledged. The constructive comments of the reviewer are also gratefully acknowledged.</t>
  </si>
  <si>
    <t>10.1017/S0954102012000806</t>
  </si>
  <si>
    <t>WOS:000314147700008</t>
  </si>
  <si>
    <t>Dennis, PG; Sparrow, AD; Gregorich, EG; Novis, PM; Elberling, B; Greenfield, LG; Hopkins, DW</t>
  </si>
  <si>
    <t>Dennis, P. G.; Sparrow, A. D.; Gregorich, E. G.; Novis, P. M.; Elberling, B.; Greenfield, L. G.; Hopkins, D. W.</t>
  </si>
  <si>
    <t>Microbial responses to carbon and nitrogen supplementation in an Antarctic dry valley soil</t>
  </si>
  <si>
    <t>ester-linked fatty acids; experimentation; Garwood Valley; McMurdo Dry Valleys; micro-organisms; substrate response</t>
  </si>
  <si>
    <t>COMMUNITY STRUCTURE; ORGANIC-MATTER; TAYLOR VALLEY; VICTORIA LAND; FATTY-ACIDS; BIOMASS; MICROORGANISMS; RESOURCES; TURNOVER; FLUX</t>
  </si>
  <si>
    <t>The soils of the McMurdo Dry Valleys are exposed to extremely dry and cold conditions. Nevertheless, they contain active biological communities that contribute to the biogeochemical processes. We have used ester-linked fatty acid (ELFA) analysis to investigate the effects of additions of carbon and nitrogen in glucose and ammonium chloride, respectively, on the soil microbial community in a field experiment lasting three years in the Garwood Valley. In the control treatment, the total ELFA concentration was small by comparison with temperate soils, but very large when expressed relative to the soil organic carbon concentration, indicating efficient conversion of soil organic carbon into microbial biomass and rapid turnover of soil organic carbon. The ELFA concentrations increased significantly in response to carbon additions, indicating that carbon supply was the main constraint to microbial activity. The large ELFA concentrations relative to soil organic carbon and the increases in ELFA response to organic carbon addition are both interpreted as evidence for the soil microbial community containing organisms with efficient scavenging mechanisms for carbon. The diversity of the ELFA profiles declined in response to organic carbon addition, suggesting the responses were driven by a portion of the community increasing in dominance whilst others declined.</t>
  </si>
  <si>
    <t>[Dennis, P. G.] Univ Stirling, Sch Biol &amp; Environm Sci, Stirling FK9 4LA, Scotland; [Dennis, P. G.] Scottish Crop Res Inst, Dundee DD2 5DA, Scotland; [Sparrow, A. D.] CSIRO Sustainable Ecosyst, Alice Springs, NT 0871, Australia; [Gregorich, E. G.] Agr &amp; Agri Food Canada, Cent Expt Farm, Ottawa, ON K1A 0C6, Canada; [Novis, P. M.] Manaaki Whenua Landcare Res, Lincoln 7640, New Zealand; [Elberling, B.] Univ Copenhagen, Inst Geog &amp; Geol, DK-1350 Copenhagen K, Denmark; [Elberling, B.] Univ Ctr Svalbard, Longyearbyen, Norway; [Greenfield, L. G.] Univ Canterbury, Sch Biol Sci, Christchurch 8020, New Zealand; [Hopkins, D. W.] Heriot Watt Univ, Sch Life Sci, Edinburgh EH14 4AS, Midlothian, Scotland</t>
  </si>
  <si>
    <t>University of Stirling; James Hutton Institute; Commonwealth Scientific &amp; Industrial Research Organisation (CSIRO); Agriculture &amp; Agri Food Canada; Landcare Research - New Zealand; University of Copenhagen; University Centre Svalbard (UNIS); University of Canterbury; Heriot Watt University</t>
  </si>
  <si>
    <t>Hopkins, DW (corresponding author), Heriot Watt Univ, Sch Life Sci, Edinburgh EH14 4AS, Midlothian, Scotland.</t>
  </si>
  <si>
    <t>david.hopkins@hw.ac.uk</t>
  </si>
  <si>
    <t>Gregorich, Edward G./J-9785-2012; Sparrow, Ashley/D-7872-2011; Sparrow, Ashley/AAD-7709-2020; Dennis, Paul G/H-2141-2017; Elberling, Bo/M-4000-2014</t>
  </si>
  <si>
    <t>Sparrow, Ashley/0000-0003-0388-8255; Elberling, Bo/0000-0002-6023-885X; Gregorich, Edward/0000-0003-3652-2946; Novis, Phil/0000-0002-8802-4984; Hopkins, David/0000-0003-0953-8643</t>
  </si>
  <si>
    <t>NERC [NE/D00893X/1]; Foundation for Research, Science and Technology (New Zealand); Scottish Government</t>
  </si>
  <si>
    <t>NERC(UK Research &amp; Innovation (UKRI)Natural Environment Research Council (NERC)); Foundation for Research, Science and Technology (New Zealand)(New Zealand Foundation for Research, Science and Technology); Scottish Government</t>
  </si>
  <si>
    <t>We are grateful to Antarctica New Zealand for fieldwork and logistic support in the 2004-05 and 2005-06 field seasons. DWH also wishes to acknowledge additional support from the Royal Society (of London), the TransAntarctic Association, the Carnegie Trust for the Universities of Scotland, and the UK Natural Environment Research Council (NERC). This paper is an output from NERC grant (NE/D00893X/1; Biodiversity in Antarctic Soils). PMN acknowledges support from the Foundation for Research, Science and Technology (New Zealand). We also wish to thank Sandra Caul and Charlie Scrimgeour at SCRI for technical support and advice, and David Wardle for helpful discussions during the design of the field experiment. SCRI is supported in part by the Scottish Government. The constructive comments of the reviewers are also gratefully acknowledged.</t>
  </si>
  <si>
    <t>10.1017/S0954102012000855</t>
  </si>
  <si>
    <t>WOS:000314147700009</t>
  </si>
  <si>
    <t>Black, A; Parker, G; Rexer-Huber, K; Sommer, E; Cuthbert, RJ</t>
  </si>
  <si>
    <t>Black, Andy; Parker, Graham; Rexer-Huber, Kalinka; Sommer, Erica; Cuthbert, Richard J.</t>
  </si>
  <si>
    <t>Kerguelen petrel (Lugensa brevirostris): a 'new' breeding species for South Georgia</t>
  </si>
  <si>
    <t>[Black, Andy; Parker, Graham; Rexer-Huber, Kalinka] Govt S Georgia &amp; S Sandwich Isl, Stanley FIQQ 1ZZ, Falkland Island, England; [Parker, Graham] Falkland Isl Fisheries Dept, Stanley FIQQ 1ZZ, Falkland Island, England; [Sommer, Erica; Cuthbert, Richard J.] Royal Soc Protect Birds, Sandy SG19 2DL, Beds, England</t>
  </si>
  <si>
    <t>Royal Society for Protection of Birds</t>
  </si>
  <si>
    <t>Black, A (corresponding author), Govt S Georgia &amp; S Sandwich Isl, Govt House, Stanley FIQQ 1ZZ, Falkland Island, England.</t>
  </si>
  <si>
    <t>seabirds@gov.gs</t>
  </si>
  <si>
    <t>UK Government's Darwin Initiative; Government of South Georgia and South Sandwich Islands; RSPB</t>
  </si>
  <si>
    <t>The observations reported here were made while conducting fieldwork on mice on the Nunez Peninsula which was funded by the UK Government's Darwin Initiative and managed by the Royal Society for the Protection of Birds (RSPB). Further support for the project was provided by the Government of South Georgia and South Sandwich Islands and the RSPB. We would like to thank the captain and crew of the FPV Pharos SG for their logistical support in safely transporting us and picking us up from the field. Thanks to Sally Poncet, Peter Ryan and Andrew Clarke for useful comments on the species distribution and earlier surveys. The constructive comments of the reviewer are gratefully acknowledged.</t>
  </si>
  <si>
    <t>10.1017/S0954102012000946</t>
  </si>
  <si>
    <t>WOS:000314147700011</t>
  </si>
  <si>
    <t>O'Gorman, JP; Gasparini, Z; Salgado, L</t>
  </si>
  <si>
    <t>O'Gorman, Jose P.; Gasparini, Zulma; Salgado, Leonardo</t>
  </si>
  <si>
    <t>Postcranial morphology of Aristonectes (Plesiosauria, Elasmosauridae) from the Upper Cretaceous of Patagonia and Antarctica</t>
  </si>
  <si>
    <t>Antarctic Peninsula; Lopez de Bertodano Formation; Maastrichtian; Plesiosaurus chilensis; Sauropterygia</t>
  </si>
  <si>
    <t>MARINE REPTILES; SAUROPTERYGIA; MAUISAURUS; AUSTRALIA</t>
  </si>
  <si>
    <t>A partial, postcranial skeleton of a juvenile individual referred to Aristonectes cf. parvidens from the upper Maastrichtian Lopez de Bertodano Formation, Isla Marambio (Seymour Island), Antarctica, is described. Additionally, two juvenile specimens, also referred to A. cf. parvidens from the Allen Formation (upper Campanian-lower Maastrichtian) and Jaguel Formation (upper Maastrichtian) (Rio Negro province, Argentina), are redescribed. The analysis of the systematic value of the cervical centrum proportions of juvenile specimens of Elasmosauridae suggests that these elements can be used to differentiate juvenile specimens of A. cf. parvidens from juveniles of other Elasmosauridae. On this basis, the specimens described are referred to A. cf. parvidens. Based on the proportion of the cervical centra, the first South American plesiosaur described by Gay in 1848 is here referred to A. cf. parvidens. The coracoid of Aristonectes is described for the first time showing a cordiform fenestra, a feature only recorded in the Elasmosauridae among the Plesiosauria, therefore, these new data support the inclusion of Aristonectes within the Elasmosauridae. With the new material described in this paper, Aristonectes is one of the most frecuently recorded genera of Late Cretaceous plesiosaurs in the Southern Hemisphere.</t>
  </si>
  <si>
    <t>[O'Gorman, Jose P.; Gasparini, Zulma] Univ Nacl La Plata, Museo La Plata, Div Paleontol Vertebrados, La Plata, Buenos Aires, Argentina; [O'Gorman, Jose P.; Gasparini, Zulma] CONICET Consejo Nacl Invest Cient &amp; Tecn, Buenos Aires, DF, Argentina; [Salgado, Leonardo] Univ Nacl Rio Negro, Inst Invest Paleobiol &amp; Geol, Consejo Nacl Invest Cient &amp; Tecnol CONICET, RA-8332 Isidro Lobo Y Belgrano, General Roca, Argentina</t>
  </si>
  <si>
    <t>National University of La Plata; Museo La Plata; Consejo Nacional de Investigaciones Cientificas y Tecnicas (CONICET)</t>
  </si>
  <si>
    <t>O'Gorman, JP (corresponding author), Univ Nacl La Plata, Museo La Plata, Div Paleontol Vertebrados, Paseo Bosque S-N,B1900FWA, La Plata, Buenos Aires, Argentina.</t>
  </si>
  <si>
    <t>joseogorman@fcnym.unlp.edu.ar</t>
  </si>
  <si>
    <t>O’Gorman, José/AAK-6096-2021</t>
  </si>
  <si>
    <t>project PICT [2008-0261, 0365/2007]</t>
  </si>
  <si>
    <t>project PICT</t>
  </si>
  <si>
    <t>This research was supported by projects PICT 2008-0261 and PICT 0365/2007. The authors thank E. Olivero (CADIC, IAA), M. Reguero, J. Moly (La Plata Museum) and B. Zinsmeister (Purdue University) for the Antarctic fieldwork. This contribution would have not been possible without the logistic support from the Instituto Antartico Argentino (Buenos Aires), as well as from the Fuerza Aerea Argentina. The authors thank the curator that allowed the revision of the materials used for comparison, M. Reguero (Museo de La Plata), D. Rubilar (Museo Nacional de Historia Natural de Chile), D. Cabaza (Museo Municipal de Lamarque), N. Cerda (Museo de Cinco Saltos). Thanks to L. Acosta Burllaile for the preparation of some elements, Bruno Pianzola for taking the photographs, and C. Deschamps and Y. Herrera, from the Museo de La Plata for improving the English version. The authors are grateful too for the comments of the reviewers, N. Hilller (University of Canterbury) and J. Case (Eastern Washington University), and the editor (A. Vaughan), which have improved this manuscript.</t>
  </si>
  <si>
    <t>10.1017/S0954102012000673</t>
  </si>
  <si>
    <t>WOS:000314147700012</t>
  </si>
  <si>
    <t>Casalino, CE; Malandrino, M; Giacomino, A; Abollino, O</t>
  </si>
  <si>
    <t>Casalino, Claudia E.; Malandrino, Mery; Giacomino, Agnese; Abollino, Ornella</t>
  </si>
  <si>
    <t>Total and fractionation metal contents obtained with sequential extraction procedures in a sediment core from Terra Nova Bay, West Antarctica</t>
  </si>
  <si>
    <t>BCR; chemometrics; extreme environments; geochemistry; Tessier</t>
  </si>
  <si>
    <t>BENTHIC HYDROIDS CNIDARIA; TRACE-ELEMENTS; CONTINENTAL-MARGIN; HEAVY-METALS; BARIUM; AVAILABILITY; HYDROZOA; SOILS; WATER; AREA</t>
  </si>
  <si>
    <t>A suite of 21 elements, namely Al, As, Ba, Ca, Cd, Co, Cr, Cu, Fe, K, La, Mg, Mn, Na, Ni, P, Pb, Sr, Ti, V and Zn, was investigated in a sediment core from the Ross Sea, Antarctica. The experimental results were treated by chemometric techniques. The elemental composition of core H2 was found to be mainly dominated by terrigenous elements, but it is also influenced by biological factors, such as the presence of corals. No evidence of anthropogenic contamination was observed, even in the top layer of the sediment. Furthermore, the modified Community Bureau of Reference (BCR) three-step sequential extraction procedure was applied to evaluate metal mobility and availability. The results confirmed the separation between higher and lower sections of the core and showed the presence of Fe as amorphous and crystalline oxide and of Mn mostly as nodules. The high percentages of metals extracted into the fourth fraction indicate their strong binding with the sediment matrix. Finally, BCR procedure was compared to Tessier's protocol which made it possible to distinguish between mobile and mobilizable fraction. Therefore, in general partitioning procedure must be chosen taking into account the nature of the sample and the aim of the research.</t>
  </si>
  <si>
    <t>[Casalino, Claudia E.] Univ Utrecht, Dept Earth Sci Geochem, NL-3584 CD Utrecht, Netherlands; [Malandrino, Mery; Giacomino, Agnese; Abollino, Ornella] Univ Turin, Dept Chem, I-10125 Turin, Italy</t>
  </si>
  <si>
    <t>Utrecht University; University of Turin</t>
  </si>
  <si>
    <t>Casalino, CE (corresponding author), Univ Utrecht, Dept Earth Sci Geochem, Budapestlaan 4, NL-3584 CD Utrecht, Netherlands.</t>
  </si>
  <si>
    <t>c.e.casalino@uu.nl</t>
  </si>
  <si>
    <t>Abollino, Ornella/AAS-7412-2020</t>
  </si>
  <si>
    <t>Abollino, Ornella/0000-0003-2350-4941; GIACOMINO, AGNESE/0000-0001-6089-7751</t>
  </si>
  <si>
    <t>PNRA (Italian National Antarctica Research Program)</t>
  </si>
  <si>
    <t>The authors are grateful for valuable comments and suggestions made by the reviewers Ashley Townsend and Roger Fuoco, and for the comments made by the editor Alan Vaughan that significantly improved the quality of the manuscript. This work was financially supported by the PNRA (Italian National Antarctica Research Program). Authors are also indebted to the Italian participants of the expeditions to Antarctica, in the year 2003-04, for carrying out the samplings.</t>
  </si>
  <si>
    <t>10.1017/S0954102012000685</t>
  </si>
  <si>
    <t>WOS:000314147700013</t>
  </si>
  <si>
    <t>Otero, RA; Rubilar-Rogers, D; Yury-Yañez, RE; Vargas, AO; Gutstein, CS; Mourgues, FA; Robert, E</t>
  </si>
  <si>
    <t>Otero, Rodrigo A.; Rubilar-Rogers, David; Yury-Yanez, Roberto E.; Vargas, Alexander O.; Gutstein, Carolina S.; Amaro Mourgues, Francisco; Robert, Emmanuel</t>
  </si>
  <si>
    <t>A new species of chimaeriform (Chondrichthyes, Holocephali) from the uppermost Cretaceous of the Lopez de Bertodano Formation, Isla Marambio (Seymour Island), Antarctica</t>
  </si>
  <si>
    <t>Antarctic Peninsula; Callorhinchus torresi sp nov.; cartilaginous fish</t>
  </si>
  <si>
    <t>FOSSILS</t>
  </si>
  <si>
    <t>We describe a new chimaeriform fish, Callorhinchus torresi sp. nov., from the uppermost Cretaceous (late Maastrichtian) of the Lopez de Bertodano Formation, Isla Marambio (Seymour Island), Antarctica. The material shows it is distinct from currently known fossil and extant species of the genus, whereas the outline of the tritors (abrasive surfaces of each dental plate) shows an intermediate morphology between earlier records from the Cenomanian of New Zealand and those from the Eocene of Isla Marambio. This suggests an evolutionary trend in tritor morphology in the lineage leading to modern callorhynchids, during the Late Cretaceous-Palaeogene interval.</t>
  </si>
  <si>
    <t>[Otero, Rodrigo A.; Rubilar-Rogers, David] Museo Nacl Hist Nat, Area Paleontol, Santiago, Chile; [Yury-Yanez, Roberto E.] Univ Chile, Fac Ciencias, Dept Ciencias Ecol, Lab Zool Vertebrados, Santiago, Chile; [Vargas, Alexander O.] Univ Chile, Fac Ciencias, Dept Biol, Lab Ontogenia &amp; Filogenia, Santiago, Chile; [Gutstein, Carolina S.] Univ Chile, Fac Ciencias, Dept Ciencias Ecol, Lab Ecofisiol, Santiago, Chile; [Amaro Mourgues, Francisco] Serv Nacl Geol &amp; Mineria, Secc Paleontol &amp; Estratig, Santiago, Chile; [Robert, Emmanuel] Univ Lyon 1, Lab UMR CNRS PaleoEnvironm &amp; PaleobioSphere 5125, F-69622 Villeurbanne, France</t>
  </si>
  <si>
    <t>Universidad de Chile; Universidad de Chile; Universidad de Chile; Universite Claude Bernard Lyon 1</t>
  </si>
  <si>
    <t>Otero, RA (corresponding author), Museo Nacl Hist Nat, Area Paleontol, Casilla 787, Santiago, Chile.</t>
  </si>
  <si>
    <t>paracrioceras@gmail.com</t>
  </si>
  <si>
    <t>Vargas, Alexander O/L-3788-2017; S. Gutstein, Carolina/AGO-2836-2022</t>
  </si>
  <si>
    <t>Vargas, Alexander O/0000-0002-2009-7116; S. Gutstein, Carolina/0000-0002-0823-2434; Emmanuel, Robert/0000-0002-2821-4233; Otero, Rodrigo/0000-0002-3046-2973</t>
  </si>
  <si>
    <t>Antarctic Ring Project (Anillo de Ciencia Antartica, Conicyt - Chile) [ACT-105]; master's degree CONICYT-Chile scholarship from the Programa de Formacion de Capital Humano Avanzado</t>
  </si>
  <si>
    <t>Antarctic Ring Project (Anillo de Ciencia Antartica, Conicyt - Chile)(Comision Nacional de Investigacion Cientifica y Tecnologica (CONICYT)CONICYT PIA/ANILLOS); master's degree CONICYT-Chile scholarship from the Programa de Formacion de Capital Humano Avanzado</t>
  </si>
  <si>
    <t>This study was supported by the Antarctic Ring Project (Anillo de Ciencia Antartica ACT-105, 2010-2011, Conicyt - Chile). R.E. Yury-Yanez was funded by a master's degree CONICYT-Chile scholarship from the Programa de Formacion de Capital Humano Avanzado. Special thanks to the Armada de Chile and the crew of the Icebreaker ship, AP Almirante Oscar Viel, for the professional logistics and goodwill that made this field campaign possible. Dr J. Kriwet, Dr J. Eastman and Dr V. Gallo da Silva are especially acknowledged for reviewing the manuscript, providing comments that helped improve it.</t>
  </si>
  <si>
    <t>10.1017/S095410201200079X</t>
  </si>
  <si>
    <t>WOS:000314147700014</t>
  </si>
  <si>
    <t>Hartmann, K; André, J</t>
  </si>
  <si>
    <t>Hartmann, Klaas; Andre, Jessica</t>
  </si>
  <si>
    <t>Should evolutionary history guide conservation?</t>
  </si>
  <si>
    <t>BIODIVERSITY AND CONSERVATION</t>
  </si>
  <si>
    <t>Phylogenetic diversity; Biodiversity conservation; Conservation prioritisation; Phylogeny; EVPC; EVPI</t>
  </si>
  <si>
    <t>INTEGRATING PHYLOGENETIC DIVERSITY; EXTINCTION; PRIORITIES; SELECTION; MAMMALS; MODELS; AREAS</t>
  </si>
  <si>
    <t>Phylogenetic diversity (PD) is an emerging tool for prioritising species in biodiversity conservation problems. PD uses the evolutionary history of a group of species to provide a formal measure of their biodiversity. This provides an objective target for biodiversity conservation, in which decisions are frequently made for political reasons or according to the charisma of a species. Incorporating PD in biodiversity decisions ensures that the best outcome given current knowledge is achieved. Unfortunately, the phylogenetic information required to calculate PD is frequently unknown or costly to obtain. Using PD in a decision making framework also complicates the process substantially, thereby decreasing its transparency and potentially disillusioning stakeholders. Here we provide a broad assessment of the value of PD in biodiversity conservation approaches. We find that using PD in a prioritisation process can typically increase biodiversity outcomes by a broad range of 10-220 %. Higher gains are obtained where (i) few species are selected, (ii) the phylogeny includes speciation events on a broad range of time scales and/or (iii) closely related species are prioritised in the absence of PD (e.g. several closely related charismatic animals). Our results indicate situations where PD is likely to contribute substantially to biodiversity conservation decisions and provides guidance to organisations when deciding whether to incorporating phylogenetic information in their decision making. This assessment is crucial as inclusion of PD may be costly and reduces transparency of the decision process, however the potential gains may far outweigh this cost.</t>
  </si>
  <si>
    <t>[Hartmann, Klaas; Andre, Jessica] Univ Tasmania, Inst Marine &amp; Antarctic Sci, Nubeena Crescent, Taroona 7053, Australia</t>
  </si>
  <si>
    <t>University of Tasmania</t>
  </si>
  <si>
    <t>Hartmann, K (corresponding author), Univ Tasmania, Inst Marine &amp; Antarctic Sci, Nubeena Crescent, Taroona 7053, Australia.</t>
  </si>
  <si>
    <t>klaas.hartmann@utas.edu.au; Jessica.Andre@utas.edu.au</t>
  </si>
  <si>
    <t>Hartmann, Klaas/B-3991-2008</t>
  </si>
  <si>
    <t>DORDRECHT</t>
  </si>
  <si>
    <t>VAN GODEWIJCKSTRAAT 30, 3311 GZ DORDRECHT, NETHERLANDS</t>
  </si>
  <si>
    <t>0960-3115</t>
  </si>
  <si>
    <t>1572-9710</t>
  </si>
  <si>
    <t>BIODIVERS CONSERV</t>
  </si>
  <si>
    <t>Biodivers. Conserv.</t>
  </si>
  <si>
    <t>10.1007/s10531-012-0422-z</t>
  </si>
  <si>
    <t>Biodiversity Conservation; Ecology; Environmental Sciences</t>
  </si>
  <si>
    <t>Biodiversity &amp; Conservation; Environmental Sciences &amp; Ecology</t>
  </si>
  <si>
    <t>074DH</t>
  </si>
  <si>
    <t>WOS:000313792200009</t>
  </si>
  <si>
    <t>Baird, HP; Stark, JS</t>
  </si>
  <si>
    <t>Baird, Helena P.; Stark, Jonathan S.</t>
  </si>
  <si>
    <t>Population dynamics of the ubiquitous Antarctic benthic amphipod Orchomenella franklini and its vulnerability to environmental change</t>
  </si>
  <si>
    <t>POLAR BIOLOGY</t>
  </si>
  <si>
    <t>Life history strategy; Polar adaptation; Peracarid crustacean; Marine benthos; Seasonal reproduction; Climate change</t>
  </si>
  <si>
    <t>STAR ODONTASTER-VALIDUS; CLIMATE-CHANGE; LIFE-HISTORY; ROSS SEA; SOUTHERN-OCEAN; REPRODUCTIVE BIONOMICS; INTERANNUAL VARIATIONS; MARINE ECOSYSTEM; PENINSULA SHELF; VESTFOLD HILLS</t>
  </si>
  <si>
    <t>Comprehensive ecological research is still lacking for many of the species that dominate the Antarctic benthos, preventing an adequate understanding of their potential response to environmental change. Here, population dynamics were explored in one of the most ubiquitous nearshore Antarctic benthic amphipods, Orchomenella franklini. Sex, reproductive status and body length were recorded for over 6,000 individuals, sampled from a variety of locations and times at Casey station in East Antarctica. Several life history traits were revealed for O. franklini that exemplify adaptations predicted for a polar environment. These include delayed reproduction, extended brood incubation, low fecundity, longevity and seasonal breeding linked to the summer phytoplankton bloom. There was also preliminary evidence of inter-annual and spatial fluctuations in population structure, potentially reflecting local environmental heterogeneity such as sea-ice duration. The influence of both large scale and local environmental conditions on the ecology of O. franklini provides insight into the vulnerability of this species to environmental change.</t>
  </si>
  <si>
    <t>[Baird, Helena P.; Stark, Jonathan S.] Australian Antarctic Div, Kingston, Tas 7050, Australia; [Baird, Helena P.] Univ Tasmania, Inst Marine &amp; Antarctic Studies, Hobart, Tas 7001, Australia</t>
  </si>
  <si>
    <t>Australian Antarctic Division; University of Tasmania</t>
  </si>
  <si>
    <t>Baird, HP (corresponding author), Univ Tasmania, Inst Marine &amp; Antarctic Studies, Hobart, Tas 7001, Australia.</t>
  </si>
  <si>
    <t>hpbaird@utas.edu.au</t>
  </si>
  <si>
    <t>Stark, Jonathan/ABF-4025-2020</t>
  </si>
  <si>
    <t>Stark, Jonathan/0000-0002-4268-8072; Baird, Helena/0000-0002-7560-8331</t>
  </si>
  <si>
    <t>ANZ Charitable Trust Holsworth Wildlife Research Endowment; Australian Antarctic Division</t>
  </si>
  <si>
    <t>We are grateful to the Australian Antarctic Division for providing all financial and logistical support associated with field sampling. This research was also partly funded by the ANZ Charitable Trust Holsworth Wildlife Research Endowment. We thank all expeditioners who assisted with marine sampling at Casey Station over the years 1997-2006. Thank you also to Karen Miller and Patti Virtue for providing feedback on the manuscript and to Simon Wotherspoon for assistance with statistical analysis.</t>
  </si>
  <si>
    <t>0722-4060</t>
  </si>
  <si>
    <t>1432-2056</t>
  </si>
  <si>
    <t>POLAR BIOL</t>
  </si>
  <si>
    <t>Polar Biol.</t>
  </si>
  <si>
    <t>10.1007/s00300-012-1246-8</t>
  </si>
  <si>
    <t>Biodiversity Conservation; Ecology</t>
  </si>
  <si>
    <t>073FR</t>
  </si>
  <si>
    <t>WOS:000313729400001</t>
  </si>
  <si>
    <t>Siaussat, D; Laparie, M; Maria, A; Renault, D</t>
  </si>
  <si>
    <t>Siaussat, D.; Laparie, M.; Maria, A.; Renault, D.</t>
  </si>
  <si>
    <t>Heat shock protein responses to salinity, food deprivation, and temperature in the invasive ground beetle Merizodus soledadinus at the Kerguelen Islands</t>
  </si>
  <si>
    <t>Alien; Biological invasion; HSC70; HSP70; Insect; Starvation; Sub-Antarctic islands; Survival</t>
  </si>
  <si>
    <t>CHAPERONE GENE-EXPRESSION; DROSOPHILA-MELANOGASTER; MOLECULAR CHAPERONES; STARVATION RESISTANCE; HSP70 TRANSCRIPTS; SOUTH-GEORGIA; SEA BREAM; COLEOPTERA; CARABIDAE; STRESS</t>
  </si>
  <si>
    <t>The ground beetle Merizodus soledadinus was introduced a century ago to the Kerguelen Islands. It has since become invasive and has colonized most coastlines east of this archipelago. In invaded intertidal zones, M. soledadinus has to deal with substrates that can reach high salinity levels. In addition to saline stress, the rapid spread of this invasive insect on the Kerguelen Islands may result in starving during dispersal, especially during winter periods. In order to gain a further understanding of the factors that have contributed to the success of this insect in invading the Kerguelen Islands, we assessed the variability in the expression of heat shock cognate 70 (HSC70) in M. soledadinus. HSC70 are constitutively expressed by insects, and we examined if the expression of HSC70 could picture the health degree of the ground beetles exposed at a range of environmental conditions, for example, varying temperatures (0, 4, 8, 12, and 20 A degrees C), trophic status (fed and food-deprived individuals), and saline conditions (salinities of 0, 35, and 70). We found that HSC70 expression decreased with increasing salinity. HSC70 expression was not modified in response to non-extreme thermal variations or short-term food deprivation, which did not appear to be stressful conditions for M. soledadinus given the survival results. We concluded that HSC70 expression may serve as a molecular indicator of the levels of well-being of this ground beetle when exposed to a range of environmental perturbations.</t>
  </si>
  <si>
    <t>[Siaussat, D.; Maria, A.] Univ Paris 06, UMR Physiol Insecte Signalisat &amp; Commun 1272, F-75005 Paris, France; [Siaussat, D.; Maria, A.] INRA, F-78000 Versailles, France; [Laparie, M.; Renault, D.] Univ Rennes 1, Stn Biol, UMR CNRS 6553, F-35380 Paimpont, France; [Renault, D.] Univ Rennes 1, UMR CNRS Ecobio 6553, F-35042 Rennes, France</t>
  </si>
  <si>
    <t>Sorbonne Universite; INRAE; Universite Paris Saclay; Universite de Rennes; Centre National de la Recherche Scientifique (CNRS); Universite de Rennes</t>
  </si>
  <si>
    <t>Renault, D (corresponding author), Univ Rennes 1, UMR CNRS Ecobio 6553, 263 Ave Gal Leclerc,CS 74205, F-35042 Rennes, France.</t>
  </si>
  <si>
    <t>david.renault@univ-rennes1.fr</t>
  </si>
  <si>
    <t>RENAULT, David/0000-0003-3644-1759</t>
  </si>
  <si>
    <t>Institut Polaire Francais (IPEV); CNRS (Zone-Atelier de Recherches sur l'Environnement Antarctique et Subantarctique); Agence Nationale de la Recherche [ANR-07-VULN-004]</t>
  </si>
  <si>
    <t>Institut Polaire Francais (IPEV); CNRS (Zone-Atelier de Recherches sur l'Environnement Antarctique et Subantarctique)(Centre National de la Recherche Scientifique (CNRS)); Agence Nationale de la Recherche(Agence Nationale de la Recherche (ANR))</t>
  </si>
  <si>
    <t>This research was supported by the Institut Polaire Francais (IPEV, programme 136 coordinated by Marc Lebouvier), the CNRS (Zone-Atelier de Recherches sur l'Environnement Antarctique et Subantarctique), and the Agence Nationale de la Recherche (ANR-07-VULN-004, Vulnerability of native communities to invasive insects and climate change in sub-Antarctic Islands, EVINCE). We thank Dr Thomas Chertemps for his help in the statistical analysis, and two anonymous referees for helpful comments that improved an earlier version of the manuscript.</t>
  </si>
  <si>
    <t>10.1007/s00300-012-1252-x</t>
  </si>
  <si>
    <t>WOS:000313729400006</t>
  </si>
  <si>
    <t>Gonzalez-Bernat, MJ; Lamare, M; Barker, M</t>
  </si>
  <si>
    <t>Gonzalez-Bernat, Maria J.; Lamare, Miles; Barker, Mike</t>
  </si>
  <si>
    <t>Effects of reduced seawater pH on fertilisation, embryogenesis and larval development in the Antarctic seastar Odontaster validus</t>
  </si>
  <si>
    <t>Ocean acidification; Antarctica; Fertilisation; Larval development; Larval survival; Asteroid</t>
  </si>
  <si>
    <t>SEA-URCHIN; OCEAN-ACIDIFICATION; PARBORLASIA-CORRUGATUS; DISSOCIATION-CONSTANTS; STERECHINUS-NEUMAYERI; SPERM CONCENTRATION; CLIMATE-CHANGE; GLOBAL CHANGE; LIFE; TEMPERATURE</t>
  </si>
  <si>
    <t>The effects of ocean acidification will be pronounced in high-latitude marine communities, although little is known on how reproduction in free-spawning polar invertebrates will respond. Using the circum-Antarctic sea star Odontaster validus, we examined fertilisation, larval survival and development under a controlled seawater treatment (temperature = -0.5 A degrees C, pH 8.1, pCO(2)(aq) = 326.6 mu atm, TA = 2,274.2 mu mol kg soln(-1)), two near-future pH treatments (pH 7.8 and 7.6) and an extreme treatment (pH 7.0). At a sperm concentration of 3.5 x 10(5) sperm ml(-1), percentage of fertilisation was 98-90 % across a pH 8.1-7.0 range. At near-future pH ranges (pH 7.8 and 7.6), fertilisation was not significantly lower than in the control pH 8.1 except at the lowest sperm concentration (2.2 x 10(3) sperm ml(-1)) where fertilisation was reduced to 60 and 61 % in pH 7.6 and 7.8, respectively. Larval survival was not significantly affected by a decrease in pH of 0.3 units, but at pH 7.6 survival was significantly reduced. This difference was apparent at 9 days, and at the end of the experiment at 58 days, survival was 55 % compared with 85 % in the ambient treatment. Near-future changes to pH yielded smaller larvae, a result of both subtle differences in their morphology and slowed development rates, while larvae at pH 7.0 showed evidence of abnormal development. O. validus fertilisation and larval success declines in seawater pH conditions expected in coastal Antarctica over the coming decades, although the responses observed are within the range observed in warmer-water echinoderms.</t>
  </si>
  <si>
    <t>[Gonzalez-Bernat, Maria J.; Lamare, Miles; Barker, Mike] Univ Otago, Dept Marine Sci, Dunedin, New Zealand</t>
  </si>
  <si>
    <t>Lamare, M (corresponding author), Univ Otago, Dept Marine Sci, Dunedin, New Zealand.</t>
  </si>
  <si>
    <t>miles.lamare@otago.ac.nz</t>
  </si>
  <si>
    <t>Lamare, Miles M/A-7020-2010; Gonzalez-Bernat, MJ/F-3795-2014</t>
  </si>
  <si>
    <t>Gonzalez-Bernat, MJ/0000-0002-7925-5449; Lamare, Miles/0000-0001-8656-7240</t>
  </si>
  <si>
    <t>University of Otago Research Grant; New Zealand AID scholarship</t>
  </si>
  <si>
    <t>We thank Antarctica New Zealand for their logistical support in Antarctica, and staff at the Portobello Marine Laboratory, University of Otago. This research was funded by a University of Otago Research Grant. Maria Gonzalez-Bernat was supported by a New Zealand AID scholarship. We disclose no conflicts of interest in regard to this research.</t>
  </si>
  <si>
    <t>10.1007/s00300-012-1255-7</t>
  </si>
  <si>
    <t>WOS:000313729400009</t>
  </si>
  <si>
    <t>Mieczan, T; Górniak, D; Swiatecki, A; Zdanowski, M; Tarkowska-Kukuryk, M</t>
  </si>
  <si>
    <t>Mieczan, Tomasz; Gorniak, Dorota; Swiatecki, Aleksander; Zdanowski, Marek; Tarkowska-Kukuryk, Monika</t>
  </si>
  <si>
    <t>The distribution of ciliates on Ecology Glacier (King George Island, Antarctica): relationships between species assemblages and environmental parameters</t>
  </si>
  <si>
    <t>Ciliates; Glaciers; Cryoconite holes; Antarctica</t>
  </si>
  <si>
    <t>SILVER CARBONATE METHOD; CRYOCONITE HOLES; PROTOZOA; LAKES; COMMUNITIES; CILIOPHORA; PLANKTON; METAZOA</t>
  </si>
  <si>
    <t>Ciliates are important consumers of pico- and nano-sized producers, are nutrient regenerators, and are an important food source for metazoans. To date, ecological research on ciliates has focused on marine ecosystems rather than on glacier habitats. This paper presents the first major study on ciliates from the Ecology Glacier (South Shetland Islands, Antarctica). The objective of the study was to investigate the structure and spatial distribution of ciliate communities and to identify the environmental factors determining the structure of the assemblages. Microbial communities were collected from three habitats: surface snow, cryoconite holes, and glacier streams. Sampling was carried out every 3-4 days from January 17 to February 24, 2012. A total of 18 ciliate taxa were identified. The species richness, abundance, and biomass of protozoa differed significantly between the stations studied with the lowest numbers in streams on the glacier surface and the highest numbers in cryoconite holes. The RDA performed to specify the direct relationships between the abundance of ciliate taxa and environmental variables showed obvious differences between studied habitats. The analysis showed that all variables together explained 62.4 % of total variance. However, variables that significantly explained the variance in ciliate communities in cryoconite holes, snow, and surface streams were temperature, conductivity, and total nitrogen. Further research is required to explain the impact of biotic factors influencing the presence of ciliates, including the abundance of bacteria, microalgae, and small Metazoa.</t>
  </si>
  <si>
    <t>[Mieczan, Tomasz; Tarkowska-Kukuryk, Monika] Univ Life Sci, Dept Hydrobiol, PL-20262 Lublin, Poland; [Gorniak, Dorota; Swiatecki, Aleksander] Univ Warmia &amp; Mazury, Dept Microbiol, PL-10719 Olsztyn, Poland; [Zdanowski, Marek] Polish Acad Sci, Dept Antarctic Biol, Inst Biochem &amp; Biophys, PL-02141 Warsaw, Poland</t>
  </si>
  <si>
    <t>University of Warmia &amp; Mazury; Polish Academy of Sciences; Institute of Biochemistry &amp; Biophysics - Polish Academy of Sciences</t>
  </si>
  <si>
    <t>Mieczan, T (corresponding author), Univ Life Sci, Dept Hydrobiol, Dobrzanskiego 37, PL-20262 Lublin, Poland.</t>
  </si>
  <si>
    <t>tomasz.mieczan@up.lublin.pl</t>
  </si>
  <si>
    <t>Tarkowska-Kukuryk, Monika/T-7469-2018; Gorniak, Dorota/X-8468-2018</t>
  </si>
  <si>
    <t>Swiatecki, Aleksander/0000-0002-5219-7795; Mieczan, Tomasz/0000-0003-2839-1798; Tarkowska-Kukuryk, Monika/0000-0001-5328-6944; Gorniak, Dorota/0000-0001-6567-1057</t>
  </si>
  <si>
    <t>10.1007/s00300-012-1256-6</t>
  </si>
  <si>
    <t>Green Submitted, hybrid</t>
  </si>
  <si>
    <t>WOS:000313729400010</t>
  </si>
  <si>
    <t>Shandikov, GA; Eakin, RR; Usachev, S</t>
  </si>
  <si>
    <t>Shandikov, Gennadiy A.; Eakin, Richard R.; Usachev, Sergey</t>
  </si>
  <si>
    <t>Pogonophryne tronio, a new species of Antarctic short-barbeled plunderfish (Perciformes: Notothenioidei: Artedidraconidae) from the deep Ross Sea with new data on Pogonophryne brevibarbata</t>
  </si>
  <si>
    <t>Southern Ocean; Deep-water fishes; Longline catches; Taxonomy; Biology; Reproduction</t>
  </si>
  <si>
    <t>WEDDELL SEA; BELLINGSHAUSEN SEA; FISHES; PISCES; HARPAGIFERIDAE</t>
  </si>
  <si>
    <t>Antarctic barbeled plunderfishes of the genus Pogonophryne are the most speciose notothenioid group, comprising about 20 poorly known recognized species. The interspecific systematics within the genus is complex, because the various species vary little morphologically. One of these previously unknown forms captured as by-catch of the Antarctic toothfish (Dissostichus mawsoni) fishery during the Antarctic summer 2009-2010 in deep waters of the western Ross Sea is described herein as new species Pogonophryne tronio. The description is based on 2 adult specimens, captured at depths 900-1,015 m: the holotype (male, 290 mm TL, 234 mm SL), paratype (female, 315 mm TL, 260 mm SL). This species, a short-barbeled form of the dorsally spotted P. mentella group of species, is compared morphologically to the closely related P. brevibarbata and P. ventrimaculata, using type specimens of both species. P. tronio sp. n. is characterized by the following combination of characters: a short (about 10-12 % SL), slender, tapered and bicolored (dark basally, light distally) mental barbel without a conspicuous terminal expansion; tip of barbel slightly flattened and covered by short tapered finger-like processes basally and flattened, leaf-like processes distally; a slightly protruding lower jaw; a relatively low (about 18 % SL) second dorsal fin lacking the elevated anterior lobe occurring in males of some species in the genus, sharply striped pectoral and caudal fins; the dorsal surface of the head and the area anterior to the first dorsal fin covered with large dark-brown blotches and spots.</t>
  </si>
  <si>
    <t>[Shandikov, Gennadiy A.] VN Karazin Kharkiv Natl Univ KhNU, Sch Biol, Dept Zool &amp; Anim Ecol, UA-61022 Kharkov, Ukraine; [Usachev, Sergey] So Sci Res Inst Marine Fisheries &amp; Oceanog YugNIR, UA-98300 Kerch, Crimea, Ukraine</t>
  </si>
  <si>
    <t>Ministry of Education &amp; Science of Ukraine; VN Karazin Kharkiv National University</t>
  </si>
  <si>
    <t>Shandikov, GA (corresponding author), VN Karazin Kharkiv Natl Univ KhNU, Sch Biol, Dept Zool &amp; Anim Ecol, 4 Pl Svobody, UA-61022 Kharkov, Ukraine.</t>
  </si>
  <si>
    <t>fishingnet@ukr.net</t>
  </si>
  <si>
    <t>10.1007/s00300-012-1258-4</t>
  </si>
  <si>
    <t>WOS:000313729400012</t>
  </si>
  <si>
    <t>Weidinger, K; Pavel, V</t>
  </si>
  <si>
    <t>Weidinger, Karel; Pavel, Vaclav</t>
  </si>
  <si>
    <t>Abundance and breeding of the Antarctic Tern Sterna vittata at the James Ross and Seymour Islands, NE Antarctic Peninsula</t>
  </si>
  <si>
    <t>Antarctica; Birds; Sterna; Breeding density; Nest success; Colonies</t>
  </si>
  <si>
    <t>CLIMATE-CHANGE; SUCCESS; POINT</t>
  </si>
  <si>
    <t>The Antarctic Peninsula (AP) is experiencing rapid environmental change associated with warming and sea ice retreat, which is likely to affect locally breeding birds. Yet, contrary to the knowledge of bird biology along the maritime West coasts of the AP, there is a remarkable lack of data from the more continental East coast. We report on the distribution, abundance, and breeding of the Antarctic Tern at the James Ross and Seymour islands, the two largest snow-free areas in the NE part of the AP, where this species breeds under harsh climate conditions probably close to its limits. Terns were found breeding in most ice-free areas, with nests located up to 2.9 km from coastlines at altitudes up to 180 m a.s.l. While the large-scale density was relatively low (c. 450 pairs per 127 km(2) of surveyed ice-free area), the local density (total colony area: 3 nests per ha; nest clusters: 100-140 nests per ha) was as high as elsewhere. Mean clutch size (1.21, n = 196) was smaller than in the west AP or in the maritime Antarctic. Daily nest survival rate during incubation varied between years and locations (mean = 0.977; 95 % CI: 0.966-0.985). While both predation and weather-caused mortality were locally important, the impact of skua predation might be lower in areas with alternative prey (penguin colonies). We suggest that the Antarctic Tern deserves attention as a species potentially suitable for monitoring of environmental impacts upon bird populations around the AP.</t>
  </si>
  <si>
    <t>[Weidinger, Karel; Pavel, Vaclav] Palacky Univ, Dept Zool, Olomouc 77146, Czech Republic; [Weidinger, Karel; Pavel, Vaclav] Palacky Univ, Ornithol Lab, Fac Sci, Olomouc 77146, Czech Republic</t>
  </si>
  <si>
    <t>Palacky University Olomouc; Palacky University Olomouc</t>
  </si>
  <si>
    <t>Weidinger, K (corresponding author), Palacky Univ, Dept Zool, Tr Svobody 26, Olomouc 77146, Czech Republic.</t>
  </si>
  <si>
    <t>weiding@prfnw.upol.cz</t>
  </si>
  <si>
    <t>Weidinger, Karel/J-6758-2012</t>
  </si>
  <si>
    <t>Czech Geological Survey; Ministry of Education [MSM 6198959212]; Ministry of Environment of the Czech Republic [VaV SP II 1a9/23/07]</t>
  </si>
  <si>
    <t>Czech Geological Survey; Ministry of Education; Ministry of Environment of the Czech Republic</t>
  </si>
  <si>
    <t>This study was supported by the Czech Geological Survey and by grants from the Ministry of Education (MSM 6198959212) and Ministry of Environment (VaV SP II 1a9/23/07) of the Czech Republic. The work in Antarctica was conducted under permission from the Ministry of Environment; all field procedures comply with the current laws of the Czech Republic. We would like to thank the crew members of the JGM Station for their support. Comments by Milos Krist and all reviewers greatly improved the manuscript.</t>
  </si>
  <si>
    <t>10.1007/s00300-012-1251-y</t>
  </si>
  <si>
    <t>WOS:000313729400014</t>
  </si>
  <si>
    <t>Acevedo, JP; Rodriguez, V; Saavedra, M; Muñoz, M; Salazar, O; Asenjo, JA; Andrews, BA</t>
  </si>
  <si>
    <t>Acevedo, J. P.; Rodriguez, V.; Saavedra, M.; Munoz, M.; Salazar, O.; Asenjo, J. A.; Andrews, B. A.</t>
  </si>
  <si>
    <t>Cloning, expression and decoding of the cold adaptation of a new widely represented thermolabile subtilisin-like protease</t>
  </si>
  <si>
    <t>JOURNAL OF APPLIED MICROBIOLOGY</t>
  </si>
  <si>
    <t>cold adaption; Pseudoalteromonas sp; subtilisin-like protease</t>
  </si>
  <si>
    <t>SUBCELLULAR-LOCALIZATION; SIGNAL PEPTIDES; PREDICTION; ENZYMES; PROTEINS; SEQUENCE; FLEXIBILITY; BACTERIA</t>
  </si>
  <si>
    <t>Aims Cloning, expression and characterization of a new cold-adapted protease with potential biotechnological application, isolated from Antarctic bacteria. Method and Results A subtilisin-like gene was isolated from several Antarctic bacterial genus using CODPEHOP-designed primers and a genome walking method. This gene encodes a precursor protein, which undergoes an autocatalytic cleavage resulting in a 34.6 kDa active cold-adapted protease with a maximum activity at 2535 degrees C and optimum pH of 8.09.0. It showed a higher catalytic efficiency at lower temperatures compared to its mesophilic counterpart. Heat-induced inactivation resulted in a very low melting point. Local packing analysis using the homology model indicated Ala284 as an important cold-adaptation determinant, which was corroborated by the site-directed mutagenesis. Conclusions A new thermolabile subtilisin-like protease has been successfully cloned and analysed, and an important hot spot in the evolution of the cold adaptation and substrate specificity of this enzyme was identified and tested. Significance and Impact of the Study This work reports a new cold-adapted protease with a vast representation amongst Antarctic genus, suggesting therefore its evolutionary success in this cold environment. Likewise, important sites for genetic potentiation have been identified, which are extrapolated to other enzymes of the same kind.</t>
  </si>
  <si>
    <t>[Acevedo, J. P.] Univ Los Andes, Fac Med, Santiago, Chile; [Acevedo, J. P.] Univ Los Andes, Fac Ingn &amp; Ciencias Aplicadas, Santiago, Chile; [Acevedo, J. P.; Rodriguez, V.; Saavedra, M.; Munoz, M.; Salazar, O.; Asenjo, J. A.; Andrews, B. A.] Univ Chile, Ctr Biochem Engn &amp; Biotechnol, Dept Chem Engn &amp; Biotechnol, Inst Cell Dynam &amp; Biotechnol,Ctr Syst Biol, Santiago, Chile</t>
  </si>
  <si>
    <t>Universidad de los Andes - Chile; Universidad de los Andes - Chile; Universidad de Chile</t>
  </si>
  <si>
    <t>Acevedo, JP (corresponding author), Univ Los Andes, Fac Med, San Carlos Apoquindo 2200, Santiago, Chile.</t>
  </si>
  <si>
    <t>jpacevedo@uandes.cl</t>
  </si>
  <si>
    <t>Andrews, Barbara/J-5070-2016; Saavedra, Matias/AAP-8996-2021; Salazar, María Oriana/J-5061-2016; Salazar, Oriana/O-4070-2018; Asenjo, Juan/L-8336-2013</t>
  </si>
  <si>
    <t>Acevedo, Juan Pablo/0000-0002-7404-3762; Asenjo, Juan/0000-0002-3475-7664</t>
  </si>
  <si>
    <t>FONDEF [DO4I-1374]; Conicyt; Millenium Scientific Initiative (ICDB) [P05-001-F]</t>
  </si>
  <si>
    <t>FONDEF; Conicyt(Comision Nacional de Investigacion Cientifica y Tecnologica (CONICYT)); Millenium Scientific Initiative (ICDB)</t>
  </si>
  <si>
    <t>We gratefully acknowledge financial support from FONDEF (project DO4I-1374), Conicyt (doctoral scholarship to JPA) and the Millenium Scientific Initiative (project P05-001-F, ICDB).</t>
  </si>
  <si>
    <t>1364-5072</t>
  </si>
  <si>
    <t>1365-2672</t>
  </si>
  <si>
    <t>J APPL MICROBIOL</t>
  </si>
  <si>
    <t>J. Appl. Microbiol.</t>
  </si>
  <si>
    <t>10.1111/jam.12033</t>
  </si>
  <si>
    <t>Biotechnology &amp; Applied Microbiology; Microbiology</t>
  </si>
  <si>
    <t>073DN</t>
  </si>
  <si>
    <t>WOS:000313723800007</t>
  </si>
  <si>
    <t>Ikeda, T</t>
  </si>
  <si>
    <t>Ikeda, Tsutomu</t>
  </si>
  <si>
    <t>Respiration and ammonia excretion of euphausiid crustaceans: synthesis toward a global-bathymetric model</t>
  </si>
  <si>
    <t>MARINE BIOLOGY</t>
  </si>
  <si>
    <t>CHEMICAL-COMPOSITION; ELEMENTAL COMPOSITION; MIDWATER CRUSTACEANS; BODY-MASS; METABOLIC CHARACTERISTICS; ANTARCTIC ZOOPLANKTON; NITROGEN-EXCRETION; OXYGEN-CONSUMPTION; MARINE ZOOPLANKTON; EASTERN GULF</t>
  </si>
  <si>
    <t>Respiration and ammonia excretion rates of 19-24 euphausiids from the epipelagic through bathypelagic zones of the world's oceans were compiled. Body mass (expressed in terms of dry mass, carbon or nitrogen), habitat temperature and sampling depth were designated as parameters in multiple regression analysis. Results suggested that the three parameters were highly significant, contributing 71-89 % of the variance in respiration rates and 69-81 % of the variance in ammonia excretion rates. Atomic O:N ratios derived from simultaneous measurements of respiration and ammonia excretion rates ranged from 11 to 90 (median: 27), and no appreciable effects of the three parameters on O:N ratios were detected. If global-bathymetric models for the metabolism and chemical composition of copepods and chaetognaths are compared with those of euphausiids, it becomes evident that euphausiids are unique in that they maintain high metabolic rates and accumulate moderate amounts of energy reserves (lipids).</t>
  </si>
  <si>
    <t>Ikeda, T (corresponding author), 16-3-1001 Toyokawa Cho, Hakodate, Hokkaido 0400065, Japan.</t>
  </si>
  <si>
    <t>ikeda.tutomu@sepia.plala.or.jp</t>
  </si>
  <si>
    <t>0025-3162</t>
  </si>
  <si>
    <t>1432-1793</t>
  </si>
  <si>
    <t>MAR BIOL</t>
  </si>
  <si>
    <t>Mar. Biol.</t>
  </si>
  <si>
    <t>10.1007/s00227-012-2150-z</t>
  </si>
  <si>
    <t>073FH</t>
  </si>
  <si>
    <t>WOS:000313728400002</t>
  </si>
  <si>
    <t>Singh, SM; Sharma, J; Gawas-Sakhalkar, P; Upadhyay, AK; Naik, S; Pedneker, SM; Ravindra, R</t>
  </si>
  <si>
    <t>Singh, Shiv Mohan; Sharma, Jagdev; Gawas-Sakhalkar, Puja; Upadhyay, Ajay K.; Naik, Simantini; Pedneker, Shailesh M.; Ravindra, Rasik</t>
  </si>
  <si>
    <t>Atmospheric deposition studies of heavy metals in Arctic by comparative analysis of lichens and cryoconite</t>
  </si>
  <si>
    <t>ENVIRONMENTAL MONITORING AND ASSESSMENT</t>
  </si>
  <si>
    <t>ICPMS; Elemental deposition; Biomonitoring; Glacier; Crustal contribution</t>
  </si>
  <si>
    <t>ELEMENT COMPOSITION; TRACE-ELEMENTS; ORGANIC-MATTER; NIVALIS; MOSS</t>
  </si>
  <si>
    <t>Lichens and cryoconite (rounded or granular, brownish-black debris occurring in holes on the glacier surface) from Ny-lesund were used for understanding the elemental deposition pattern in the area. Lichen samples collected from low-lying coastal region and cryoconite samples from high altitudinal glacier area were processed and analysed for elements such as aluminium (Al), arsenic (As), cadmium (Cd), cobalt (Co), chromium (Cr), cesium (Cs), copper (Cu), iron (Fe), manganese (Mn), nickel (Ni), lead (Pb), vanadium (V) and zinc (Zn) through inductively coupled plasma mass spectrometry. Results showed that heavy metals, Al and Fe, are present in high concentration in the cryoconite samples. Al was also present in high amounts in seven of the eight lichen samples studied. The general scheme of elements in the decreasing order of their concentrations for most of the cryoconite samples was Al &gt; Fe &gt; Mn &gt; Zn &gt; V &gt; Pb &gt; Cr &gt; Ni &gt; Cu &gt; Co &gt; As &gt; Cs &gt; Cd while that for the lichen samples was Al &gt; Fe &gt; Zn &gt; Mn &gt; Pb &gt; Cu &gt; Cs &gt; Cr &gt; Ni &gt; V &gt; Co &gt; As &gt; Cd. Similarity in trends in the two sample types confirms that the environment indeed contains these elements in that order of concentration which overtime got accumulated in the samples. Overall comparison showed most elements to be present in high concentrations in the cryoconite samples as compared to the lichen samples. Within the lichens, elemental accumulation data suggests that the low-lying site (L-2) from where Cladonia mediterranea sample was collected was the most polluted accumulating a number of elements at high concentrations. The probable reasons for such deposition patterns in the region could be natural (crustal contribution and sea salt spray) and anthropogenic (local and long-distance transmission of dust particles). In the future, this data can form a baseline for monitoring quantum of atmospheric heavy metal deposition in lichens and cryoconite of Svalbard, Arctic.</t>
  </si>
  <si>
    <t>[Singh, Shiv Mohan; Gawas-Sakhalkar, Puja; Naik, Simantini; Pedneker, Shailesh M.; Ravindra, Rasik] Natl Ctr Antarctic &amp; Ocean Res, Vasco Da Gama 403804, Goa, India; [Sharma, Jagdev; Upadhyay, Ajay K.] Natl Res Ctr Grapes, Pune 412307, Maharashtra, India</t>
  </si>
  <si>
    <t>Ministry of Earth Sciences (MoES) - India; National Centre for Polar and Ocean Research (NCPOR); Indian Council of Agricultural Research (ICAR); ICAR - National Research Centre for Grapes</t>
  </si>
  <si>
    <t>Singh, SM (corresponding author), Natl Ctr Antarctic &amp; Ocean Res, Vasco Da Gama 403804, Goa, India.</t>
  </si>
  <si>
    <t>drsmsingh@yahoo.com</t>
  </si>
  <si>
    <t>Sharma, Jagdev/AGU-5088-2022</t>
  </si>
  <si>
    <t>0167-6369</t>
  </si>
  <si>
    <t>1573-2959</t>
  </si>
  <si>
    <t>ENVIRON MONIT ASSESS</t>
  </si>
  <si>
    <t>Environ. Monit. Assess.</t>
  </si>
  <si>
    <t>10.1007/s10661-012-2638-5</t>
  </si>
  <si>
    <t>068ID</t>
  </si>
  <si>
    <t>WOS:000313359000027</t>
  </si>
  <si>
    <t>Forehead, H; Thomson, P; Kendrick, GA</t>
  </si>
  <si>
    <t>Forehead, Hugh; Thomson, Peter; Kendrick, Gary A.</t>
  </si>
  <si>
    <t>Shifts in composition of microbial communities of subtidal sandy sediments maximise retention of nutrients</t>
  </si>
  <si>
    <t>FEMS MICROBIOLOGY ECOLOGY</t>
  </si>
  <si>
    <t>Review</t>
  </si>
  <si>
    <t>trophic index; autotrophy; biogeochemistry; microphytobenthos; sediment carbon</t>
  </si>
  <si>
    <t>ANAEROBIC AMMONIUM OXIDATION; ORGANIC-MATTER; NITROGEN-FIXATION; CONTINENTAL-SHELF; MICROPHYTOBENTHIC COMMUNITIES; DEGRADATION-PRODUCTS; INTERTIDAL MUDFLATS; SPATIAL VARIABILITY; SEASONAL-VARIATIONS; OXYGEN-CONSUMPTION</t>
  </si>
  <si>
    <t>The density and composition of microbial communities of subtidal sandy sediments determines their role in the cycling of nutrients in coastal waters. It has previously been found that sediments disturbed by waves and currents have reduced biomass, greater productivity to respiration (P/R) ratios and a tendency to take up nutrients. Conversely, with shelter and greater biomass, P/R ratios were smaller and nutrients released. This study, in warm temperate waters, examined the consequences of high and low levels of hydrodynamic energy on the microbial community structure and biogeochemistry at two locations at different times of year. Measurements included biomarkers, sediment properties and exchanges of gases and nutrients. Microbial communities were dominated by diatoms and bacteria. Exposed sites, relative to paired sheltered sites, had smaller ratios of bacteria to benthic microalgae (BMA), larger C/N ratios, smaller indices of diagenetic activity, but smaller P/R ratios. The bacteria in exposed sediments exhibited biomass-normalised rates of respiration almost double those in sheltered sediments. This increased activity was most likely fuelled by elevated concentrations of photosynthates, secreted by BMA attached to sand grains. Changes in community composition owing to different levels of disturbance led to shifts in functioning that resulted in consistently small exchanges of nutrients.</t>
  </si>
  <si>
    <t>[Forehead, Hugh; Thomson, Peter] CSIRO Div Marine &amp; Atmospher Res, Hobart, Tas, Australia; [Forehead, Hugh; Kendrick, Gary A.] Univ Western Australia, UWA Oceans Inst, Crawley, WA, Australia; [Forehead, Hugh; Kendrick, Gary A.] Univ Western Australia, Sch Plant Biol, Crawley, WA, Australia</t>
  </si>
  <si>
    <t>Commonwealth Scientific &amp; Industrial Research Organisation (CSIRO); University of Western Australia; University of Western Australia</t>
  </si>
  <si>
    <t>Forehead, H (corresponding author), Univ Tasmania, Inst Marine &amp; Antarctic Studies, Hobart, Tas 7001, Australia.</t>
  </si>
  <si>
    <t>hforehead8@gmail.com</t>
  </si>
  <si>
    <t>Thompson, Peter A/A-2361-2012; Kendrick, Gary Andrew/B-3460-2011; Forehead, Hugh/O-4713-2018</t>
  </si>
  <si>
    <t>Kendrick, Gary Andrew/0000-0002-0276-6064; Forehead, Hugh/0000-0001-7035-2894</t>
  </si>
  <si>
    <t>Strategic Research Fund for the Marine Environment initiative of the Western Australian state government and Commonwealth Scientific and Industrial Research Organisation Division of Marine and Atmospheric Research</t>
  </si>
  <si>
    <t>We would like to thank Dr A. Waite for her helpful advice, field support and laboratory resources. Thanks to L. Clementson, A. Revill and J. Volkman for their useful discussions, and to S. Grove, A. Brearley and K. Kilminster for their assistance with field work; P. Bonham for their assistance with pigment analyses and chromatography; D. Holdsworth and S. Armand for their assistance with lipid chromatography; and V. Latham and R. Watson for their assistance with nutrient analysis. Thanks to two anonymous reviewers whose input improved the manuscript. The authors wish to acknowledge financial support of a PhD scholarship for H. F. and research funding from the Strategic Research Fund for the Marine Environment (a joint initiative of the Western Australian state government and Commonwealth Scientific and Industrial Research Organisation Division of Marine and Atmospheric Research).</t>
  </si>
  <si>
    <t>OXFORD UNIV PRESS</t>
  </si>
  <si>
    <t>GREAT CLARENDON ST, OXFORD OX2 6DP, ENGLAND</t>
  </si>
  <si>
    <t>0168-6496</t>
  </si>
  <si>
    <t>1574-6941</t>
  </si>
  <si>
    <t>FEMS MICROBIOL ECOL</t>
  </si>
  <si>
    <t>FEMS Microbiol. Ecol.</t>
  </si>
  <si>
    <t>10.1111/j.1574-6941.2012.01472.x</t>
  </si>
  <si>
    <t>Microbiology</t>
  </si>
  <si>
    <t>066WP</t>
  </si>
  <si>
    <t>WOS:000313252600003</t>
  </si>
  <si>
    <t>Azovsky, A; Mazei, Y</t>
  </si>
  <si>
    <t>Azovsky, Andrey; Mazei, Yuri</t>
  </si>
  <si>
    <t>Do microbes have macroecology? Large-scale patterns in the diversity and distribution of marine benthic ciliates</t>
  </si>
  <si>
    <t>GLOBAL ECOLOGY AND BIOGEOGRAPHY</t>
  </si>
  <si>
    <t>Ciliates; distribution; diversity; latitudinal gradients; marine; Rapoport's rule</t>
  </si>
  <si>
    <t>BIOGEOGRAPHY; BIODIVERSITY; COSMOPOLITANISM; ECOSYSTEMS; DISPERSAL; STRENGTH; ENDEMISM; PROTOZOA; OCEAN; WORLD</t>
  </si>
  <si>
    <t>Aim The biogeography and global distribution of protists has long been disputed, with two primary, opposing views. To test these two sets of views in greater detail, we have compiled the available data for marine benthic ciliates and assessed the general patterns of their diversity and distribution compared with Metazoa. Location World-wide. Methods A comprehensive database (1342 species, over 350 sources) was used to analyse the diversity, distribution, species occurrences and range size distribution of free-living ciliates that inhabit marine sediments in 17 geographical regions. Results Twenty-five per cent of the species have been found in a single region only, whereas 18% are widespread (they occur in more than half the regions covering both hemispheres). Only 57% of regional faunas are endemic, which is much lower than for macroorganisms. Regional diversity depends neither on total area nor on coastline length and does not show any obvious latitudinal trends, but correlates highly with the investigation effort expended in a region and (negatively) with the average salinity. A comparison of species composition reveals distinctions between the Arctic Area (the White, Barents and Kara seas), Laurasian Area (north Atlantic, north Pacific and European seas), Gondwanian Area (Southern Ocean) and the Antarctic. No clear geographical correlations are found for faunistic composition at the genus or family levels. There is the tendency to narrow the latitudinal ranges for species found at high latitudes (reversal of Rapoport's rule). Main conclusions Undersampling and data insufficiency are the key factors affecting the observed diversity and distribution of microorganisms. Nevertheless, marine benthic ciliates demonstrate certain patterns that generally agree with the moderate endemicity model (Foissner, 2004, 2008), but consistently contradict the regularities commonly observed for multicellular taxa. Thus, ciliates do have a biogeography, but their macroecological patterns may be different in some respects from that of macroorganisms.</t>
  </si>
  <si>
    <t>[Azovsky, Andrey] Moscow MV Lomonosov State Univ, Dept Hydrobiol, Moscow 119899, Russia; [Mazei, Yuri] Penza State Pedag Univ, Dept Zool &amp; Ecol, Penza 440026, Russia</t>
  </si>
  <si>
    <t>Lomonosov Moscow State University; Penza State University</t>
  </si>
  <si>
    <t>Azovsky, A (corresponding author), Moscow MV Lomonosov State Univ, Dept Hydrobiol, Moscow 119899, Russia.</t>
  </si>
  <si>
    <t>aiazovsky@mail.ru</t>
  </si>
  <si>
    <t>Azovsky, Andrey/B-4773-2018; Mazei, Yuri/B-5358-2013</t>
  </si>
  <si>
    <t>Azovsky, Andrey/0000-0001-6815-3968; Mazei, Yuri/0000-0002-5443-8919</t>
  </si>
  <si>
    <t>Russian Foundation for Basic Research [12-04-00284, 10-04-00496]</t>
  </si>
  <si>
    <t>Russian Foundation for Basic Research(Russian Foundation for Basic Research (RFBR)Spanish Government)</t>
  </si>
  <si>
    <t>We would like to thank Wilhelm Foissner for the stimulating discussion that greatly inspired this work and valuable comments. Ilham Alekperov (Azerbaijan), Khaled Al-Rasheid (Saudi Arabia), Olimpia Coppellotti (Italy), Igor Dovgal (Ukraine), Sergei Fokin (Russia), Andrey Sazhin (Russia) and Weibo Song (China) kindly provided their unpublished data. This study was supported by the Russian Foundation for Basic Research (grants no. 12-04-00284 and 10-04-00496).</t>
  </si>
  <si>
    <t>1466-822X</t>
  </si>
  <si>
    <t>1466-8238</t>
  </si>
  <si>
    <t>GLOBAL ECOL BIOGEOGR</t>
  </si>
  <si>
    <t>Glob. Ecol. Biogeogr.</t>
  </si>
  <si>
    <t>10.1111/j.1466-8238.2012.00776.x</t>
  </si>
  <si>
    <t>Ecology; Geography, Physical</t>
  </si>
  <si>
    <t>Environmental Sciences &amp; Ecology; Physical Geography</t>
  </si>
  <si>
    <t>067BK</t>
  </si>
  <si>
    <t>WOS:000313267000002</t>
  </si>
  <si>
    <t>Hughes, KA; Cary, SC; Cowan, DA; Lovejoy, C; Vincent, WF; Wilmotte, A</t>
  </si>
  <si>
    <t>Hughes, K. A.; Cary, S. C.; Cowan, D. A.; Lovejoy, C.; Vincent, W. F.; Wilmotte, A.</t>
  </si>
  <si>
    <t>Pristine Antarctica: threats and protection</t>
  </si>
  <si>
    <t>Editorial Material</t>
  </si>
  <si>
    <t>Vincent, Warwick/AAH-6152-2019; Wilmotte, Annick/H-1686-2011; Hughes, Kevin/JVZ-0793-2024; Cowan, Donald A/E-3991-2012; Lovejoy, Connie/A-3756-2008</t>
  </si>
  <si>
    <t>Vincent, Warwick/0000-0001-9055-1938; Cowan, Donald A/0000-0001-8059-861X; Lovejoy, Connie/0000-0001-8027-2281; Wilmotte, Annick/0000-0003-3546-3489; Cary, Stephen/0000-0002-2876-2387</t>
  </si>
  <si>
    <t>10.1017/S0954102013000047</t>
  </si>
  <si>
    <t>WOS:000314147700001</t>
  </si>
  <si>
    <t>Sands, CJ; Griffiths, HJ; Downey, RV; Barnes, DKA; Linse, K; Martín-Ledo, R</t>
  </si>
  <si>
    <t>Sands, Chester J.; Griffiths, Huw J.; Downey, Rachel V.; Barnes, David K. A.; Linse, Katrin; Martin-Ledo, Rafael</t>
  </si>
  <si>
    <t>Observations of the ophiuroids from the West Antarctic sector of the Southern Ocean</t>
  </si>
  <si>
    <t>Amundsen Sea; Antarctic Circumpolar Current; Bellingshausen Sea; benthos; brittle star; Scotia Sea</t>
  </si>
  <si>
    <t>ASTROTOMA-AGASSIZII; ECHINODERMATA; TAXONOMY; BIOLOGY</t>
  </si>
  <si>
    <t>Ophiuroids are a conspicuous and often dominant component of the Antarctic continental shelf benthos. Here we report on the ophiuroids collected from the Burdwood Bank, off the Patagonian Shelf, through the shallow water areas of the Scotia Arc, down the west Antarctic Peninsula and as far south as Pine Island Bay in the eastern Amundsen Sea. This preliminary and primarily pattern based study identifies some regional differences in assemblages and highlights the role of the Antarctic Circumpolar Current as a barrier, as well as a facilitator, to dispersal. In order to effectively compare between studies we highlight the need for accurate, expert taxonomic identification of specimens.</t>
  </si>
  <si>
    <t>[Sands, Chester J.; Griffiths, Huw J.; Downey, Rachel V.; Barnes, David K. A.; Linse, Katrin] British Antarctic Survey, NERC, Cambridge CB3 0ET, England; [Martin-Ledo, Rafael] Univ Extremadura, Fac Ciencias, Area Zool, Badajoz 06006, Spain</t>
  </si>
  <si>
    <t>UK Research &amp; Innovation (UKRI); Natural Environment Research Council (NERC); NERC British Antarctic Survey; Universidad de Extremadura</t>
  </si>
  <si>
    <t>Sands, CJ (corresponding author), British Antarctic Survey, NERC, Madingley Rd, Cambridge CB3 0ET, England.</t>
  </si>
  <si>
    <t>cjsan@bas.ac.uk</t>
  </si>
  <si>
    <t>Griffiths, Huw J/D-4234-2009; Downey, Rachel/Q-4156-2019</t>
  </si>
  <si>
    <t>Griffiths, Huw J/0000-0003-1764-223X; Linse, Katrin/0000-0003-3477-3047; Sands, Chester/0000-0003-1028-0328; Downey, Rachel/0000-0001-9275-8879</t>
  </si>
  <si>
    <t>Antarctic Science Bursary; SynTax; Natural Environment Research Council; NERC [bas0100026, bas0100025] Funding Source: UKRI; Natural Environment Research Council [bas0100026, bas0100025] Funding Source: researchfish</t>
  </si>
  <si>
    <t>Antarctic Science Bursary; SynTax;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</si>
  <si>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the Captain and crew of the RRS James Clark Ross for their commitment to providing an excellent science platform. We would like to acknowledge Stefanie Kaiser, Jan Strugnell, Adrian Glover, Alexis Janosik, Terri Souster, Peter Enderlein, Alistair Newton, Daniel Smale, Jenny Rock, Anthony North and Matthew Brown for help sorting on the ship. Thanks also for the assistance of Andrew Cabrinovic of the Natural History Museum, London, for providing his time and resources to examine specimens. Similarly Dr Carsten Lueter of the Museum fur Naturkunde, Leibniz-Institut fur Evolution, Berlin, for providing images to assist with character diagnosis. We are grateful for the constructive feedback of Julian Gutt and an anonymous reviewer that have improved the manuscript. The curation and taxonomic work in this paper was supported by an Antarctic Science Bursary and a SynTax grant to CJS. This study is part of the British Antarctic Survey Polar Science for Planet Earth Programme funded by The Natural Environment Research Council.</t>
  </si>
  <si>
    <t>10.1017/S0954102012000612</t>
  </si>
  <si>
    <t>Green Accepted, Green Submitted</t>
  </si>
  <si>
    <t>WOS:000314147700002</t>
  </si>
  <si>
    <t>Lynch, HJ; Ratcliffe, N; Passmore, J; Foster, E; Trathan, PN</t>
  </si>
  <si>
    <t>Lynch, Heather J.; Ratcliffe, Norman; Passmore, Jennifer; Foster, Emma; Trathan, Philip N.</t>
  </si>
  <si>
    <t>Sensitivity analysis identifies high influence sites for estimates of penguin krill consumption on the Antarctic Peninsula</t>
  </si>
  <si>
    <t>Adelie penguin; CCAMLR; chinstrap penguin; krill management; penguin population estimates; Zavodovski Island</t>
  </si>
  <si>
    <t>POPULATIONS</t>
  </si>
  <si>
    <t>Krill consumption by natural predators represents a critical link between surveys and models of standing krill biomass and the design of a sustainable krill fishery for the Scotia Sea. Antarctic krill (Euphausia superba) is a significant component of diet for penguins breeding in this region and, consequently, uncertainties regarding penguin population abundances contribute to uncertainties in krill predation estimates. We use a comprehensive database of Antarctic penguin abundances to identify 14 breeding colonies that contribute most significantly to uncertainty regarding the total number of pygoscelid penguins breeding in this region. We find that a high quality survey of Zavodovski Island alone would decrease uncertainty in total population by 24.8%, whereas high quality surveys of all 14 high-influence locations would decrease uncertainty by almost 72%. Updated population estimates at these sites should be considered top priority for future fieldwork in the region. Our results are based on a robust quantitative method for assessing data priorities in estimating krill consumption that is easily extended to other groups of krill predators.</t>
  </si>
  <si>
    <t>[Lynch, Heather J.] SUNY Stony Brook, Dept Ecol &amp; Evolut, Stony Brook, NY 11794 USA; [Ratcliffe, Norman; Passmore, Jennifer; Foster, Emma; Trathan, Philip N.] British Antarctic Survey, NERC, Cambridge CB3 0ET, England</t>
  </si>
  <si>
    <t>State University of New York (SUNY) System; State University of New York (SUNY) Stony Brook; UK Research &amp; Innovation (UKRI); Natural Environment Research Council (NERC); NERC British Antarctic Survey</t>
  </si>
  <si>
    <t>Lynch, HJ (corresponding author), SUNY Stony Brook, Dept Ecol &amp; Evolut, 640 Life Sci Bldg, Stony Brook, NY 11794 USA.</t>
  </si>
  <si>
    <t>hlynch@life.bio.sunysb.edu</t>
  </si>
  <si>
    <t>US National Science Foundation Office of Polar Programs [NSF/OPP-0739515]; Directorate For Geosciences; Office of Polar Programs (OPP) [0739515] Funding Source: National Science Foundation; Natural Environment Research Council [bas0100025] Funding Source: researchfish; NERC [bas0100025] Funding Source: UKRI</t>
  </si>
  <si>
    <t>US National Science Foundation Office of Polar Programs(National Science Foundation (NSF));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</si>
  <si>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We would like to acknowledge all of the participants of the STAPP working group: John McKinlay, Louise Emmerson, Jaume Forcada, Michael Goebel, Jefferson Hinke, Sue Trivelpiece, Wayne Trivelpiece, Peter Wilson, David Wilson, Steve Candy, Rachel Fewster, Ben Raymond, Donna Patterson-Fraser, Phil Lyver, David Ramm, Keith Reid, Christian Reiss, Jacquelyn Turner, and especially Colin Southwell for his tireless efforts leading this working group. HJL gratefully acknowledges assistance from the US National Science Foundation Office of Polar Programs (Award No. NSF/OPP-0739515). The constructive comments of the reviewers are also gratefully acknowledged.</t>
  </si>
  <si>
    <t>10.1017/S0954102012000600</t>
  </si>
  <si>
    <t>Green Accepted</t>
  </si>
  <si>
    <t>WOS:000314147700004</t>
  </si>
  <si>
    <t>Purvis, OW; Convey, P; Flowerdew, MJ; Peat, HJ; Najorka, J; Kearsley, A</t>
  </si>
  <si>
    <t>Purvis, O. W.; Convey, P.; Flowerdew, M. J.; Peat, H. J.; Najorka, J.; Kearsley, A.</t>
  </si>
  <si>
    <t>Iron localization in Acarospora colonizing schist on Signy Island</t>
  </si>
  <si>
    <t>adaptation; lichen; Maritime Antarctic; recent colonist; rust</t>
  </si>
  <si>
    <t>SOUTH ORKNEY; MINERALS; ROCKS</t>
  </si>
  <si>
    <t>A small, inconspicuous lichen, Acarospora of. badiofusca, was discovered colonizing iron-stained quartz mica schists on the lower slope of Manhaul Rock, a recently exposed nunatak on the McLeod Glacier, Signy Island, South Orkney Islands. Thallus colour ranged from rust on exposed rock surfaces to paler orange and green in shaded crevices. This study addressed the hypothesis that colour reflects element localization, and considered substance localization within lichen tissues and responses to stress. Electron microprobe analysis of specimens confirmed that Fe is localized principally in the outer rust-coloured part of the cortex, confirming that the colour reflects Fe localization. Oxalates, widely reported as contributing to tolerance mechanisms to environmental stress, were not detected using X-ray diffraction. The upper thallus surface consisted of sub-micron particulate phases containing Fe, Al and O, suggesting mixed oxide/hydroxide phases are present and play a role in photoprotection.</t>
  </si>
  <si>
    <t>[Purvis, O. W.; Najorka, J.; Kearsley, A.] Nat Hist Museum, London SW7 5BD, England; [Purvis, O. W.] Univ Exeter, Coll Engn Math &amp; Phys Sci, Camborne Sch Mines, Penryn TR10 9EZ, England; [Convey, P.; Flowerdew, M. J.; Peat, H. J.] British Antarctic Survey, NERC, Cambridge CB3 OET, England</t>
  </si>
  <si>
    <t>Natural History Museum London; University of Exeter; UK Research &amp; Innovation (UKRI); Natural Environment Research Council (NERC); NERC British Antarctic Survey</t>
  </si>
  <si>
    <t>Purvis, OW (corresponding author), Nat Hist Museum, Cromwell Rd, London SW7 5BD, England.</t>
  </si>
  <si>
    <t>owpurvis@gmail.com</t>
  </si>
  <si>
    <t>Peat, Helen J/E-9666-2015; Convey, Peter/AAV-5728-2020</t>
  </si>
  <si>
    <t>Convey, Peter/0000-0001-8497-9903; Peat, Helen/0000-0003-2017-8597; Flowerdew, Michael/0000-0002-9710-2593</t>
  </si>
  <si>
    <t>NERC Antarctic Funding Initiative Collaborative Gearing Scheme [CGS11/57]; Natural Environment Research Council [bas0100025] Funding Source: researchfish; NERC [bas0100025] Funding Source: UKRI</t>
  </si>
  <si>
    <t>NERC Antarctic Funding Initiative Collaborative Gearing Scheme; Natural Environment Research Council(UK Research &amp; Innovation (UKRI)Natural Environment Research Council (NERC)); NERC(UK Research &amp; Innovation (UKRI)Natural Environment Research Council (NERC))</t>
  </si>
  <si>
    <t>We acknowledge funding from the NERC Antarctic Funding Initiative Collaborative Gearing Scheme (ref. CGS11/57). We are very grateful to Bruce Maltman for field assistance, Phil Hurst (NHM Image Resources) for macrophotography (Figs 2c, 2e &amp; 3a), Tony Wighton for sample preparation and Verity Clarkson, Armando Mendez and Falko Langenhorst (Friedrich-Schiller-Universitat Jena) for helpful assistance with literature. We thank Ulrik Sochting and an anonymous referee for useful comments on the manuscript.</t>
  </si>
  <si>
    <t>10.1017/S0954102012000582</t>
  </si>
  <si>
    <t>WOS:000314147700005</t>
  </si>
  <si>
    <t>Slemmons, C; Johnson, G; Connell, LB</t>
  </si>
  <si>
    <t>Slemmons, Caleb; Johnson, Gregory; Connell, Laurie B.</t>
  </si>
  <si>
    <t>Application of an automated ribosomal intergenic spacer analysis database for identification of cultured Antarctic fungi</t>
  </si>
  <si>
    <t>ARISA; ARISA-AFF; fungal abundance; McMurdo Dry Valleys; soil microbial community</t>
  </si>
  <si>
    <t>DIVERSITY</t>
  </si>
  <si>
    <t>We utilized an automated ribosomal intergenic spacer analysis (ARISA) method as a more rapid alternative to classical morphological/nutritional identification and a less expensive alternative to sequencing for identification and grouping of isolates in culture-based fungal abundance studies. This method is well suited for the study of culturable Antarctic soil fungal communities where both abundance and diversity are relatively low. We optimized template concentration and verified the effect of primer selection from eight commonly used fungal polymerase chain reaction primers on ARISA chromatographs for 46 fungal species commonly isolated from south Victoria Land. A database of Antarctic fungal electropherograms was produced containing each of the species and was used as the first step in a tiered system for species identification. In addition, isolates containing more than one species were identified, allowing isolates not in the database to be sequenced for further analysis. This method unambiguously identified 78% of the fungal taxa in this study and we were able to rapidly determine which isolates should be subjected to further analysis by DNA sequencing. Using this approach, the cost of analysis for abundance studies can be greatly reduced compared to DNA sequencing of each isolate.</t>
  </si>
  <si>
    <t>[Slemmons, Caleb; Johnson, Gregory; Connell, Laurie B.] Univ Maine, Sch Marine Sci, Orono, ME 04468 USA</t>
  </si>
  <si>
    <t>University of Maine System; University of Maine Orono</t>
  </si>
  <si>
    <t>Connell, LB (corresponding author), Univ Maine, Sch Marine Sci, 5735 Hitchner Hall, Orono, ME 04468 USA.</t>
  </si>
  <si>
    <t>laurie.connell@umit.maine.edu</t>
  </si>
  <si>
    <t>Connell, Laurie/0009-0001-3892-8643</t>
  </si>
  <si>
    <t>NSF [OPP-0125611, ANT 0739696]; University of Maine HEIR grant; Office of Polar Programs (OPP); Directorate For Geosciences [0739731, 0739696] Funding Source: National Science Foundation</t>
  </si>
  <si>
    <t>NSF(National Science Foundation (NSF)); University of Maine HEIR grant; Office of Polar Programs (OPP); Directorate For Geosciences(National Science Foundation (NSF)NSF - Directorate for Geosciences (GEO))</t>
  </si>
  <si>
    <t>The authors would like to thank Megan Altenritter, Katie Earle and Ben Segee for laboratory support, Regina Redmond, Rusty Rodriguez, Scott Craig, Amy Chiuchiolo, Tristy Vick, Andrew Barber and Hubert Staudigel for help in field sample collection as well as Raytheon Polar Services and PHI for logistical support. The authors also thank the anonymous reviews that helped improve this manuscript. This work was supported in part by NSF OPP-0125611, NSF ANT 0739696, as well as a University of Maine HEIR grant.</t>
  </si>
  <si>
    <t>10.1017/S0954102012000879</t>
  </si>
  <si>
    <t>WOS:000314147700007</t>
  </si>
  <si>
    <t>Waller, CL</t>
  </si>
  <si>
    <t>Waller, Catherine L.</t>
  </si>
  <si>
    <t>Zonation in a cryptic Antarctic intertidal macrofaunal community</t>
  </si>
  <si>
    <t>boulder-field; community structure; disturbance; diversity; encrusting</t>
  </si>
  <si>
    <t>TROPHIC STRUCTURE; ROCKY SHORE; PATTERNS; ICE; INVERTEBRATES; BIODIVERSITY; COLONIZATION; DIVERSITY; ABUNDANCE; CONTRASTS</t>
  </si>
  <si>
    <t>Despite the general view that the Antarctic intertidal conditions are too extreme to support obvious signs of macrofaunal life, recent studies have shown that intertidal communities can survive over annual cycles. The current study investigates distribution of taxa within a boulder cobble matrix, beneath the outer, scoured surface of the intertidal zone at Adelaide Island, west Antarctic Peninsula. The intertidal zone at the study sites comprised compacted, flattened cobble pavements, which have been shown to be highly stable over time. Community structure was investigated using univariate and multivariate approaches. Virtually no macrofauna were present on the outer surface, but richness, diversity, abundance and size of animals increased with depth into the rock matrix. Abundance of taxa increased by an order of magnitude between the outer surface and the lowest level sampled. These findings show that the Antarctic intertidal is not always the uninhabitable environment currently perceived, and that under these highly variable environmental conditions at least some species have the capacity to survive.</t>
  </si>
  <si>
    <t>[Waller, Catherine L.] British Antarctic Survey, NERC, Cambridge CB3 0ET, England</t>
  </si>
  <si>
    <t>UK Research &amp; Innovation (UKRI); Natural Environment Research Council (NERC); NERC British Antarctic Survey</t>
  </si>
  <si>
    <t>Waller, CL (corresponding author), Univ Hull, Ctr Marine &amp; Environm Sci, Filey Rd, Scarborough YO11 3AZ, England.</t>
  </si>
  <si>
    <t>c.l.waller@hull.ac.uk</t>
  </si>
  <si>
    <t>Waller, Catherine L/0000-0002-0836-3223</t>
  </si>
  <si>
    <t>British Antarctic Survey Polar Science for Planet Earth core funds; Natural Environment Research Council [bas0100025] Funding Source: researchfish; NERC [bas0100025] Funding Source: UKRI</t>
  </si>
  <si>
    <t>British Antarctic Survey Polar Science for Planet Earth core funds; Natural Environment Research Council(UK Research &amp; Innovation (UKRI)Natural Environment Research Council (NERC)); NERC(UK Research &amp; Innovation (UKRI)Natural Environment Research Council (NERC))</t>
  </si>
  <si>
    <t>This research was funded from British Antarctic Survey Polar Science for Planet Earth core funds. I thank the marine team at Rothera Research Station, P. Convey, S. Hull and two anonymous reviewers for constructive comments on earlier versions of the manuscript and James Procter for technical advice.</t>
  </si>
  <si>
    <t>10.1017/S0954102012000867</t>
  </si>
  <si>
    <t>WOS:000314147700010</t>
  </si>
  <si>
    <t>Brito, MP; Griffiths, G; Mowlem, M; Makinson, K</t>
  </si>
  <si>
    <t>Brito, Mario P.; Griffiths, Gwyn; Mowlem, Matthew; Makinson, Keith</t>
  </si>
  <si>
    <t>Estimating and managing blowout risk during access to subglacial Antarctic lakes</t>
  </si>
  <si>
    <t>Ellsworth Subglacial Lake; expert judgment; hot-water drilling</t>
  </si>
  <si>
    <t>VOSTOK; PROBABILITIES; INVENTORY; GASES</t>
  </si>
  <si>
    <t>As Antarctic subglacial lake research progresses to in situ exploration an important topic is the lake's probable gas concentration. Depending on hydrological setting, subglacial lakes may contain large amounts of dissolved gas or gas trapped within clathrates. Consequently, access can be potentially dangerous due to the risk of blowout where depressurization could lead to high-speed ejection of water and gas from a borehole. We present a structured approach to assess the blowout risk in subglacial lake exploration. The approach integrates a generic event tree, applicable to open and closed hydrological systems, with site-specific expert judgment incorporating rigorous probabilistic formulations. The methodology is applied to a motivating example: Ellsworth Subglacial Lake. Judgments elicited through a formal process were provided by five experts with 88 years combined experience that, after aggregation, gave a median risk of blowout of 1 in 2186 with a lower quartile of 1 in 3433 and an upper quartile of 1 in 1341. This approach can be applied to any subglacial lake given a modicum of knowledge on its hydrological setting, as uncertainty can be captured through the elicited judgments. Additionally, the event tree analysis informs blowout mitigation strategies to reduce risk of injury or death.</t>
  </si>
  <si>
    <t>[Brito, Mario P.; Griffiths, Gwyn; Mowlem, Matthew] Univ Southampton, Natl Oceanog Ctr, Southampton SO14 13ZH, Hants, England; [Makinson, Keith] British Antarctic Survey, NERC, Cambridge CB3 0ET, England</t>
  </si>
  <si>
    <t>University of Southampton; NERC National Oceanography Centre; UK Research &amp; Innovation (UKRI); Natural Environment Research Council (NERC); NERC British Antarctic Survey</t>
  </si>
  <si>
    <t>Brito, MP (corresponding author), Univ Southampton, Natl Oceanog Ctr, Waterfront Campus,European Way, Southampton SO14 13ZH, Hants, England.</t>
  </si>
  <si>
    <t>mario.brito@noc.ac.uk</t>
  </si>
  <si>
    <t>Makinson, Keith/A-2495-2013</t>
  </si>
  <si>
    <t>Makinson, Keith/0000-0002-5791-1767; Brito, Mario/0000-0002-1779-4535; Mowlem, Matthew/0000-0001-7613-6121</t>
  </si>
  <si>
    <t>UK Natural Environment Research Council's Oceans 2025 programme; [NERC/001/0345012]; NERC [bas0100028, noc010013] Funding Source: UKRI; Natural Environment Research Council [bas0100028] Funding Source: researchfish</t>
  </si>
  <si>
    <t>UK Natural Environment Research Council's Oceans 2025 programme; ; NERC(UK Research &amp; Innovation (UKRI)Natural Environment Research Council (NERC)); Natural Environment Research Council(UK Research &amp; Innovation (UKRI)Natural Environment Research Council (NERC))</t>
  </si>
  <si>
    <t>The authors are grateful to the five experts that took part in this exercise and to the Ellsworth consortium for their encouragement. This work was supported by the UK Natural Environment Research Council's Oceans 2025 programme and by grant NERC/001/0345012. K. Makinson was added as an author after peer review, to augment the paper in the areas of drilling, clathrate, and blowout prevention in response to questions raised by reviewers. This has not compromised his independence as an expert providing judgments. The constructive comments of the reviewers are also gratefully acknowledged.</t>
  </si>
  <si>
    <t>10.1017/S0954102012000442</t>
  </si>
  <si>
    <t>WOS:000314147700015</t>
  </si>
  <si>
    <t>Levy, J</t>
  </si>
  <si>
    <t>Levy, Joseph</t>
  </si>
  <si>
    <t>How big are the McMurdo Dry Valleys? Estimating ice-free area using Landsat image data</t>
  </si>
  <si>
    <t>Oregon State Univ, Coll Earth Ocean &amp; Atmospher Sci, Corvallis, OR 97331 USA</t>
  </si>
  <si>
    <t>Oregon State University</t>
  </si>
  <si>
    <t>Levy, J (corresponding author), Oregon State Univ, Coll Earth Ocean &amp; Atmospher Sci, Corvallis, OR 97331 USA.</t>
  </si>
  <si>
    <t>jlevy@coas.oregonstate.edu</t>
  </si>
  <si>
    <t>Levy, Joseph/0000-0002-6222-139X</t>
  </si>
  <si>
    <t>NSF Office of Polar Programs Antarctic Earth Sciences Program [ANT1212307]; Directorate For Geosciences; Office of Polar Programs (OPP) [1212307] Funding Source: National Science Foundation; Office of Polar Programs (OPP); Directorate For Geosciences [1343835] Funding Source: National Science Foundation</t>
  </si>
  <si>
    <t>NSF Office of Polar Programs Antarctic Earth Sciences Program(National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</si>
  <si>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This work was supported in part by the NSF Office of Polar Programs Antarctic Earth Sciences Program, award ANT1212307. The constructive comments of the reviewer are gratefully acknowledged.</t>
  </si>
  <si>
    <t>10.1017/S0954102012000727</t>
  </si>
  <si>
    <t>WOS:000314147700016</t>
  </si>
  <si>
    <t>Grubor-Lajsic, G; Petri, ET; Kojic, D; Purac, J; Popovic, ZD; Worland, RM; Clark, MS; Mojovic, M; Blagojevic, DP</t>
  </si>
  <si>
    <t>Grubor-Lajsic, Gordana; Petri, Edward T.; Kojic, Danijela; Purac, Jelena; Popovic, Zeljko D.; Worland, Roger M.; Clark, Melody S.; Mojovic, Milos; Blagojevic, Dusko P.</t>
  </si>
  <si>
    <t>HYDROGEN PEROXIDE AND ECDYSONE IN THE CRYOPROTECTIVE DEHYDRATION STRATEGY OF Megaphorura Arctica (ONYCHIURIDAE: COLLEMBOLA)</t>
  </si>
  <si>
    <t>ARCHIVES OF INSECT BIOCHEMISTRY AND PHYSIOLOGY</t>
  </si>
  <si>
    <t>cryoprotective dehydration; Arctic springtail; ecdysone; H2O2; free radicals; catalase</t>
  </si>
  <si>
    <t>OSTRINIA-NUBILALIS LEPIDOPTERA; ANTIOXIDANT DEFENSE; COLD-HARDINESS; OXIDATIVE STRESS; TOLERANCE; INSECT; TEMPERATURES; SPRINGTAIL; INDUCTION; TREHALOSE</t>
  </si>
  <si>
    <t>The Arctic springtail, Megaphorura arctica, survives sub-zero temperatures in a dehydrated state via trehalose-dependent cryoprotective dehydration. Regulation of trehalose biosynthesis is complex; based in part on studies in yeast and fungi, its connection with oxidative stress caused by exposure of cells to oxidants, such as hydrogen peroxide (H2O2), or dehydration, is well documented. In this respect, we measured the amount of H2O2 and antioxidant enzyme activities (superoxide dismutases: copper, zincCuZnSOD and manganese containingMnSOD, and catalaseCAT), as the regulatory components determining H2O2 concentrations, in Arctic springtails incubated at 5 degrees C (control) versus -2 degrees C (threshold temperature for trehalose biosynthesis). Because ecdysone also stimulates trehalose production in insects and regulates the expression of genes involved in redox homeostasis and antioxidant protection in Drosophila, we measured the levels of the active physiological form of ecdysone20-hydroxyecdysone (20-HE). Significantly elevated H2O2 and 20-HE levels were observed in M. arctica incubated at -2 degrees C, supporting a link between ecdysone, H2O2, and trehalose levels during cryoprotective dehydration. CAT activity was found to be significantly lower in M. arctica incubated at -2 degrees C versus 5 degrees C, suggesting reduced H2O2 breakdown. Furthermore, measurement of the free radical composition in Arctic springtails incubated at 5 degrees C (controls) versus -2 degrees C by Electron Paramagnetic Resonance spectroscopy revealed melanin-derived free radicals at -2 degrees C, perhaps an additional source of H2O2. Our results suggest that H2O2 and ecdysone play important roles in the cryoprotective dehydration process in M. arctica, linked with the regulation of trehalose biosynthesis.</t>
  </si>
  <si>
    <t>[Grubor-Lajsic, Gordana; Petri, Edward T.; Kojic, Danijela; Purac, Jelena; Popovic, Zeljko D.] Univ Novi Sad, Fac Sci, Dept Biol &amp; Ecol, Novi Sad 21000, Serbia; [Worland, Roger M.; Clark, Melody S.] British Antarctic Survey, Nat Environm Res Council, Cambridge CB3 0ET, England; [Mojovic, Milos] Univ Belgrade, Fac Phys Chem, Belgrade 11060, Serbia; [Blagojevic, Dusko P.] Univ Belgrade, Dept Physiol, Inst Biol Res, Belgrade 11060, Serbia</t>
  </si>
  <si>
    <t>University of Novi Sad; UK Research &amp; Innovation (UKRI); Natural Environment Research Council (NERC); NERC British Antarctic Survey; University of Belgrade; University of Belgrade</t>
  </si>
  <si>
    <t>Blagojevic, DP (corresponding author), Univ Belgrade, Dept Physiol, Inst Biol Res, Bulevar Despota Stefana 142, Belgrade 11060, Serbia.</t>
  </si>
  <si>
    <t>dblagoje@ibiss.bg.ac.rs</t>
  </si>
  <si>
    <t>Blagojević, Duško P/A-7739-2018; Kojić, Danijela/AGJ-5146-2022; Mojović, Miloš/JFS-5595-2023; Popović, Željko/F-8257-2010; Clark, Melody/D-7371-2014</t>
  </si>
  <si>
    <t>Blagojević, Duško P/0000-0001-6338-2833; Kojić, Danijela/0000-0002-6422-9790; Mojović, Miloš/0000-0002-1868-9913; Popović, Željko/0000-0003-2961-8093; Clark, Melody/0000-0002-3442-3824; Petri, Edward/0000-0002-3650-1523; Purac, Jelena/0000-0003-0028-9847</t>
  </si>
  <si>
    <t>Ministry of Education, Science and Tehnological Development, Republic of Serbia [173014]; Natural Environment Research Council [bas0100025] Funding Source: researchfish; NERC [bas0100025] Funding Source: UKRI</t>
  </si>
  <si>
    <t>Ministry of Education, Science and Tehnological Development, Republic of Serbia; Natural Environment Research Council(UK Research &amp; Innovation (UKRI)Natural Environment Research Council (NERC)); NERC(UK Research &amp; Innovation (UKRI)Natural Environment Research Council (NERC))</t>
  </si>
  <si>
    <t>Grant sponsor: Ministry of Education, Science and Tehnological Development, Republic of Serbia; Grant number: 173014.</t>
  </si>
  <si>
    <t>0739-4462</t>
  </si>
  <si>
    <t>1520-6327</t>
  </si>
  <si>
    <t>ARCH INSECT BIOCHEM</t>
  </si>
  <si>
    <t>Arch. Insect Biochem. Physiol.</t>
  </si>
  <si>
    <t>10.1002/arch.21073</t>
  </si>
  <si>
    <t>Biochemistry &amp; Molecular Biology; Entomology; Physiology</t>
  </si>
  <si>
    <t>066TV</t>
  </si>
  <si>
    <t>WOS:000313244200002</t>
  </si>
  <si>
    <t>Pfeffer, WT</t>
  </si>
  <si>
    <t>Pfeffer, W. T.</t>
  </si>
  <si>
    <t>Mork F. Meier 1925 to 2012 In Memoriam</t>
  </si>
  <si>
    <t>ARCTIC ANTARCTIC AND ALPINE RESEARCH</t>
  </si>
  <si>
    <t>Biographical-Item</t>
  </si>
  <si>
    <t>Univ Colorado, Inst Arctic &amp; Alpine Res INSTAAR, Boulder, CO 80309 USA</t>
  </si>
  <si>
    <t>University of Colorado System; University of Colorado Boulder</t>
  </si>
  <si>
    <t>Pfeffer, WT (corresponding author), Univ Colorado, Inst Arctic &amp; Alpine Res INSTAAR, CB 450, Boulder, CO 80309 USA.</t>
  </si>
  <si>
    <t>INST ARCTIC ALPINE RES</t>
  </si>
  <si>
    <t>BOULDER</t>
  </si>
  <si>
    <t>UNIV COLORADO, BOULDER, CO 80309 USA</t>
  </si>
  <si>
    <t>1523-0430</t>
  </si>
  <si>
    <t>1938-4246</t>
  </si>
  <si>
    <t>ARCT ANTARCT ALP RES</t>
  </si>
  <si>
    <t>Arct. Antarct. Alp. Res.</t>
  </si>
  <si>
    <t>10.1657/1938-4246-45.1.1</t>
  </si>
  <si>
    <t>Environmental Sciences; Geography, Physical</t>
  </si>
  <si>
    <t>287HP</t>
  </si>
  <si>
    <t>WOS:000329533000001</t>
  </si>
  <si>
    <t>Christiansen, HH; Humlum, O; Eckerstorfer, M</t>
  </si>
  <si>
    <t>Christiansen, Hanne H.; Humlum, Ole; Eckerstorfer, Markus</t>
  </si>
  <si>
    <t>Central Svalbard 2000-2011 Meteorological Dynamics and Periglacial Landscape Response</t>
  </si>
  <si>
    <t>THERMAL REGIME; PERMAFROST; CLIMATE; STATE</t>
  </si>
  <si>
    <t>Local mountain meteorology of the landscape around Longyearbyen in central Svalbard is analyzed through the decade from 2000 to 2011. Standard meteorological stations from close to sea level and up to 464 m a.s.l. located on different periglacial landforms, have been used. During winters with little sea ice, strong temperature inversions do not develop, and then there is a distinct cooling with height, as opposed to when sea ice is present. Airflow is accelerated due to topography and direction deflected in the confined valleys, whereas open plateaus have on average 1 m/s lower wind speeds with a regional SE direction. The permafrost thermal state is largely controlled by meteorology, with permafrost in the valley bottoms as cold as on the mountain plateaus. The periglacial landform most exposed to climatic variability is ice-wedges, which seem to crack mainly during shorter cooling periods. Such activity is also linked to temperature inversions, and thus also occur mainly when sea ice is present. Solifluction is mainly controlled by the balance between summer thawing and winter freezing in combination with snow dynamics, whereas avalanches are mainly wind controlled. Avalanches and avalanche controlled landforms are least sensitive to climatic variability.</t>
  </si>
  <si>
    <t>[Christiansen, Hanne H.; Humlum, Ole; Eckerstorfer, Markus] Univ Ctr Svalbard, UNIS, Arctic Geol Dept, N-9171 Longyearbyen, Norway; [Christiansen, Hanne H.; Humlum, Ole; Eckerstorfer, Markus] Univ Oslo, Dept Geosci, Oslo, Norway</t>
  </si>
  <si>
    <t>University Centre Svalbard (UNIS); University of Oslo</t>
  </si>
  <si>
    <t>Christiansen, HH (corresponding author), Univ Ctr Svalbard, UNIS, Arctic Geol Dept, POB 156, N-9171 Longyearbyen, Norway.</t>
  </si>
  <si>
    <t>hanne.christiansen@unis.no</t>
  </si>
  <si>
    <t>Eckerstorfer, Markus/0000-0002-4997-9593</t>
  </si>
  <si>
    <t>UNIS</t>
  </si>
  <si>
    <t>The establishment and continuous operation of the two mountain meteorological stations at Gruvefjellet and at Janssonhaugen has only been possible due to UNIS internal research funding and logistical assistance also provided by UNIS logistical and scientific staff. The upgrades of the Janssonhaugen and Gruvefjellet meteorological stations in 2006 were funded by the expansion of UNIS, when moving into the Svalbard Science Park. Both new stations were delivered by the Instrument services at As, ITAS. Stephan Claes in the UNIS technical staff is thanked for operating and performing the shift of the meteorological stations at Gruvefjellet and Janssonhaugen in cooperation with us, and both he and Hein-rich Eggenfellner, head of the UNIS IT department, are thanked for developing and maintaining the UNIS online weather website. Ulrich Neumann is thanked for field assistance with maintaining the UNIS meteorological stations. Lene Kristensen and Jomar Finseth kindly assisted with establishing the Gruvefjellet new meteorological station on site. We also like to thank the two reviewers for providing useful comments.</t>
  </si>
  <si>
    <t>TAYLOR &amp; FRANCIS LTD</t>
  </si>
  <si>
    <t>ABINGDON</t>
  </si>
  <si>
    <t>2-4 PARK SQUARE, MILTON PARK, ABINGDON OR14 4RN, OXON, ENGLAND</t>
  </si>
  <si>
    <t>10.1657/1938-4246-45.16</t>
  </si>
  <si>
    <t>WOS:000329533000002</t>
  </si>
  <si>
    <t>Falaschi, D; Bravo, C; Masiokas, M; Villalba, R; Rivera, A</t>
  </si>
  <si>
    <t>Falaschi, Daniel; Bravo, Claudio; Masiokas, Mariano; Villalba, Ricardo; Rivera, Andres</t>
  </si>
  <si>
    <t>First Glacier Inventory and Recent Changes in Glacier Area in the Monte San Lorenzo Region (47°S), Southern Patagonian Andes, South America</t>
  </si>
  <si>
    <t>LAND ICE MEASUREMENTS; GRAN CAMPO NEVADO; SATELLITE DATA; ICEFIELD; SPACE; CHILE; CHALLENGES; ARGENTINA; CANADA; EAST</t>
  </si>
  <si>
    <t>We present the first glacier inventory of the Monte San Lorenzo region (47 degrees 35'S, 72 degrees 18'W) in the southern Patagonian Andes of Chile and Argentina. This region contains the largest and easternmost glaciers at these latitudes in South America. The inventory was developed using a combination of ASTER and Landsat ETM + scenes from 2005 and 2008, respectively, and a semi-automatic band ratio approach to map glacier ice. Manual corrections were applied to include debris-covered ice and ice in cast shadows. We inventoried 213 glaciers that cover a 2005/2008 total area of ca. 207 km(2) and lie between 520 m and 3700 m in elevation. Landsat TM images acquired in 1985 and 2000 were subsequently used to assess changes in glacierized area over the 1985-2008 interval. Based on all available information, we determined an 18.6% reduction in the total glacier area since 1985. Glaciers smaller than 1 km(2) have shown highly variable (0-100%) relative areal reduction, whereas the formation and growth of proglacial lakes promoted rapid recession of the larger valley glaciers, which concentrate the major ice losses, representing ca. 32% of the total glacier area reduction. Glacier fragmentation has occurred for 50% of the ice bodies larger than 1 km2. These results agree with the generalized pattern of glacier retreat observed throughout the Patagonian Andes, but the lack of detailed meteorological and glaciological data in the area preclude a more refined analysis of the climate-glacier relationships and processes explaining the recent glacier trends.</t>
  </si>
  <si>
    <t>[Falaschi, Daniel; Masiokas, Mariano; Villalba, Ricardo] CCT CONICET, Inst Argentino Nivol Glaciol &amp; Ciencias Ambiental, RA-5500 Mendoza, Argentina; [Bravo, Claudio] Univ Chile, Dept Geofis, Santiago 8370449, Chile; [Rivera, Andres] Ctr Estudios Cient, Valdivia, Chile; [Rivera, Andres] Univ Chile, Dept Geog, Santiago, Chile</t>
  </si>
  <si>
    <t>Consejo Nacional de Investigaciones Cientificas y Tecnicas (CONICET); Universidad de Chile; Universidad de Chile</t>
  </si>
  <si>
    <t>Falaschi, D (corresponding author), CCT CONICET, Inst Argentino Nivol Glaciol &amp; Ciencias Ambiental, CC 330, RA-5500 Mendoza, Argentina.</t>
  </si>
  <si>
    <t>dfalaschi@mendoza-conicet.gov.ar</t>
  </si>
  <si>
    <t>Falaschi, Daniel/JKH-6520-2023</t>
  </si>
  <si>
    <t>Falaschi, Daniel/0000-0001-9232-2813; Masiokas, Mariano/0009-0007-1437-415X; Villalba, Ricardo/0000-0001-8183-0310; Rivera, Andres/0000-0002-2779-4192; Bravo, Claudio/0000-0003-4822-4786</t>
  </si>
  <si>
    <t>Agencia Nacional de Promocion Cientifica y Tecnica [PICT 2007-0379, PICT 2010-1438]; FONDECYT [1080320]; Centro de Estudios Cientfficos (CECs); Chilean Government through the Centers of Excellence Base Financing Program of CONICYT; Directorate For Geosciences [1138881] Funding Source: National Science Foundation</t>
  </si>
  <si>
    <t>Agencia Nacional de Promocion Cientifica y Tecnica(ANPCyT); FONDECYT(Comision Nacional de Investigacion Cientifica y Tecnologica (CONICYT)CONICYT FONDECYT); Centro de Estudios Cientfficos (CECs); Chilean Government through the Centers of Excellence Base Financing Program of CONICYT; Directorate For Geosciences(National Science Foundation (NSF)NSF - Directorate for Geosciences (GEO))</t>
  </si>
  <si>
    <t>This study was funded by Agencia Nacional de Promocion Cientifica y Tecnica (grants PICT 2007-0379 and PICT 2010-1438). This research has been supported by FONDECYT 1080320 and Centro de Estudios Cientfficos (CECs). CECs is funded by the Chilean Government through the Centers of Excellence Base Financing Program of CONICYT. We acknowledge the GUMS project, which has made possible the free availability of satellite images. The ASTER and LANDSAT data were obtained through the online Data Pool at the NASA Land Processes Distributed Active Archive Center (LP DAAC), USGS/Earth Resources Observation and Science (EROS) Center, Sioux Falls, South Dakota (http://lpdaac.usgs.gov/get_data). SRTM is a product of NASA. Andres Rivera is a Guggenheim fellow. Claudio Bravo is a CONICYT fellow. The authors are very grateful to two anonymous reviewers, and to Frank Paul and Etienne Berthier, who provided valuable comments that helped to improve this manuscript.</t>
  </si>
  <si>
    <t>10.1657/1938-4246-45.1.19</t>
  </si>
  <si>
    <t>WOS:000329533000003</t>
  </si>
  <si>
    <t>Geck, J; Hock, R; Nolan, M</t>
  </si>
  <si>
    <t>Geck, Jason; Hock, Regine; Nolan, Matt</t>
  </si>
  <si>
    <t>Geodetic Mass Balance of Glaciers in the Central Brooks Range, Alaska, USA, from 1970 to 2001</t>
  </si>
  <si>
    <t>MCCALL GLACIER; NATIONAL-PARK; ELEVATION; PRECIPITATION; IMAGES; LENGTH; SRTM; AREA</t>
  </si>
  <si>
    <t>Alaska's arctic glaciers have retreated and thinned during recent decades, and glaciers in the central Brooks Range are no exception. Digital elevation models (DEMs) reconstructed from topographic maps (from 1970 and 1973) were differenced from a 2001 interferometric synthetic aperture radar DEM to calculate the volume and mass changes of 107 glaciers covering 42 km(2) (1970/1973) in the central Brooks Range, Alaska, U.S.A. For each glacier the 1970/1973 DEM was 3-D co-registered (horizontal and vertical) to maximize agreement between the non-glacierized terrains of both DEMs. Over the period 1970-2001, total ice volume loss was 0.69 +/- 0.06 km(3) corresponding to a mean (area-weighted) specific mass balance rate of -0.54 +/- 0.05 m w.e. a(-1) (+/- uncertainty). The arithmetic mean of all glaciers' specific mass balance rates was -0.47 +/- 0.27 m w.e. a(-1)(+/- 1 std. dev.). A value of -0.52 +/- 0.36 m w.e. a(-1) (+/- 1 std. dev.) was found when 3-D co-registration is performed over the entire domain instead of individually for each glacier, indicating the importance of proper co-registration. Glacier area, perimeter, boundary compactness, mean elevation, and mean slope were correlated with specifiC balance rates, suggesting that large, low-elevation, elongated and shallow sloped glaciers had more negative balance rates than small, high-elevation, circular, and steep glaciers. A subsample of 36 glaciers showed a mean area reduction of 26 +/- 16% (+/- 1 std. dev.) over similar to 35 years.</t>
  </si>
  <si>
    <t>[Geck, Jason; Hock, Regine] Univ Alaska Fairbanks, Inst Geophys, Fairbanks, AK 99775 USA; [Geck, Jason] Alaska Pacific Univ, Dept Environm Sci, Anchorage, AK 99508 USA; [Hock, Regine] Uppsala Univ, Dept Geosci, S-75105 Uppsala, Sweden; [Nolan, Matt] Univ Alaska Fairbanks, Water &amp; Environm Res Ctr, Fairbanks, AK 99775 USA</t>
  </si>
  <si>
    <t>University of Alaska System; University of Alaska Fairbanks; Uppsala University; University of Alaska System; University of Alaska Fairbanks</t>
  </si>
  <si>
    <t>Geck, J (corresponding author), Univ Alaska Fairbanks, Inst Geophys, 903 Koyukuk Dr, Fairbanks, AK 99775 USA.</t>
  </si>
  <si>
    <t>jgeck@alaskapacific.edu</t>
  </si>
  <si>
    <t>Hock, Regine/C-6179-2013; Hock, Regine/JTT-4089-2023</t>
  </si>
  <si>
    <t>Hock, Regine/0000-0001-8336-9441</t>
  </si>
  <si>
    <t>NASA Commercial Remote Sensing Program; NSF [OPP-0714045]; NASA [NNX11AF41G]; U.S. National Park Service's Arctic Network as part of their Inventory and Monitoring Program [H9910030024/J9910324509, H9910080028/J9940090220]</t>
  </si>
  <si>
    <t>NASA Commercial Remote Sensing Program; NSF(National Science Foundation (NSF)); NASA(National Aeronautics &amp; Space Administration (NASA)); U.S. National Park Service's Arctic Network as part of their Inventory and Monitoring Program</t>
  </si>
  <si>
    <t>We thank B. Manley (INSTARR, University of Colorado Boulder) for providing a subset of digital glacier boundaries used within analysis. The Star3i DEM was funded by the NASA Commercial Remote Sensing Program. Analysis was supported by grants NSF OPP-0714045 and NASA NNX11AF41G. This work was also supported by the U.S. National Park Service's Arctic Network as part of their Inventory and Monitoring Program (H9910030024/J9910324509 and H9910080028/J9940090220). We also thank A., Arendt, M. Loso, C. Mulder, R. Dial, E. Creely, J. Williams, and classmates D. Podrasky, B.Truessel, and M. Engram for comments that greatly improved manuscript readability.</t>
  </si>
  <si>
    <t>10.1657/1938-4246-45.1.29</t>
  </si>
  <si>
    <t>Bronze, Green Published</t>
  </si>
  <si>
    <t>WOS:000329533000004</t>
  </si>
  <si>
    <t>Griffin, KL; Epstein, DJ; Boelman, NT</t>
  </si>
  <si>
    <t>Griffin, Kevin L.; Epstein, David J.; Boelman, Natalie T.</t>
  </si>
  <si>
    <t>Hill Slope Variations in Chlorophyll Fluorescence Indices and Leaf Traits in a Small Arctic Watershed</t>
  </si>
  <si>
    <t>SEDGES ERIOPHORUM-ANGUSTIFOLIUM; BROOKS-RANGE-FOOTHILLS; ALASKAN TUNDRA; TUSSOCK TUNDRA; CLIMATE-CHANGE; PLANT-COMMUNITIES; CARBON DYNAMICS; VASCULAR PLANTS; IMNAVAIT CREEK; SOIL</t>
  </si>
  <si>
    <t>Physiological processes responsible for ecosystem carbon and nitrogen cycling may vary across hill slopes and be controlled by watershed hydrology and the associated nutrient transport. Mass transport of nutrients down slope and into water tracks may increase nutrient delivery to plant roots, nutrient uptake, and perhaps photosynthetic activity. Small arctic watersheds are commonly characterized by increased biomass, particularly of woody deciduous shrubs, both down slope and in water tracks. We ask if photosynthetic physiology varies with hill slope position and if it is correlated to observed changes in above ground biomass. Chlorophyll fluorescence surveys from six common species reveal that maximum photosynthetic electron transport decreased significantly (by as much as 85%) down slope in 4 species. Leaf nitrogen concentrations varied from 1 to 2.5% across all leaves sampled, but show little trend with hill slope position, and as a result are not well correlated with photosynthetic electron transport. We hypothesize that trace metal concentrations may have increased in the leaves of plants growing in down slope positions and that this may be responsible for the reduction in electron transport. The relationship between the measured maximum energy conversion by photosystem II and maximum electron transport rate is species specific and indicative of light adaptation in these arctic species. Increased plant growth down slope and in water tracks does not appear to be correlated to the physiological parameters measured and instead are more likely a product of increased canopy nitrogen concentrations and leaf area accumulation.</t>
  </si>
  <si>
    <t>[Griffin, Kevin L.; Epstein, David J.; Boelman, Natalie T.] Lamont Doherty Earth Observ, Dept Earth &amp; Environm Sci, Palisades, NY 10964 USA</t>
  </si>
  <si>
    <t>Columbia University</t>
  </si>
  <si>
    <t>Griffin, KL (corresponding author), Lamont Doherty Earth Observ, Dept Earth &amp; Environm Sci, 61 Route 9W, Palisades, NY 10964 USA.</t>
  </si>
  <si>
    <t>griff@LDEO.columbia.edu</t>
  </si>
  <si>
    <t>boelman, natalie t/K-9789-2015; Griffin, Kevin Lee/GWZ-4828-2022; Griffin, Kevin L./B-2629-2013</t>
  </si>
  <si>
    <t>Griffin, Kevin L./0000-0003-4124-3757; Boelman, Natalie/0000-0003-3716-2372</t>
  </si>
  <si>
    <t>National Science Foundation [0221835, 0732664]; Direct For Biological Sciences; Division Of Environmental Biology [1026843] Funding Source: National Science Foundation; Div Atmospheric &amp; Geospace Sciences; Directorate For Geosciences [0221835] Funding Source: National Science Foundation</t>
  </si>
  <si>
    <t>National Science Foundation(National Science Foundation (NSF)); Direct For Biological Sciences; Division Of Environmental Biology(National Science Foundation (NSF)NSF - Directorate for Biological Sciences (BIO)); Div Atmospheric &amp; Geospace Sciences; Directorate For Geosciences(National Science Foundation (NSF)NSF - Directorate for Geosciences (GEO))</t>
  </si>
  <si>
    <t>We thank Dr. Marc Stieglitz and Dr. Kim Kastens for assistance in designing and interpreting this experiment and Dr. Josslyn Shapiro for general field assistance. We thank Jason Stuckey for GIS support and mapping our field sites and the Toolik Field Station for general logistical support. Dr. Gaius Shaver generously lent us the soil moisture measurement equipment and was a constant source of expert advice and information regarding the ecology of the Arctic. Dr. George Kling similarly provided numerous conceptual ideas and valuable critical comments during the execution and interpretation of this project for which we are grateful. We thank Mary Heskel for valuable comments on an earlier version of this manuscript. This work was supported by project number 0221835 (Biocomplexity) and number 0732664 (IPY) from the National Science Foundation.</t>
  </si>
  <si>
    <t>10.1657/1938-4246-45.1.39</t>
  </si>
  <si>
    <t>Bronze, Green Submitted</t>
  </si>
  <si>
    <t>WOS:000329533000005</t>
  </si>
  <si>
    <t>Kiepe, I; Friborg, T; Herbst, M; Johansson, T; Soegaard, H</t>
  </si>
  <si>
    <t>Kiepe, Isabell; Friborg, Thomas; Herbst, Mathias; Johansson, Torbjorn; Soegaard, Henrik</t>
  </si>
  <si>
    <t>Modeling Canopy CO2 Exchange in the European Russian Arctic</t>
  </si>
  <si>
    <t>CARBON-DIOXIDE EXCHANGE; STOMATAL CONDUCTANCE; TUNDRA ECOSYSTEMS; WATER-VAPOR; LEAF; FLUX; PHOTOSYNTHESIS; CLIMATE; TRANSPIRATION; VARIABILITY</t>
  </si>
  <si>
    <t>In this study, we use the coupled photosynthesis-stomatal conductance model of Collatz et al. (1991) to simulate the current canopy carbon dioxide exchange of a heterogeneous tundra ecosystem in European Russia. For the parameterization, we used data obtained from in situ leaf level measurements in combination with meteorological data from 2008. The modeled CO2 fluxes were compared with net ecosystem exchange (NEE), measured by the eddy covariance technique during the snow-free period in 2008. The findings from this study indicated that the main state parameters of the exchange processes were leaf area index (LAI) and Rubisco capacity (v(cmax)). Furthermore, this ecosystem was found to be functioning close to its optimum temperature regarding carbon accumulation rates. During the modeling period from May to October, the net assimilation was greater than the respiration, leading to a net accumulation of 58 g C m(-2). The model results suggest that the tundra ecosystem could change from a carbon sink to a carbon source with a temperature rise of only 2-3 degrees C. This is due to the fact that, in the continental Arctic, a global warming of a few degrees might restrict the net assimilation, due to high temperatures, whereas the respiration is predicted to be enhanced. However, future changes in vegetation composition and growth, along with acclimation to the new thermal regime, might facilitate the assimilation to counterbalance the carbon losses.</t>
  </si>
  <si>
    <t>[Kiepe, Isabell; Friborg, Thomas; Johansson, Torbjorn; Soegaard, Henrik] Univ Copenhagen, Dept Geog &amp; Geol, DK-1350 Copenhagen, Denmark; [Herbst, Mathias] Univ Gottingen, Dept Bioclimatol, D-37077 Gottingen, Lower Saxony, Germany</t>
  </si>
  <si>
    <t>University of Copenhagen; University of Gottingen</t>
  </si>
  <si>
    <t>Kiepe, I (corresponding author), Univ Copenhagen, Dept Geog &amp; Geol, Oester Voldgade 10, DK-1350 Copenhagen, Denmark.</t>
  </si>
  <si>
    <t>ikiepe@yahoo.de</t>
  </si>
  <si>
    <t>Friborg, Thomas/E-5433-2015</t>
  </si>
  <si>
    <t>Friborg, Thomas/0000-0001-5633-6097</t>
  </si>
  <si>
    <t>Danish Council for Independent Research Natural Sciences (FNU) [645-06-0493]; EU 6th Framework Programme Global Change and Ecosystems (CARBONorth) [036993]; Center for Permafrost (CENPERM), University of Copenhagen</t>
  </si>
  <si>
    <t>Danish Council for Independent Research Natural Sciences (FNU)(Det Frie Forskningsrad (DFF)Danish Natural Science Research Council); EU 6th Framework Programme Global Change and Ecosystems (CARBONorth)(European Union (EU)); Center for Permafrost (CENPERM), University of Copenhagen</t>
  </si>
  <si>
    <t>The authors would like to thank M. Marushchak, V. Elsakov, R. Jensen, D. Pedersen, and I. Samarina for their contribution in field work and the Center for Permafrost (CENPERM), University of Copenhagen, for its support. This research was financially supported by the Danish Council for Independent Research vertical bar Natural Sciences (FNU) (Reference number: 645-06-0493) and the EU 6th Framework Programme Global Change and Ecosystems (CARBONorth, project contract number 036993).</t>
  </si>
  <si>
    <t>10.1657/1938-4246-45.1.50</t>
  </si>
  <si>
    <t>WOS:000329533000006</t>
  </si>
  <si>
    <t>Kolden, CA; Rogan, J</t>
  </si>
  <si>
    <t>Kolden, Crystal A.; Rogan, John</t>
  </si>
  <si>
    <t>Mapping Wildfire Burn Severity in the Arctic Tundra from Downsampled MODIS Data</t>
  </si>
  <si>
    <t>ASSESSING FIRE SEVERITY; LAND-COVER CHANGE; VEGETATION CHANGE; BOREAL FOREST; ALASKA; MOUNTAINS; CALIBRATION; VALIDATION; ECOSYSTEMS; INDEXES</t>
  </si>
  <si>
    <t>Wildfires are historically infrequent in the arctic tundra, but are projected to increase with climate warming. Fire effects on tundra ecosystems are poorly understood and difficult to quantify in a remote region where a short growing season severely limits ground data collection. Remote sensing has been widely utilized to characterize wildfire regimes, but primarily from the Landsat sensor, which has limited data acquisition in the Arctic. Here, coarse-resolution remotely sensed data are assessed as a means to quantify wildfire burn severity of the 2007 Anaktuvuk River Fire in Alaska, the largest tundra wildfire ever recorded on Alaska's North Slope. Data from Landsat Thematic Mapper (TM) and downsampled Moderate-resolution Imaging Spectroradiometer (MODIS) were processed to spectral indices and correlated to observed metrics of surface, subsurface, and comprehensive bum severity. Spectral indices were strongly correlated to surface severity (maximum R-2 = 0.88) and slightly less strongly correlated to substrate severity. Downsampled MODIS data showed a decrease in severity one year post-fire, corroborating rapid vegetation regeneration observed on the burned site. These results indicate that widely-used spectral indices and downsampled coarse-resolution data provide a reasonable supplement to often-limited ground data collection for analysis and long-term monitoring of wildfire effects in arctic ecosystems.</t>
  </si>
  <si>
    <t>[Kolden, Crystal A.] Univ Idaho, Dept Geog, Moscow, ID 83844 USA; [Rogan, John] Clark Univ, Grad Sch Geog, Worcester, MA 01610 USA</t>
  </si>
  <si>
    <t>Idaho; University of Idaho; Clark University</t>
  </si>
  <si>
    <t>Kolden, CA (corresponding author), Univ Idaho, Dept Geog, Moscow, ID 83844 USA.</t>
  </si>
  <si>
    <t>ckolden@uidaho.edu</t>
  </si>
  <si>
    <t>USGS Land Remote Sensing program</t>
  </si>
  <si>
    <t>USGS Land Remote Sensing program(United States Geological Survey)</t>
  </si>
  <si>
    <t>This project was funded by the USGS Land Remote Sensing program; field data were provided by Alaska Fire Service. The authors are grateful to Nancy French, Kirsten Barrett, and two anonymous reviews for significantly improving the manuscript, and to Randi Jandt for photos and contributions. Any use of trade, product, or firm names is for descriptive purposes only and does not imply endorsement by the U.S. Government.</t>
  </si>
  <si>
    <t>10.1657/1938-4246-45.1.64</t>
  </si>
  <si>
    <t>Green Submitted, Bronze</t>
  </si>
  <si>
    <t>WOS:000329533000007</t>
  </si>
  <si>
    <t>Novikmec, M; Svitok, M; Kocicky, D; Sporka, F; Bitusík, P</t>
  </si>
  <si>
    <t>Novikmec, Milan; Svitok, Marek; Kocicky, Dusan; Sporka, Ferdinand; Bitusik, Peter</t>
  </si>
  <si>
    <t>Surface Water Temperature and Ice Cover of Tatra Mountains Lakes Depend on Altitude, Topographic Shading, and Bathymetry</t>
  </si>
  <si>
    <t>AIR-TEMPERATURE; BREAK-UP; REMOTE ALPINE; MODEL; COHERENCE; CLIMATE</t>
  </si>
  <si>
    <t>This study reflects the growing demand for better understanding the response of alpine lake ecosystems to climate forcing. We combined continuous monitoring of water temperature with GIS-derived data, and modeled the lake surface water temperature (LSWT) and ice-cover characteristics of 18 Tatra Mountains lakes against altitude, lake morphometry, and local topography. The general trend in LSWTs was similar across all studied lakes and showed a high degree of coherence over the whole study period. The daily LSWTs were governed primarily by altitude and topographic shading represented by lake-specific total duration of direct solar radiation (TDDSR). Day-to-day variability of LSWTs was controlled mainly by the maximum depth of the lakes. The surface temperature of deeper lakes was more stable than the temperature of shallow ones. Topographic shading appeared to play an important role in the development and duration of ice-cover. Lakes with low TDDSR retained ice-cover longer than well insolated ones. This is the first time that the effect of topographic shading was explicitly considered in relation to the surface temperature and ice-cover timing of remote lakes. Including direct solar radiation as a model parameter would considerably improve predictions of temperature characteristics of high-altitude lakes. This may have potentially important implications for climate change studies as it could allow for site-specific modifications of temperatures in high-altitude lakes.</t>
  </si>
  <si>
    <t>[Novikmec, Milan; Svitok, Marek] Tech Univ Zvolen, Fac Ecol &amp; Environm Sci, Dept Biol &amp; Gen Ecol, SK-96053 Zvolen, Slovakia; [Kocicky, Dusan] ESPRIT Ltd, SK-96927 Banska Stiavnica, Slovakia; [Sporka, Ferdinand] Slovak Acad Sci, Inst Zool, SK-84506 Bratislava, Slovakia; [Bitusik, Peter] Matthias Belius Univ, Fac Sci, SK-97401 Banska Bystrica, Slovakia</t>
  </si>
  <si>
    <t>Technical University Zvolen; Slovak Academy of Sciences; Matej Bel University</t>
  </si>
  <si>
    <t>Novikmec, M (corresponding author), Tech Univ Zvolen, Fac Ecol &amp; Environm Sci, Dept Biol &amp; Gen Ecol, TG Masaryka 24, SK-96053 Zvolen, Slovakia.</t>
  </si>
  <si>
    <t>novikmec@tuzvo.sk</t>
  </si>
  <si>
    <t>Novikmec, Milan/AAA-1328-2019; Svitok, Marek/A-4843-2013; Bitusik, Peter/C-3423-2019</t>
  </si>
  <si>
    <t>Novikmec, Milan/0000-0002-5192-4575; Svitok, Marek/0000-0003-2710-8102; Bitusik, Peter/0000-0002-8439-4582</t>
  </si>
  <si>
    <t>Scientific Grant Agency of the Ministry of Education of Slovak Republic; Academy of Sciences [1/0464/10, 1/0180/12]; Slovak Research and Development Agency [APVV-0059-11]</t>
  </si>
  <si>
    <t>Scientific Grant Agency of the Ministry of Education of Slovak Republic; Academy of Sciences(Egyptian Academy of Scientific Research &amp; Technology (ASRT)); Slovak Research and Development Agency(Slovak Research and Development Agency)</t>
  </si>
  <si>
    <t>Study was funded by the Scientific Grant Agency of the Ministry of Education of Slovak Republic and the Academy of Sciences, Grant Nos. 1/0464/10 and 1/0180/12. This work was supported by the Slovak Research and Development Agency under the contract No. APVV-0059-11. We are grateful for language correction by David Hardekopf and Ivana Sibikova. Thanks are due to Miro Ocadlik for his help during fieldwork and colleagues from Charles University, Prague, and the Institute of Hydrobiology, Ceske Budejovice, for their field assistance. We are grateful to two anonymous reviewers for their comments on the manuscript.</t>
  </si>
  <si>
    <t>10.1657/1938-4246-45.1.77</t>
  </si>
  <si>
    <t>WOS:000329533000008</t>
  </si>
  <si>
    <t>Paré, MC; Bedard-Haughn, A</t>
  </si>
  <si>
    <t>Pare, Maxime C.; Bedard-Haughn, Angela</t>
  </si>
  <si>
    <t>Surface Soil Organic Matter Qualities of Three Distinct Canadian Arctic Sites</t>
  </si>
  <si>
    <t>NUCLEAR-MAGNETIC-RESONANCE; TUNDRA SOILS; C-13 NMR; CARBON DYNAMICS; NITROGEN MINERALIZATION; MICROBIAL BIOMASS; DENSITY FRACTIONS; TRUELOVE LOWLAND; N MINERALIZATION; SLAVE PROVINCE</t>
  </si>
  <si>
    <t>Cryosolic soils store large amounts of carbon (C) because soil organic matter (SUM) decomposition is slower than plant growth. The response of arctic SOM to climate change is likely to depend not only on temperature, but also upon complex interactions between soil properties and SOM chemistry. We hypothesized that organic surface soils (&gt;17% carbon) have more labile SUM than mineral surface soils (&lt;17% carbon). Furthermore, we hypothesized that high arctic soils have more labile SUM than soils from the Low Arctic and subarctic. This study was conducted in 3 arctic ecosystems: subarctic (Churchill, Manitoba; n = 138), Low Arctic (Daring Lake, Northwest Territories; n = 60), and High Arctic (Truelove Lowlands, Nunavut; n = 54). The 0-10 cm depth of several different Cryosolic soils was sampled. The results from density fractionation and solid-state C-13 cross polarization and magic angle spinning (CPMAS) nuclear magnetic resonance (NMR) spectroscopy showed that organic surface soils contained relatively more labile C than mineral surface soils. Organic soils contained about 13% more O-Alkyl-C and 30% less Aromatic-C than mineral soils. Furthermore, for Churchill, Daring Lake, and Truelove organic soils, 53, 73, and 20% of the C was included in the light fraction of SUM [LF (LF &lt; 1.55 g mL(-1))], whereas 24, 19, and 14% of the C was included in the LF of mineral soils, respectively. Organic surface soils of subarctic and low arctic sites contained relatively more labile C than the high arctic site. Results showed that the subarctic and low arctic sites store about 15% more O-alkyl-C and 35% less Aromatic-C than high arctic organic soils (P &lt; 0.001).</t>
  </si>
  <si>
    <t>[Pare, Maxime C.] Agrinova, Alma, PQ G8B 7S8, Canada; [Pare, Maxime C.; Bedard-Haughn, Angela] Univ Saskatchewan, Dept Soil Sci, Saskatoon, SK S7N 5A8, Canada</t>
  </si>
  <si>
    <t>University of Saskatchewan</t>
  </si>
  <si>
    <t>Paré, MC (corresponding author), Agrinova, 640 Rue Cote Ouest, Alma, PQ G8B 7S8, Canada.</t>
  </si>
  <si>
    <t>maxime.pare@agrinova.qc.ca</t>
  </si>
  <si>
    <t>Pare, Maxime/0000-0003-3482-4828; Bedard-Haughn, Angela/0000-0002-3971-8509</t>
  </si>
  <si>
    <t>Canadian International Polar Year Program</t>
  </si>
  <si>
    <t>The authors thank Climate Change Impacts on Canadian Arctic Tundra (funded by Canadian International Polar Year Program), Natural Sciences and Engineering Research Council of Canada, Northern Scientific Training Program, Polar Continental Shelf Program, and Churchill Northern Studies Centre.</t>
  </si>
  <si>
    <t>10.1657/1938-4246-45.1.88</t>
  </si>
  <si>
    <t>WOS:000329533000009</t>
  </si>
  <si>
    <t>Patankar, R; Starr, G; Mortazavi, B; Oberbauer, SF; Rosenblum, A</t>
  </si>
  <si>
    <t>Patankar, Rajit; Starr, Gregory; Mortazavi, Behzad; Oberbauer, Steven F.; Rosenblum, Alyssa</t>
  </si>
  <si>
    <t>The Effects of Mite Galling on the Ecophysiology of Two Arctic Willows</t>
  </si>
  <si>
    <t>SHRUB EXPANSION; CLIMATE-CHANGE; PHOTOSYNTHESIS; ANTHOCYANINS; FLUORESCENCE; INDUCTION; CHEMISTRY; NUTRIENTS; EXCHANGE; NATURES</t>
  </si>
  <si>
    <t>Deciduous plants in the Arctic are increasing in abundance due to warming trends, and this increase will likely contribute to changes in regional carbon dynamics. One of the dominant deciduous-shrub genera, Salix, is highly susceptible to leaf galls, but the influence of arthropod herbivores on plant-level carbon uptake in the Arctic remains poorly studied. We examined the impacts of galling by two eriophyoid mites on a suite of ecophysiological traits in leaves of two species of willows (Salix pulchra Cham. and Salix glauca L.) in Alaskan arctic tundra. Galled leaves showed significant declines in maximum photosynthetic capacity (A(max)), photosystem II efficiency (F-V/F-M), stomatal conductance (g(s)), and instantaneous water-use efficiency (WUE) in S. pulchra leaves and in A(max) and F-V/F-M of S. glauca leaves. Neighboring gall-free leaves on the same shoot as galled leaves had higher A(max) and g(s)than nearby controls suggesting compensatory responses. Gall-infested tissue had significantly higher concentrations of glucose and fructose compared to gall-free leaves, suggesting a possible preference for these metabolites. Alternatively, this variation in metabolite concentrations in the area of wounding may be associated with the production of defense compounds. To unravel the specific variation in metabolic concentrations related to gall infestation, additional studies are needed. Our findings do suggest that galling mites-ubiquitous but poorly examined in the tundra-have significant impacts on photosynthetic processes that are likely to affect whole-plant functioning in arctic willows.</t>
  </si>
  <si>
    <t>[Patankar, Rajit; Starr, Gregory; Mortazavi, Behzad; Rosenblum, Alyssa] Univ Alabama, Dept Biol Sci, Tuscaloosa, AL 35401 USA; [Mortazavi, Behzad] Univ Alabama, Alabama Dauphin Isl Sea Lab, Dept Biol Sci, Dauphin Isl, AL 36528 USA; [Oberbauer, Steven F.] Florida Int Univ, Dept Biol Sci, Miami, FL 33199 USA</t>
  </si>
  <si>
    <t>University of Alabama System; University of Alabama Tuscaloosa; University of Alabama System; Dauphin Island Sea Lab; State University System of Florida; Florida International University</t>
  </si>
  <si>
    <t>Starr, G (corresponding author), Univ Alabama, Dept Biol Sci, 1328 SEC Bldg,300 Hackberry Lane, Tuscaloosa, AL 35401 USA.</t>
  </si>
  <si>
    <t>gstarr@ua.edu</t>
  </si>
  <si>
    <t>Oberbauer, Steven F/JNE-2672-2023; Mortazavi, Behzad/ABC-4483-2020</t>
  </si>
  <si>
    <t>Oberbauer, Steven F/0000-0001-5404-1658; Mortazavi, Behzad/0000-0002-1912-1940; Starr, Gregory/0000-0002-7918-242X</t>
  </si>
  <si>
    <t>Arctic Natural Sciences Program within the National Science Foundation Office of Polar Programs [806776]; Division Of Polar Programs; Directorate For Geosciences [0806983] Funding Source: National Science Foundation</t>
  </si>
  <si>
    <t>Arctic Natural Sciences Program within the National Science Foundation Office of Polar Programs(National Science Foundation (NSF)NSF - Directorate for Geosciences (GEO)); Division Of Polar Programs; Directorate For Geosciences(National Science Foundation (NSF)NSF - Directorate for Geosciences (GEO))</t>
  </si>
  <si>
    <t>We would like to acknowledge the valuable work of Laura Linn, Katie Watson, Heidi Benstead, and Kim Lackey for their technical assistance in sample preparation and Frederic Beaulieu for assistance with identification of mites. This work was based in part on funding by the Arctic Natural Sciences Program within the National Science Foundation Office of Polar Programs (NSF award 806776). Voucher specimens will be placed in the Canadian National Collection of Insects, Arachnids, and Nematodes (Ottawa, Canada).</t>
  </si>
  <si>
    <t>10.1657/1938-4246-45.1.99</t>
  </si>
  <si>
    <t>WOS:000329533000010</t>
  </si>
  <si>
    <t>Sánchez-Bayo, F; Green, K</t>
  </si>
  <si>
    <t>Sanchez-Bayo, Francisco; Green, Ken</t>
  </si>
  <si>
    <t>Australian Snowpack Disappearing under the Influence of Global Warming and Solar Activity</t>
  </si>
  <si>
    <t>CLIMATE VARIABILITY; SNOWY MOUNTAINS; COVER; TEMPERATURE; RADIATION; ATLANTIC; TRENDS; IRRADIANCE; AEROSOLS; REGIONS</t>
  </si>
  <si>
    <t>Average depth of snow in the mountains of southeastern Australia is decreasing at a rate of 0.48 cm a(-1), while the duration of the snowpack has been shortened by 18.5 days since 1954 ( 3 days per decade). The major factors responsible for these declines are an increasing temperature trend of 0.36 degrees C per decade, and a reduction in winter precipitation at the rate of 10.1 mm a(-1). While the depth of the snowpack is dependent upon precipitation trends and minimum temperatures (multiple r(2) = 0.43), the shortening in the length of the snow period is best predicted by increasing temperatures and reduced humidity. The major forcing of the warming trend involves greenhouse gasses, in particular atmospheric carbon dioxide and water vapor. However, the decline in winter precipitation seems to be unrelated to the forcing of greenhouse gasses, and is instead statistically associated with the Southern Oscillation Index (r = 0.38). Inverse correlations were found between depth of snow and solar irradiance, which in turn is inversely correlated with the number of sunspots per cycle. The latter findings suggest that the declining precipitation and snow trends could additionally be associated with a reduction in solar activity during the past five decades.</t>
  </si>
  <si>
    <t>[Sanchez-Bayo, Francisco] Univ Technol Sydney, Dept Environm Sci, Lidcombe, NSW 2141, Australia; [Green, Ken] Natl Pk &amp; Wildlife Serv, Jindabyne, NSW 2627, Australia</t>
  </si>
  <si>
    <t>University of Technology Sydney</t>
  </si>
  <si>
    <t>Sánchez-Bayo, F (corresponding author), Univ Technol Sydney, Dept Environm Sci, 480 Weeroona Rd, Lidcombe, NSW 2141, Australia.</t>
  </si>
  <si>
    <t>sanchezbayo@mac.com</t>
  </si>
  <si>
    <t>SANCHEZ-BAYO, FRANCISCO/AIA-4344-2022; Sanchez-Bayo, Francisco/D-3860-2015</t>
  </si>
  <si>
    <t>SANCHEZ-BAYO, FRANCISCO/0000-0002-0949-4241; Sanchez-Bayo, Francisco/0000-0002-0949-4241</t>
  </si>
  <si>
    <t>10.1657/1938-4246-45.1.107</t>
  </si>
  <si>
    <t>Bronze, Green Submitted, Green Published</t>
  </si>
  <si>
    <t>WOS:000329533000011</t>
  </si>
  <si>
    <t>Sankelo, P; Kawamura, K; Seki, O; Shibata, H; Bendle, J</t>
  </si>
  <si>
    <t>Sankelo, Paula; Kawamura, Kimitaka; Seki, Osamu; Shibata, Hideaki; Bendle, James</t>
  </si>
  <si>
    <t>n-Alkanes in Fresh Snow in Hokkaido, Japan: Implications for Ice Core Studies</t>
  </si>
  <si>
    <t>CARBON-ISOTOPE FRACTIONATION; ORGANIC-COMPOUNDS; DELTA-D; TERRESTRIAL PLANTS; MODERN ANGIOSPERMS; LEAF WAXES; RATIOS; AEROSOLS; RAIN; INDICATORS</t>
  </si>
  <si>
    <t>Plant waxes (e.g. long-chain n-alkanes) in ice cores are a promising paleovegetation proxy. However, much work needs to be done to assess how n-alkanes are transported from source areas to, and incorporated into, glacial archives. In this paper we present analyses of n-alkanes in seasonal snow and assess the information on source vegetation. n-Alkanes with carbon numbers C-18 to C-43 were extracted from snow samples collected at two sites in Hokkaido, northern Japan, during winter 2009-2010. Molecular distributions revealed that the majority of the n-alkanes originated from higher vegetation (ca. 65%), rather than anthropogenic sources. The distribution characteristics confirmed that the n-alkane signal had a wide regional origin, rather than a local source. We determined stable carbon and hydrogen isotopic compositions for the C-27 n-alkane. The delta C-13 of the C-27 (-28.2 to -33.0 parts per thousand) was more representative of C3 than C4 vegetation, while the delta D of the C-27 ( -169.9 to -223.1 parts per thousand) indicated growth latitudes more northerly than Hokkaido. The nalkanes in the snow preserve information about the source vegetation type (photosynthetic group, growth site), confirming that if deposited with seasonal snows that firnify to form glacial ice, they have potential to record broad, regional vegetation changes over time.</t>
  </si>
  <si>
    <t>[Sankelo, Paula; Bendle, James] Univ Glasgow, Sch Geog &amp; Earth Sci, Glasgow Mol Organ Geochem Lab GMOL, Glasgow G12 8QQ, Lanark, Scotland; [Sankelo, Paula; Kawamura, Kimitaka; Seki, Osamu] Hokkaido Univ, Inst Low Temp Sci, Kita Ku, Sapporo, Hokkaido 0600819, Japan; [Shibata, Hideaki] Hokkaido Univ, Field Sci Ctr No Biosphere, Nayoro, Hokkaido 0960071, Japan</t>
  </si>
  <si>
    <t>University of Glasgow; Hokkaido University; Hokkaido University</t>
  </si>
  <si>
    <t>Sankelo, P (corresponding author), Univ Glasgow, Sch Geog &amp; Earth Sci, Glasgow Mol Organ Geochem Lab GMOL, Gregory Bldg, Glasgow G12 8QQ, Lanark, Scotland.</t>
  </si>
  <si>
    <t>paula.sankelo@gmail.com</t>
  </si>
  <si>
    <t>Shibata, Hideaki/N-9974-2019; Kawamura, Kimitaka/B-3839-2011; Shibata, Hideaki/AAV-6972-2021; Seki, Osamu/D-1183-2012</t>
  </si>
  <si>
    <t>Kawamura, Kimitaka/0000-0003-1190-3726; Shibata, Hideaki/0000-0002-8968-3594; Bendle, James/0000-0002-6826-8658</t>
  </si>
  <si>
    <t>Great Britain Sasakawa Foundation; Carnegie Trust for the Universities of Scotland; Kone Foundation; University of Glasgow; Environment Research and Technology Development Fund of the Ministry of the Environment, Japan [B-0903]</t>
  </si>
  <si>
    <t>Great Britain Sasakawa Foundation; Carnegie Trust for the Universities of Scotland; Kone Foundation; University of Glasgow; Environment Research and Technology Development Fund of the Ministry of the Environment, Japan(Ministry of the Environment, Japan)</t>
  </si>
  <si>
    <t>We thank Yuzo Miyazaki and Katsumi Yamanoi, who helped with the snow sampling in Sapporo. Hiroshi Sugiyama and Yuya Hirano are acknowledged for performing the snow sampling in Moshiri. We are also grateful for the helpful comments from two anonymous reviewers. Funding for the campaign was granted by The Great Britain Sasakawa Foundation and The Carnegie Trust for the Universities of Scotland. Paula Sankelo's Ph.D. research project is funded by Kone Foundation and the University of Glasgow. This study was also supported by the Environment Research and Technology Development Fund (B-0903) of the Ministry of the Environment, Japan.</t>
  </si>
  <si>
    <t>10.1657/1938-4246-45.1.119</t>
  </si>
  <si>
    <t>WOS:000329533000012</t>
  </si>
  <si>
    <t>Weijers, S; Auliaherliaty, L; van Logtestijn, R; Rozema, J</t>
  </si>
  <si>
    <t>Weijers, Stef; Auliaherliaty, Lia; van Logtestijn, Richard; Rozema, Jelte</t>
  </si>
  <si>
    <t>Effects of Manipulated Precipitation and Shading on Cassiope tetragona Growth and Carbon Isotope Discrimination: a High Arctic Field Study</t>
  </si>
  <si>
    <t>DWARF-SHRUB; RETROSPECTIVE ANALYSIS; SUMMER TEMPERATURE; CLIMATE-CHANGE; RESPONSES; PHOTOSYNTHESIS; RECONSTRUCTION; VEGETATION; DELTA-C-13; NITROGEN</t>
  </si>
  <si>
    <t>The reliability of Cassiope tetragona as temperature proxy might be restricted by influence on growth of precipitation and amount of Photosynthetically Active Radiation (PAR). Carbon-13 discrimination (Delta) in C(3-)plants is generally influenced by temperature and precipitation and can therefore potentially record important additional climatic information. We doubled precipitation and reduced PAR (-43%), during four and two growing seasons, respectively, at a high arctic site in Svalbard. Differences in discrimination in leaves from separate light, and thus temperature, regimes (sun-facing and soil-facing leaves) were also assessed. A Delta-chronology (1975-2008) in annual shoot length increments was developed. C. tetragona growth did not respond to enhanced precipitation and only slightly to PAR-reduction. Discrimination against carbon-13 was stronger in leaves and shoots receiving extra precipitation and weaker in sun-exposed leaves compared to soil-facing leaves. The annual climate signal in the Delta-chronology was strongly smoothed by secondary radial growth. Our results show that the temperature signal in C. tetragona is hardly disturbed by changes in summer precipitation or PAR, which confirms its suitability as temperature proxy. The experimental evidence for the sensitivity of carbon-13 discrimination in C. tetragona to precipitation and temperature changes shows its potential as proxy for hydrological changes in the polar semi-desert.</t>
  </si>
  <si>
    <t>[Weijers, Stef; Auliaherliaty, Lia; van Logtestijn, Richard; Rozema, Jelte] Vrije Univ Amsterdam, Fac Earth &amp; Life Sci, Dept Syst Ecol, Inst Ecol Sci, NL-1081 HV Amsterdam, Netherlands; [Weijers, Stef] Univ Bonn, Dept Geog, D-53115 Bonn, Germany</t>
  </si>
  <si>
    <t>Vrije Universiteit Amsterdam; University of Bonn</t>
  </si>
  <si>
    <t>Weijers, S (corresponding author), Univ Bonn, Dept Geog, Meckenheimer Allee 166, D-53115 Bonn, Germany.</t>
  </si>
  <si>
    <t>stef.weijers@uni-bonn.de</t>
  </si>
  <si>
    <t>Weijers, Stef/T-8944-2019; van Logtestijn, Richardus SP/B-9680-2009</t>
  </si>
  <si>
    <t>Weijers, Stef/0000-0003-3386-5417; van Logtestijn, Richardus/0000-0001-9063-2180</t>
  </si>
  <si>
    <t>Long-lived evergreen shrubs from polar ecosystems as monitors of present and past climate change [851.40.051]; IPY-NWO</t>
  </si>
  <si>
    <t>Long-lived evergreen shrubs from polar ecosystems as monitors of present and past climate change; IPY-NWO</t>
  </si>
  <si>
    <t>The research presented is part of project 851.40.051 Long-lived evergreen shrubs from polar ecosystems as monitors of present and past climate change, funded by IPY-NWO. We acknowledge the permission for our fieldwork at Isdammen provided by Sysselmannen, Svalbard. This research and especially the doubled precipitation experiment could not have been carried out without the enthusiastic help of the following students: Jochem Veenboer, Kim Klein, Chantal Werleman, Hassan El Yaqine, Hanneke Hoogendoom, Mark Gorissen, Francisca Vermeulen, and Sjors Koppes. Furthermore, we are indebted to the anonymous reviewers, whose constructive comments led to great improvement of the manuscript.</t>
  </si>
  <si>
    <t>10.1657/1938-4246-45.1.132</t>
  </si>
  <si>
    <t>WOS:000329533000013</t>
  </si>
  <si>
    <t>Yamaguchi, S; Fujita, K</t>
  </si>
  <si>
    <t>Yamaguchi, Satoru; Fujita, Koji</t>
  </si>
  <si>
    <t>Modeling Glacier Behavior under Different Precipitation Seasonalities</t>
  </si>
  <si>
    <t>EQUILIBRIUM-LINE ALTITUDES; SEA-LEVEL RISE; MASS-BALANCE; CLIMATE-CHANGE; SENSITIVITY; MOUNTAIN; RUNOFF; ICE; FLUCTUATIONS</t>
  </si>
  <si>
    <t>To understand the dependence of glacial features on precipitation, glacier behavior was simulated under different precipitation conditions using a glacier fluctuation model that combined a mass-balance model with a glacier flow model. The results reveal a strong dependence of glacier behavior on precipitation conditions. Glacier volume changes in accordance with both precipitation seasonality and annual precipitation amount. Glacier volume also fluctuates in response to changes in precipitation seasonality even if no change in annual precipitation amount occurs, because of changes in glacier albedo and the volume that is able to accumulate. Furthermore, the accumulation area ratio (AAR) depends not only on the annual precipitation amount, but also on precipitation seasonality. These relationships should be considered when the AAR method is used to reconstruct the past equilibrium line of glaciers. Glacier reactions to temperature change become more sensitive as the amount of annual precipitation increases. Response time is different for each glacier type defined by precipitation seasonality: the winter-precipitation-seasonality type had the longest response time, and the summer-precipitation-seasonality type had the shortest. The difference in the response time of glacier types is larger under arid conditions and smaller under humid conditions. The simulation results in this study underscore the importance of including glacier response to precipitation conditions when estimating glacier reactions to climate change.</t>
  </si>
  <si>
    <t>[Yamaguchi, Satoru] Natl Res Inst Earth Sci &amp; Disaster Prevent, Snow &amp; Ice Res Ctr, Nagaoka, Niigata 9400821, Japan; [Fujita, Koji] Nagoya Univ, Grad Sch Environm Studies, Nagoya, Aichi 4648601, Japan</t>
  </si>
  <si>
    <t>National Research Institute for Earth Science &amp; Disaster Resilience; Nagoya University</t>
  </si>
  <si>
    <t>Yamaguchi, S (corresponding author), Natl Res Inst Earth Sci &amp; Disaster Prevent, Snow &amp; Ice Res Ctr, Suyoshi Machi, Nagaoka, Niigata 9400821, Japan.</t>
  </si>
  <si>
    <t>yamasan@bosai.go.jp</t>
  </si>
  <si>
    <t>Fujita, Koji/E-6104-2010</t>
  </si>
  <si>
    <t>Fujita, Koji/0000-0003-3753-4981</t>
  </si>
  <si>
    <t>Ministry of Education, Culture, Sports, Science and Technology of Japan [19253001]; Grants-in-Aid for Scientific Research [19253001, 22241005, 23221004] Funding Source: KAKEN</t>
  </si>
  <si>
    <t>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</si>
  <si>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express our gratitude to A. Sakai for her helpful discussions when writing the first draft of this paper. Helpful comments and suggestions from two anonymous reviewers are greatly appreciated. This study was supported by a Grant-in-Aid for Scientific Research (No. 19253001) from the Ministry of Education, Culture, Sports, Science and Technology of Japan.</t>
  </si>
  <si>
    <t>10.1657/1938-4246-45.1.143</t>
  </si>
  <si>
    <t>WOS:000329533000014</t>
  </si>
  <si>
    <t>Hughes, KA; Worland, MR; Thorne, MAS; Convey, P</t>
  </si>
  <si>
    <t>Hughes, Kevin A.; Worland, M. Roger; Thorne, Michael A. S.; Convey, Peter</t>
  </si>
  <si>
    <t>The non-native chironomid Eretmoptera murphyi in Antarctica: erosion of the barriers to invasion</t>
  </si>
  <si>
    <t>BIOLOGICAL INVASIONS</t>
  </si>
  <si>
    <t>Non-native; Non-indigenous; Sub-Antarctic; Antarctic Peninsula; South Georgia; Distribution modelling</t>
  </si>
  <si>
    <t>CLIMATE-CHANGE; TERRESTRIAL ECOSYSTEM; BELGICA-ANTARCTICA; HABITAT PREFERENCE; FALKLAND ISLANDS; LIFE-HISTORY; DIPTERA; INVERTEBRATE; TEMPERATURE; PENINSULA</t>
  </si>
  <si>
    <t>Antarctica is the continent least affected by invasive species, but climate change and increasing human activity are increasing this threat. Antarctic terrestrial ecosystems generally have low biodiversity with simple community structures and little competition for resources. Consequently, species with pre-adaptations or capabilities that allow them to tolerate polar conditions may have disproportionately large ecosystem impacts when introduced to Antarctica compared with other regions of the Earth. Here we investigate the invasion risk associated with the flightless chironomid midge, Eretmoptera murphyi, which was accidentally introduced from South Georgia (54A degrees S) to Signy Island, South Orkney Islands (61A degrees S), probably during plant transplantation experiments in the 1960s. Larval size class distribution analysis indicated that E. murphyi has a 2 year life cycle on Signy Island, supporting previous suggestions. Estimates of litter turnover show that recent large increases in E. murphyi population density and extent are likely to increase nutrient cycling rates on Signy Island substantially. Existing physiological adaptations may allow E. murphyi to colonise higher latitude locations. Growth rate and microhabitat climatic modelling show that temperature constraints on larval development on Anchorage Island (68A degrees S) are theoretically similar to those on Signy Island even though it is similar to 750 km further south. Establishment of this non-native midge at climatically similar intervening locations along the western Antarctic Peninsula is therefore plausible. Currently, lack of effective natural dispersal mechanisms is probably limiting the spread of the midge. However, dispersal to other areas of the Antarctic Peninsula may occur via human-assisted transportation, highlighting the importance of appropriate biosecurity measures.</t>
  </si>
  <si>
    <t>[Hughes, Kevin A.; Worland, M. Roger; Thorne, Michael A. S.; Convey, Peter] British Antarctic Survey, Nat Environm Res Council, Cambridge CB3 0ET, England</t>
  </si>
  <si>
    <t>Hughes, KA (corresponding author), British Antarctic Survey, Nat Environm Res Council, Madingley Rd, Cambridge CB3 0ET, England.</t>
  </si>
  <si>
    <t>kehu@bas.ac.uk</t>
  </si>
  <si>
    <t>Hughes, Kevin/JVZ-0793-2024; Convey, Peter/AAV-5728-2020</t>
  </si>
  <si>
    <t>Convey, Peter/0000-0001-8497-9903; Thorne, Michael/0000-0001-7759-612X</t>
  </si>
  <si>
    <t>NERC [bas0100025] Funding Source: UKRI; Natural Environment Research Council [bas0100025] Funding Source: researchfish</t>
  </si>
  <si>
    <t>NERC(UK Research &amp; Innovation (UKRI)Natural Environment Research Council (NERC)); Natural Environment Research Council(UK Research &amp; Innovation (UKRI)Natural Environment Research Council (NERC))</t>
  </si>
  <si>
    <t>1387-3547</t>
  </si>
  <si>
    <t>1573-1464</t>
  </si>
  <si>
    <t>BIOL INVASIONS</t>
  </si>
  <si>
    <t>Biol. Invasions</t>
  </si>
  <si>
    <t>10.1007/s10530-012-0282-1</t>
  </si>
  <si>
    <t>063VQ</t>
  </si>
  <si>
    <t>WOS:000313030500005</t>
  </si>
  <si>
    <t>de Bruyn, PJN; Tosh, CA; Terauds, A</t>
  </si>
  <si>
    <t>de Bruyn, P. J. N.; Tosh, Cheryl A.; Terauds, Aleks</t>
  </si>
  <si>
    <t>Killer whale ecotypes: is there a global model?</t>
  </si>
  <si>
    <t>BIOLOGICAL REVIEWS</t>
  </si>
  <si>
    <t>killer whale; Orcinus orca; Southern Ocean; Antarctica; sub-Antarctic; eastern North Pacific; North Atlantic</t>
  </si>
  <si>
    <t>SEQUENTIAL MEGAFAUNAL COLLAPSE; PRINCE-WILLIAM-SOUND; EASTERN NORTH PACIFIC; SOUTH-AFRICAN WATERS; ORCINUS-ORCA; GENETIC DIFFERENTIATION; ASSOCIATION PATTERNS; PATAGONIAN TOOTHFISH; SOCIAL-ORGANIZATION; CROZET ARCHIPELAGO</t>
  </si>
  <si>
    <t>Killer whales, Orcinus orca, are top predators occupying key ecological roles in a variety of ecosystems and are one of the most widely distributed mammals on the planet. In consequence, there has been significant interest in understanding their basic biology and ecology. Long-term studies of Northern Hemisphere killer whales, particularly in the eastern North Pacific (ENP), have identified three ecologically distinct communities or ecotypes in that region. The success of these prominent ENP studies has led to similar efforts at clarifying the role of killer whale ecology in other regions, including Antarctica. In the Southern Hemisphere, killer whales present a range of behavioural, social and morphological characteristics to biologists, who often interpret this as evidence to categorize individuals or groups, and draw general ecological conclusions about these super-predators. Morphologically distinct forms (Type A, B, C, and D) occur in the Southern Ocean and studies of these different forms are often presented in conjunction with evidence for specialised ecology and behaviours. Here we review current knowledge of killer whale ecology and ecotyping globally and present a synthesis of existing knowledge. In particular, we highlight the complexity of killer whale ecology in the Southern Hemisphere and examine this in the context of comparatively well-studied Northern Hemisphere populations. We suggest that assigning erroneous or prefatory ecotypic status in the Southern Hemisphere could be detrimental to subsequent killer whale studies, because unsubstantiated characteristics may be assumed as a result of such classification. On this basis, we also recommend that ecotypic status classification for Southern Ocean killer whale morphotypes be reserved until more evidence-based ecological and taxonomic data are obtained.</t>
  </si>
  <si>
    <t>[de Bruyn, P. J. N.; Tosh, Cheryl A.] Univ Pretoria, Mammal Res Inst, Dept Zool &amp; Entomol, ZA-0028 Hatfield, South Africa; [Terauds, Aleks] Univ Stellenbosch, Ctr Invas Biol, ZA-7602 Matieland, South Africa</t>
  </si>
  <si>
    <t>University of Pretoria; Stellenbosch University</t>
  </si>
  <si>
    <t>de Bruyn, PJN (corresponding author), Univ Pretoria, Mammal Res Inst, Dept Zool &amp; Entomol, Private Bag X20, ZA-0028 Hatfield, South Africa.</t>
  </si>
  <si>
    <t>pjndebruyn@zoology.up.ac.za</t>
  </si>
  <si>
    <t>Tosh, Cheryl/D-5623-2016; de Bruyn, P. J. Nico/E-4176-2010; Terauds, Aleks/A-4991-2010</t>
  </si>
  <si>
    <t>Tosh, Cheryl/0000-0003-0243-5422; de Bruyn, P. J. Nico/0000-0002-9114-9569; Terauds, Aleks/0000-0001-7804-6648</t>
  </si>
  <si>
    <t>South African Department of Science and Technology, through the National Research Foundation (NRF); Mohamed bin Zayed Species Conservation Fund [10251290]; Thuthuka programme (NRF)</t>
  </si>
  <si>
    <t>South African Department of Science and Technology, through the National Research Foundation (NRF); Mohamed bin Zayed Species Conservation Fund; Thuthuka programme (NRF)</t>
  </si>
  <si>
    <t>We thank the 'sealers' who have volunteered to collect photographic and observational data at Marion Island. M.N. Bester is thanked for his efforts over the years to conduct or support opportunistic killer whale research at Marion Island. R.R. Reisinger provided insightful discussions leading to the initial efforts with this paper and John van den Hoff, Rus Hoelzel and an anonymous reviewer provided useful comments on earlier versions of this manuscript. R.R. Reisinger is also thanked for assistance with perusal of identification images. The Department of Environmental Affairs supplied logistic support within the South African National Antarctic Programme for work done at Marion Island. Financial support for field assistance was provided by the South African Department of Science and Technology, through the National Research Foundation (NRF), in support of the Marine Mammal Programme of the MRI. The Mohamed bin Zayed Species Conservation Fund (Project number: 10251290) and the Thuthuka programme (NRF) support current efforts with killer whale work at Marion Island.</t>
  </si>
  <si>
    <t>1464-7931</t>
  </si>
  <si>
    <t>1469-185X</t>
  </si>
  <si>
    <t>BIOL REV</t>
  </si>
  <si>
    <t>Biol. Rev.</t>
  </si>
  <si>
    <t>10.1111/j.1469-185X.2012.00239.x</t>
  </si>
  <si>
    <t>Biology</t>
  </si>
  <si>
    <t>Life Sciences &amp; Biomedicine - Other Topics</t>
  </si>
  <si>
    <t>118ZS</t>
  </si>
  <si>
    <t>WOS:000317066700006</t>
  </si>
  <si>
    <t>Prates, G; Berrocoso, M; Fernández-Ros, A; García, A</t>
  </si>
  <si>
    <t>Prates, G.; Berrocoso, M.; Fernandez-Ros, A.; Garcia, A.</t>
  </si>
  <si>
    <t>Enhancement of sub-daily positioning solutions for surface deformation monitoring at Deception volcano (South Shetland Islands, Antarctica)</t>
  </si>
  <si>
    <t>BULLETIN OF VOLCANOLOGY</t>
  </si>
  <si>
    <t>Volcano monitoring; Satellite geodesy; Tidal analysis; Kalman filter; Antarctica</t>
  </si>
  <si>
    <t>BRANSFIELD BASIN; GPS; PENINSULA; GRAVITY; STRAIT; RIDGE; FIELD</t>
  </si>
  <si>
    <t>Deception Island is one of the most visited places in Antarctica. There are biological, geological, and archeological features that are major attractions within Port Foster, its horse shoe-shaped natural inner bay, and two scientific bases that are occupied during austral summers. Deception Island is an active volcano, however, and needs to be monitored in order to reduce risk to people on the island. Surface deformation in response to fluid pressure is one of the main volcanic activities to observe. Automated data acquisition and processing using the global navigation satellite systems allow measurements of surface deformation in near real time. Nevertheless, the positioning repeatability in sub-daily solutions is affected by geophysical influences such as ocean tidal loading, among others. Such periodic influences must be accurately modeled to achieve similar repeatability as daily solutions that average them. However, a single solution each 24 h will average out the deformation suffered during that period, and the position update waiting time can be a limitation for near real-time purposes. Throughout the last five austral summer campaigns in Deception, using simultaneous wireless communications between benchmarks, a processing strategy was developed to achieve millimeter-level half-hourly positioning solutions that have similar repeatability as those given by 24-h solutions. For these half-hourly solutions, a tidal analysis was performed to assess any mismodeling of ocean tide loading, and a discrete Kalman filter was designed and implemented to enhance the sub-daily positioning repeatability. With these solutions, the volcano-dynamic activity resulting in localized surface deformation for the last five austral summer campaigns is addressed. Although based on only three carefully located benchmarks, it is shown that Deception has been shortening and subsiding during these last 4 years. The method's accuracy in baselines up to a few hundred kilometers assures its applicability to other volcanoes worldwide.</t>
  </si>
  <si>
    <t>[Prates, G.; Berrocoso, M.; Fernandez-Ros, A.] Univ Cadiz, Lab Astron Geodesia &amp; Cartog, Fac Ciencias, Cadiz, Spain; [Prates, G.] Univ Algarve, Inst Super Engn, Faro, Portugal; [Garcia, A.] CSIC, Inst Geociencias CSIC UCM, Madrid, Spain</t>
  </si>
  <si>
    <t>Consejo Superior de Investigaciones Cientificas (CSIC); CSIC-UCM - Instituto de Astronomia y Geodesia (IAG); Universidad de Cadiz; Universidade do Algarve; Complutense University of Madrid; Consejo Superior de Investigaciones Cientificas (CSIC); CSIC-UCM - Instituto de Geociencias (IGEO)</t>
  </si>
  <si>
    <t>Prates, G (corresponding author), Univ Cadiz, Lab Astron Geodesia &amp; Cartog, Fac Ciencias, Cadiz, Spain.</t>
  </si>
  <si>
    <t>gprates@ualg.pt</t>
  </si>
  <si>
    <t>Prates, Gonçalo/K-4018-2014; BERROCOSO, MANUEL/O-3818-2014</t>
  </si>
  <si>
    <t>Prates, Gonçalo/0000-0001-5797-9158; BERROCOSO, MANUEL/0000-0002-1878-9658</t>
  </si>
  <si>
    <t>Spanish Ministry of Education and Science, National Antarctic Program; Recognition and fast evaluation of volcanic activity on Deception Island (GEODESY) [ANT1999-1430-E/HESP]; Geodetic Studies on Deception Island: deformation models, geoid determination and Scientific Information System [REN2000-0551-C03-01/ANT]; Acquisition of scientific software for GPS data processing [REN2000-2690-E]; Geodetic Control of the volcanic activity of Deception Island [CGL2004-21547-E/ANT]; Update of the Spanish Cartography for Deception Island [CGL2004-20408-E/ANT]; Volcano-tectonic activity on Deception Island: geodetic, geophysical investigations and Remote Sensing on Deception Island and its surroundings [CGL12005-07589-c03-01/ANT]; Geodetic and Geothermal Researches, Time Serial Analysis and Volcanic Innovation in Antarctica (South Shetland Islands and Antarctic Peninsula (GEOTINANT) [CTM2009-07251/ANT]</t>
  </si>
  <si>
    <t>Spanish Ministry of Education and Science, National Antarctic Program; Recognition and fast evaluation of volcanic activity on Deception Island (GEODESY); Geodetic Studies on Deception Island: deformation models, geoid determination and Scientific Information System; Acquisition of scientific software for GPS data processing; Geodetic Control of the volcanic activity of Deception Island; Update of the Spanish Cartography for Deception Island; Volcano-tectonic activity on Deception Island: geodetic, geophysical investigations and Remote Sensing on Deception Island and its surroundings; Geodetic and Geothermal Researches, Time Serial Analysis and Volcanic Innovation in Antarctica (South Shetland Islands and Antarctic Peninsula (GEOTINANT)</t>
  </si>
  <si>
    <t>This geodetic research has been carried out with the support of the Spanish Ministry of Education and Science as part of the National Antarctic Program. The following research projects directly contributed to this work: Recognition and fast evaluation of volcanic activity on Deception Island (GEODESY) (ANT1999-1430-E/HESP); Geodetic Studies on Deception Island: deformation models, geoid determination and Scientific Information System (REN2000-0551-C03-01/ANT); Acquisition of scientific software for GPS data processing (REN2000-2690-E); Geodetic Control of the volcanic activity of Deception Island (CGL2004-21547-E/ANT); Update of the Spanish Cartography for Deception Island (CGL2004-20408-E/ANT); Volcano-tectonic activity on Deception Island: geodetic, geophysical investigations and Remote Sensing on Deception Island and its surroundings (CGL12005-07589-c03-01/ANT); and Geodetic and Geothermal Researches, Time Serial Analysis and Volcanic Innovation in Antarctica (South Shetland Islands and Antarctic Peninsula (GEOTINANT)(CTM2009-07251/ANT).</t>
  </si>
  <si>
    <t>0258-8900</t>
  </si>
  <si>
    <t>1432-0819</t>
  </si>
  <si>
    <t>B VOLCANOL</t>
  </si>
  <si>
    <t>Bull. Volcanol.</t>
  </si>
  <si>
    <t>10.1007/s00445-013-0688-3</t>
  </si>
  <si>
    <t>Geosciences, Multidisciplinary</t>
  </si>
  <si>
    <t>Geology</t>
  </si>
  <si>
    <t>140SW</t>
  </si>
  <si>
    <t>WOS:000318676400002</t>
  </si>
  <si>
    <t>Bers, AV; Momo, F; Schloss, IR; Abele, D</t>
  </si>
  <si>
    <t>Bers, A. Valeria; Momo, Fernando; Schloss, Irene R.; Abele, Doris</t>
  </si>
  <si>
    <t>Analysis of trends and sudden changes in long-term environmental data from King George Island (Antarctica): relationships between global climatic oscillations and local system response</t>
  </si>
  <si>
    <t>CLIMATIC CHANGE</t>
  </si>
  <si>
    <t>SEA-ICE; COMMON TRENDS; PENINSULA; ENSO; CIRCULATION; ECOSYSTEMS; IMPACTS; SUMMER</t>
  </si>
  <si>
    <t>The Western Antarctic Peninsula is one of the most rapidly warming regions on earth. It is therefore important to analyze long-term trends and inter-annual patterns of change in major environmental parameters to understand the process underlying climate change in Western Antarctica. Since many polar long-term data series are fragmented and cannot be analysed with common time series analysis tools, we present statistical approaches that can deal with missing values. We applied U-statistics after Pettit and Buishand to detect abrupt changes, dynamic factor analysis to detect functional relationships, and additive modelling to detect patterns in time related to climatic cycles such as the Southern Annular Mode and El Nio Southern Oscillation in a long-term environmental data set from King George Island (WAP), covering 20 years. Our results not only reveal sudden changes for sea surface temperature and salinity, but also clear patterns in all investigated variables (sea surface temperature, salinity, suspended particulate matter and Chlorophyll a) that can directly be related to climatic cycles. Our results complement previous findings on climate related changes in the King George Island Region and provide insight into the environmental conditions and climatic drivers of system change in the study area. Hence, our statistical analyses may prove valuable for other polar environmental data sets and contribute to a better understanding of the regional variability of climate change and its impact on coastal systems.</t>
  </si>
  <si>
    <t>[Bers, A. Valeria; Abele, Doris] Alfred Wegener Inst Polar &amp; Marine Res, D-27570 Bremerhaven, Germany; [Momo, Fernando] Natl Univ Gen Sarmiento, Inst Sci, RA-1150 Buenos Aires, DF, Argentina; [Schloss, Irene R.] Inst Antartico Argentino, Buenos Aires, DF, Argentina; [Schloss, Irene R.] Consejo Nacl Invest Cient &amp; Tecn, RA-1033 Buenos Aires, DF, Argentina; [Schloss, Irene R.] Inst Sci Mer Rimouski, Rimouski, PQ G5L 3A1, Canada</t>
  </si>
  <si>
    <t>Helmholtz Association; Alfred Wegener Institute, Helmholtz Centre for Polar &amp; Marine Research; Instituto Antartico Argentino; Consejo Nacional de Investigaciones Cientificas y Tecnicas (CONICET)</t>
  </si>
  <si>
    <t>Bers, AV (corresponding author), Alfred Wegener Inst Polar &amp; Marine Res, Handelshafen 12, D-27570 Bremerhaven, Germany.</t>
  </si>
  <si>
    <t>Valeria.Bers@awi.de</t>
  </si>
  <si>
    <t>Schloss, Irene R./U-5411-2018; Momo, Fernando/A-5984-2015; Momo, Fernando R/E-3426-2012</t>
  </si>
  <si>
    <t>Schloss, Irene R./0000-0002-5917-8925; Momo, Fernando R/0000-0003-0710-1149; Abele, Doris/0000-0002-5766-5017</t>
  </si>
  <si>
    <t>German Federal Ministry of Education and Research (BMBF) [03F0617A]</t>
  </si>
  <si>
    <t>German Federal Ministry of Education and Research (BMBF)(Federal Ministry of Education &amp; Research (BMBF))</t>
  </si>
  <si>
    <t>This study is part of the IMCOAST program, which is part of the PolarClimate program of the European Research Council within the ERA-Net EuroPOLAR. This particular subproject was funded by the German Federal Ministry of Education and Research (BMBF, ref. no. 03F0617A). We thank the Servicio Meteorologico Nacional of the Argentine Air Force for providing the air temperature data and IAA, DNA and AWI for supporting 20 years of cooperative field work at Carlini Station-Dallmann laboratory.</t>
  </si>
  <si>
    <t>0165-0009</t>
  </si>
  <si>
    <t>1573-1480</t>
  </si>
  <si>
    <t>Clim. Change</t>
  </si>
  <si>
    <t>10.1007/s10584-012-0523-4</t>
  </si>
  <si>
    <t>Environmental Sciences; Meteorology &amp; Atmospheric Sciences</t>
  </si>
  <si>
    <t>Environmental Sciences &amp; Ecology; Meteorology &amp; Atmospheric Sciences</t>
  </si>
  <si>
    <t>073IQ</t>
  </si>
  <si>
    <t>WOS:000313737100019</t>
  </si>
  <si>
    <t>Van De Vijver, B; Cox, EJ</t>
  </si>
  <si>
    <t>Van De Vijver, Bart; Cox, Eileen J.</t>
  </si>
  <si>
    <t>New and interesting small-celled naviculoid diatoms (Bacillariophyceae) from a lava tube cave on Ile Amsterdam (TAAF, Southern Indian Ocean)</t>
  </si>
  <si>
    <t>CRYPTOGAMIE ALGOLOGIE</t>
  </si>
  <si>
    <t>Bacillariophyceae; Chamaepinnularia; Ile Amsterdam; new species; Mayamaea; Sellaphora; sub-Antarctica</t>
  </si>
  <si>
    <t>POSSESSION CROZET; SP NOV.; MICROCOSTATUS; COMMUNITIES; ISLANDS</t>
  </si>
  <si>
    <t>The analysis of a sample taken in a lava tube cave on Ile Amsterdam (southern Indian Ocean) revealed the presence of three interesting small-celled naviculoid diatom taxa. Based on light and detailed scanning electron microscopy, two of these taxa are described as new: Mayamaea cavernicola sp. nov. and Sellaphora barae sp. nov. A third taxon, Chamaepinnularia aerophila Van de Vijver et Beyens, was previously only found in the type locality on the nearby Crozet Archipelago. The three taxa are compared to other morphologically similar species from Europe, South America and the (sub-)Antarctic Region.</t>
  </si>
  <si>
    <t>[Van De Vijver, Bart] Natl Bot Garden Belgium, Dept Bryophyta &amp; Thallophyta, B-1860 Domein Van Bouchout, Meise, Belgium; [Van De Vijver, Bart] Univ Antwerp, Dept Biol, ECOBE, B-2610 Antwerp, Belgium; [Cox, Eileen J.] Nat Hist Museum, London SW7 5BD, England</t>
  </si>
  <si>
    <t>University of Antwerp; Natural History Museum London</t>
  </si>
  <si>
    <t>Van De Vijver, B (corresponding author), Natl Bot Garden Belgium, Dept Bryophyta &amp; Thallophyta, B-1860 Domein Van Bouchout, Meise, Belgium.</t>
  </si>
  <si>
    <t>vandevijver@br.fgov.be; e.j.cox@nhm.ac.uk</t>
  </si>
  <si>
    <t>French Polar Institute-Paul-Emile Victor in the framework of the terrestrial program 136; FWO [G.0533.07]; EU</t>
  </si>
  <si>
    <t>French Polar Institute-Paul-Emile Victor in the framework of the terrestrial program 136; FWO(FWO); EU(European Union (EU))</t>
  </si>
  <si>
    <t>The authors wish to thank Dr. Jennie Whinam and Ir. Marc Lebouvier for their help during the sampling campaign. Sampling on Crozet was made possible thanks to the logistic and financial support of the French Polar Institute-Paul-Emile Victor in the framework of the terrestrial program 136 (Ir. Marc Lebouvier &amp; Dr. Yves Frenot). Part of this research was funded within the FWO project G.0533.07. Mrs. Myriam de Haan is thanked for preparing the samples. Dr. Alex Ball and the staff of the EMMA laboratory at the Natural History Museum are thanked for their help with the scanning electron microscopy. This study was supported by a EU Synthesys grant to BVDV to visit the National History Museum in London, UK.</t>
  </si>
  <si>
    <t>ADAC-CRYPTOGAMIE</t>
  </si>
  <si>
    <t>PARIS</t>
  </si>
  <si>
    <t>12 RUE DE BUFFON, 75005 PARIS, FRANCE</t>
  </si>
  <si>
    <t>0181-1568</t>
  </si>
  <si>
    <t>1776-0984</t>
  </si>
  <si>
    <t>CRYPTOGAMIE ALGOL</t>
  </si>
  <si>
    <t>Cryptogam. Algol.</t>
  </si>
  <si>
    <t>10.7872/crya.v34.iss1.2013.37</t>
  </si>
  <si>
    <t>AK8YK</t>
  </si>
  <si>
    <t>WOS:000338714500002</t>
  </si>
  <si>
    <t>Treasure, AM; Chown, SL</t>
  </si>
  <si>
    <t>Treasure, Anne M.; Chown, Steven L.</t>
  </si>
  <si>
    <t>Contingent absences account for range limits but not the local abundance structure of an invasive springtail</t>
  </si>
  <si>
    <t>ECOGRAPHY</t>
  </si>
  <si>
    <t>SPECIES DISTRIBUTION MODELS; ANTARCTIC MARION ISLAND; PHENOTYPIC PLASTICITY; THERMAL TOLERANCES; GEOGRAPHIC RANGE; CLIMATE-CHANGE; COLLEMBOLA; ACCLIMATION; DISTRIBUTIONS; CONSERVATION</t>
  </si>
  <si>
    <t>Understanding spatial variation in abundance is essential for forecasts of responses to environmental change impacts on diversity and the consequent conservation actions. However, few studies have sought to distinguish the causal basis of abundance structure and range limits. Here we do so for an invasive springtail species, Pogonognathellus flavescens, in a cold temperate island setting. Local microclimate variables and physiological tolerances of this habitat generalist suggest that it should be widely distributed across a range of habitats below 200 m elevation on the island. By contrast, island-wide and local abundance surveys show that it is restricted to indigenous Poa cookii tussock grassland habitats in the southeast. Preference for this habitat is correlated with the presence of vertebrates and a threshold response to soil Ca and pH, with preference for low values of both. Habitat specificity may be the consequence of a founder effect because the species is characterized by only a single mitochondrial COI haplotype. Nonetheless, P. flavescens is absent from many other areas of suitable P. cookii habitat around the island. The most plausible explanation appears to be dispersal limitation (i.e. a contingent absence). Despite high locomotion speeds measured in the laboratory at optimum and mean annual soil temperatures (0.97 and 0.42 cm s1 at 26 degrees C and 6.5 degrees C, respectively), dispersal in the field indicated that &gt;100 yr would be required to reach all available habitat in the absence of jump dispersal, for which few vectors exist. Thus, current range limits are set by dispersal limitation (i.e. contingent absences) whilst abundance structure is a function of variation in soil substrate quality. Edaphic variables both in this species and other soil invertebrates may be more significant than climatic factors in determining abundance and occurrence, indicating that they should be routinely included in species distribution models. Low genetic diversity and high habitat preference suggest that in the absence of introduction of additional individuals, the species will not spread rapidly at the island. However, over time, the widening distribution of its preferred habitat, P. cookii, as a consequence of a major management intervention (the eradication of feral cats), may enable it to colonize all suitable areas.</t>
  </si>
  <si>
    <t>[Treasure, Anne M.; Chown, Steven L.] Univ Stellenbosch, Dept Bot &amp; Zool, Ctr Invas Biol, ZA-7602 Matieland, South Africa</t>
  </si>
  <si>
    <t>Stellenbosch University</t>
  </si>
  <si>
    <t>Treasure, AM (corresponding author), Univ Stellenbosch, Dept Bot &amp; Zool, Ctr Invas Biol, Private Bag X1, ZA-7602 Matieland, South Africa.</t>
  </si>
  <si>
    <t>anne.m.treasure@gmail.com</t>
  </si>
  <si>
    <t>Chown, Steven/ABD-7646-2021; Chown, Steven/H-3347-2011</t>
  </si>
  <si>
    <t>Treasure, Anne/0000-0002-8345-4811; Chown, Steven/0000-0001-6069-5105</t>
  </si>
  <si>
    <t>National Research Foundation [SNA2007042400003]</t>
  </si>
  <si>
    <t>National Research Foundation</t>
  </si>
  <si>
    <t>Mashudu Mashau, Martin Slabber, Aleks Terauds, Steven Johnson, Cang Hui and Peter le Roux are thanked for assistance and/or discussion. Melodie McGeoch commented on a previous version of the manuscript. The South African National Antarctic Programme provided logistic support and the work was funded by National Research Foundation Grant SNA2007042400003.</t>
  </si>
  <si>
    <t>0906-7590</t>
  </si>
  <si>
    <t>1600-0587</t>
  </si>
  <si>
    <t>Ecography</t>
  </si>
  <si>
    <t>10.1111/j.1600-0587.2012.07458.x</t>
  </si>
  <si>
    <t>108XR</t>
  </si>
  <si>
    <t>WOS:000316330100005</t>
  </si>
  <si>
    <t>Segawa, T; Takeuchi, N; Rivera, A; Yamada, A; Yoshimura, Y; Barcaza, G; Shinbori, K; Motoyama, H; Kohshima, S; Ushida, K</t>
  </si>
  <si>
    <t>Segawa, Takahiro; Takeuchi, Nozomu; Rivera, Andres; Yamada, Akinori; Yoshimura, Yoshitaka; Barcaza, Gonzalo; Shinbori, Kunio; Motoyama, Hideaki; Kohshima, Shiro; Ushida, Kazunari</t>
  </si>
  <si>
    <t>Distribution of antibiotic resistance genes in glacier environments</t>
  </si>
  <si>
    <t>ENVIRONMENTAL MICROBIOLOGY REPORTS</t>
  </si>
  <si>
    <t>STREPTOMYCIN-RESISTANCE; PSEUDOMONAS-AERUGINOSA; ESCHERICHIA-COLI; BACTERIA; DISSEMINATION; PLASMIDS; DETERMINANTS; COMMENSAL; TRACKING; IMIPENEM</t>
  </si>
  <si>
    <t>Antibiotic resistance genes are biologically transmitted from microorganism to microorganism in particular micro-environments where dense microbial communities are often exposed to an intensive use of antibiotics, such as intestinal microflora, and the soil microflora of agricultural fields. However, recent studies have detected antibiotic-resistant bacteria and/or antibiotic resistance genes in the natural environment geographically isolated from such areas. Here we sought to examine the prevalence of antibiotic resistance genes in 54 snow and ice samples collected from the Arctic, Antarctic, Central Asia, North and South America and Africa, to evaluate the level of these genes in environments supposedly not affected by anthropogenic factors. We observed a widespread distribution of antibiotic resistance genes in samples from various glaciers in Central Asia, North and South America, Greenland and Africa. In contrast, Antarctic glaciers were virtually free from these genes. Antibiotic resistance genes, of both clinical (i.e. aac(3), blaIMP) and agricultural (i.e. strA and tetW) origin, were detected. Our results show regional geographical distribution of antibiotic resistance genes, with the most plausible modes of transmission through airborne bacteria and migrating birds.</t>
  </si>
  <si>
    <t>[Segawa, Takahiro] Res Org Informat &amp; Syst, Transdisciplinary Res Intergrat Ctr, Minato Ku, Tokyo 1050001, Japan; [Segawa, Takahiro] Transdisciplinary Res Intergrat Ctr, Tachikawa, Tokyo 1908518, Japan; [Motoyama, Hideaki] Natl Inst Polar Res, Meteorol &amp; Glaciol Grp, Tachikawa, Tokyo 1908518, Japan; [Takeuchi, Nozomu] Chiba Univ, Dept Earth Sci, Grad Sch Sci, Inage Ku, Chiba 2638522, Japan; [Rivera, Andres] Ctr Estudios Cient, Valdivia, Chile; [Yamada, Akinori] Tokyo Inst Technol, Sch &amp; Grad Sch Bioscience &amp; Biotechnol, Meguro Ku, Tokyo 1528550, Japan; [Yoshimura, Yoshitaka] Tamagawa Univ, Coll Agr, Machida, Tokyo 1948610, Japan; [Barcaza, Gonzalo] Direcc Gen Aguas, Santiago, Chile; [Shinbori, Kunio] Hokkaido Univ, Tech Div, Inst Low Temp Sci, Sapporo, Hokkaido 0600819, Japan; [Kohshima, Shiro] Kyoto Univ, Wildlife Res Ctr, Sakyo Ku, Kyoto 6068203, Japan; [Ushida, Kazunari] Kyoto Prefectural Univ, Grad Sch Life &amp; Environm Sci, Sakyo Ku, Kyoto 6068522, Japan</t>
  </si>
  <si>
    <t>Research Organization of Information &amp; Systems (ROIS); Research Organization of Information &amp; Systems (ROIS); National Institute of Polar Research (NIPR) - Japan; Chiba University; Tokyo Institute of Technology; Hokkaido University; Kyoto University; Kyoto Prefectural University</t>
  </si>
  <si>
    <t>Ushida, K (corresponding author), Kyoto Prefectural Univ, Grad Sch Life &amp; Environm Sci, Sakyo Ku, Kyoto 6068522, Japan.</t>
  </si>
  <si>
    <t>k_ushida@kpu.ac.jp</t>
  </si>
  <si>
    <t>Yamada, Akinori/ABI-4313-2020; Takeuchi, Nozomu/Q-7869-2016</t>
  </si>
  <si>
    <t>Yamada, Akinori/0000-0002-5897-126X; Takeuchi, Nozomu/0000-0002-3267-5534; Rivera, Andres/0000-0002-2779-4192; Segawa, Takahiro/0000-0002-3111-708X</t>
  </si>
  <si>
    <t>Transdisciplinary Research Integration Center (TRIC); Japan Society for Promotion of Science [22241005, 24710020]; National Institute of Polar Research; Grants-in-Aid for Scientific Research [24710020, 22241005, 21580335, 23221004, 22221002] Funding Source: KAKEN</t>
  </si>
  <si>
    <t>Transdisciplinary Research Integration Center (TRIC); Japan Society for Promotion of Science(Ministry of Education, Culture, Sports, Science and Technology, Japan (MEXT)Japan Society for the Promotion of Science); National Institute of Polar Research(National Institute of Polar Research (NIPR) - Japan); Grants-in-Aid for Scientific Research(Ministry of Education, Culture, Sports, Science and Technology, Japan (MEXT)Japan Society for the Promotion of ScienceGrants-in-Aid for Scientific Research (KAKENHI))</t>
  </si>
  <si>
    <t>This study was supported by a grant from the Transdisciplinary Research Integration Center (TRIC) and the Grant-in-Aid for Scientific Research (22241005, 24710020) from the Japan Society for Promotion of Science. Production of this paper was supported by a National Institute of Polar Research publication subsidy. We thank Dr Rustam Aminov, University of Aberdeen, for his critical reading of the manuscript, Dr Kazue Suzuki, The Institute of Statistical Mathematics, for advice on the aerosol research, Mr Dylan Bodington, Tokyo Institute of Technology, for editing of English grammar. We also thank for Dr Akinori Takahashi, National institute of Polar Research, for comments on bird migrations.</t>
  </si>
  <si>
    <t>1758-2229</t>
  </si>
  <si>
    <t>ENV MICROBIOL REP</t>
  </si>
  <si>
    <t>Environ. Microbiol. Rep.</t>
  </si>
  <si>
    <t>10.1111/1758-2229.12011</t>
  </si>
  <si>
    <t>Environmental Sciences; Microbiology</t>
  </si>
  <si>
    <t>Environmental Sciences &amp; Ecology; Microbiology</t>
  </si>
  <si>
    <t>083OO</t>
  </si>
  <si>
    <t>WOS:000314474500015</t>
  </si>
  <si>
    <t>Huang, JF; Dongchen, E; Zhang, SK</t>
  </si>
  <si>
    <t>Huang Jifeng; Dongchen, E.; Zhang Shengkai</t>
  </si>
  <si>
    <t>Tidal characteristics near the Chinese Zhongshan Station in Prydz Bay, East Antarctica</t>
  </si>
  <si>
    <t>GEODESY AND GEODYNAMICS</t>
  </si>
  <si>
    <t>tidal characteristics; harmonic constants; tidal models; sea level; Antarctica</t>
  </si>
  <si>
    <t>A permanent tidal station was installed at the Chinese Zhongshan Station in Feb. 2010. Harmonic constants of 170 tidal constituents were obtained from harmonic analysis of the first year' s data. The results of the eigbt main constituents sbowed good agreement with those of two tidal models. Tidal characteristics, such as tide type, diurnal inequality, tidal range, and water levels were also analyzed.</t>
  </si>
  <si>
    <t>[Huang Jifeng; Dongchen, E.; Zhang Shengkai] Wuhan Univ, Chinese Antarctic Ctr Surveying &amp; Mapping, Wuhan 430079, Hubei, Peoples R China; [Huang Jifeng; Dongchen, E.; Zhang Shengkai] Wuhan Univ, Key Antarctic Sci Lab SBSM, Wuhan 430079, Hubei, Peoples R China</t>
  </si>
  <si>
    <t>Wuhan University; Wuhan University</t>
  </si>
  <si>
    <t>Huang, JF (corresponding author), Wuhan Univ, Chinese Antarctic Ctr Surveying &amp; Mapping, Wuhan 430079, Hubei, Peoples R China.</t>
  </si>
  <si>
    <t>huangjifeng@whu.edu</t>
  </si>
  <si>
    <t>National Major Scientific Research Projects [2012CB957701]; Natural Natural Science Foundation [41176172, 41176173, 41076126, 41106163]; Polar Environment Comprehensive Expedition; Resources Potential Evaluation Project [CHINARE 2012-01-03, CHINARE2012-02-02, CHINARE2012-03-03]</t>
  </si>
  <si>
    <t>National Major Scientific Research Projects; Natural Natural Science Foundation; Polar Environment Comprehensive Expedition; Resources Potential Evaluation Project</t>
  </si>
  <si>
    <t>This work is Supported by National Major Scientific Research Projects (2012CB957701), Natural Natural Science Foundation (41176172, 41176173, 41076126, 41106163), Polar Environment Comprehensive Expedition and the Resources Potential Evaluation Project (CHINARE 2012-01-03, CHINARE2012-02-02, CHINARE2012-03-03)</t>
  </si>
  <si>
    <t>16 DONGHUANGCHENGGEN NORTH ST, BEIJING, 100717, PEOPLES R CHINA</t>
  </si>
  <si>
    <t>1674-9847</t>
  </si>
  <si>
    <t>GEOD GEODYN</t>
  </si>
  <si>
    <t>J. Geod. Geodyn.</t>
  </si>
  <si>
    <t>10.3724/SP.J.1246.2013.01007</t>
  </si>
  <si>
    <t>Emerging Sources Citation Index (ESCI)</t>
  </si>
  <si>
    <t>V7H2F</t>
  </si>
  <si>
    <t>gold</t>
  </si>
  <si>
    <t>WOS:000420957200002</t>
  </si>
  <si>
    <t>Flowerdew, MJ; Tyrrell, S; Peck, VL</t>
  </si>
  <si>
    <t>Flowerdew, M. J.; Tyrrell, S.; Peck, V. L.</t>
  </si>
  <si>
    <t>Inferring sites of subglacial erosion using the Pb isotopic composition of ice-rafted feldspar: Examples from the Weddell Sea, Antarctica</t>
  </si>
  <si>
    <t>GEOLOGY</t>
  </si>
  <si>
    <t>BASAL CONDITIONS BENEATH; EAST ANTARCTICA; WEST ANTARCTICA; SOUTHERN-OCEAN; HEINRICH EVENTS; STREAM; PROVENANCE; SEDIMENTS; EVOLUTION; SHEET</t>
  </si>
  <si>
    <t>The delivery of ice-rafted debris (IRD) from glaciated margins is a function of ice sheet dynamics. Shifts in supply and sourcing of IRD can therefore identify episodes of ice sheet instability; however, records can be difficult to correctly interpret because the subglacial geology of the catchment areas, which controls IRD composition, may be obscured. Importantly, variations can also result from shifts in erosion sites due to changes in the basal ice sheet conditions. This study evaluates where subglacial erosion has occurred in catchments that flow into the southern Weddell Sea, Antarctica, by determining the Pb isotopic compositions of individual ice-rafted feldspars from late Holocene marine sediments. Feldspar compositions match those of rock units inferred (through extrapolation of outcrop, magnetic, and gravity data) to compose areas where ice velocity, bed roughness, and shear stress are high. Significantly, signals from areas where ice velocities are high but bed roughness and shear stresses are low were not recorded, suggesting that there is reduced bedrock erosion in these regions. Major variations in IRD composition in the Weddell Sea can result from changing the loci of subglacial erosion, and do not necessarily correspond with major ice sheet instability.</t>
  </si>
  <si>
    <t>[Flowerdew, M. J.; Peck, V. L.] British Antarctic Survey, Cambridge CB3 0ET, England; [Tyrrell, S.] Natl Univ Ireland Univ Coll Dublin, Sch Geol Sci, Dublin 4, Ireland</t>
  </si>
  <si>
    <t>UK Research &amp; Innovation (UKRI); Natural Environment Research Council (NERC); NERC British Antarctic Survey; University College Dublin</t>
  </si>
  <si>
    <t>Flowerdew, MJ (corresponding author), British Antarctic Survey, Madingley Rd, Cambridge CB3 0ET, England.</t>
  </si>
  <si>
    <t>mf@bas.ac.uk</t>
  </si>
  <si>
    <t>Tyrrell, Shane/0000-0001-5782-9432; Flowerdew, Michael/0000-0002-9710-2593</t>
  </si>
  <si>
    <t>UK Natural Environment Research Council; Griffiths Geoscience Award; Science Foundation Ireland; Natural Environment Research Council [bas0100026, bas0100024] Funding Source: researchfish; NERC [bas0100024, bas0100026] Funding Source: UKRI</t>
  </si>
  <si>
    <t>UK Natural Environment Research Council(UK Research &amp; Innovation (UKRI)Natural Environment Research Council (NERC)); Griffiths Geoscience Award; Science Foundation Ireland(Science Foundation Ireland);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</si>
  <si>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 funded by the UK Natural Environment Research Council. Tyrrell is funded by a Griffiths Geoscience Award. NCIG is funded mainly by Science Foundation Ireland. Help from the crew and staff on cruise JR244 are greatly appreciated. Tom Culligan and Mike Tabecki are thanked for their skilled sample preparation. Comments by C.-D. Hillenbrand on an early version, and by J. Jacobs, two anonymous reviewers, and editor Ellen Thomas are greatly appreciated.</t>
  </si>
  <si>
    <t>GEOLOGICAL SOC AMER, INC</t>
  </si>
  <si>
    <t>PO BOX 9140, BOULDER, CO 80301-9140 USA</t>
  </si>
  <si>
    <t>0091-7613</t>
  </si>
  <si>
    <t>1943-2682</t>
  </si>
  <si>
    <t>10.1130/G33644.1</t>
  </si>
  <si>
    <t>081MV</t>
  </si>
  <si>
    <t>WOS:000314327200013</t>
  </si>
  <si>
    <t>Montross, SN; Skidmore, M; Tranter, M; Kivimäki, AL; Parkes, RJ</t>
  </si>
  <si>
    <t>Montross, Scott N.; Skidmore, Mark; Tranter, Martyn; Kivimaki, Anna-Liisa; Parkes, R. John</t>
  </si>
  <si>
    <t>A microbial driver of chemical weathering in glaciated systems</t>
  </si>
  <si>
    <t>ANTARCTIC SUBGLACIAL LAKES; HIGH ARCTIC GLACIER; ICE-SHEET; BACTERIA; WEST; ENVIRONMENTS; SEDIMENTS; BENEATH; BED; SWITZERLAND</t>
  </si>
  <si>
    <t>Glaciological processes under ice sheets provide sustainable ecosystems for microbes, forming an aquatic environment through basal melting, and providing nutrients and energy from bedrock. Microbes facilitate solute production in most Earth surface environments, but the balance of biotic and abiotic weathering in subglacial environment is presently unknown. This study demonstrates an up to eightfold increase in dissolved major cations in biotic relative to abiotic weathering experiments using glacial sediments and meltwater. This conclusion greatly expands our view of Earth's biogeochemically active weathering zone by incorporating the large wet-based portions of glaciated continents, both at present and during Earth's history. The profound environmental significance is that microbial processes have the ability to maintain terrestrial chemical weathering rates in cooling climates during glacial advance.</t>
  </si>
  <si>
    <t>[Montross, Scott N.; Skidmore, Mark] Montana State Univ, Dept Earth Sci, Bozeman, MT 59717 USA; [Tranter, Martyn] Univ Bristol, Sch Geog Sci, Bristol Glaciol Ctr, Bristol BS8 1SS, Avon, England; [Kivimaki, Anna-Liisa] Univ Bristol, Dept Earth Sci, Bristol BS8 1RJ, Avon, England; [Parkes, R. John] Cardiff Univ, Sch Earth &amp; Ocean Sci, Cardiff CF10 3AT, S Glam, Wales</t>
  </si>
  <si>
    <t>Montana State University System; Montana State University Bozeman; University of Bristol; University of Bristol; Cardiff University</t>
  </si>
  <si>
    <t>Montross, SN (corresponding author), Queens Univ, Dept Geog, Kingston, ON K7L 3N6, Canada.</t>
  </si>
  <si>
    <t>Parkes, Ronald/B-1731-2010; Skidmore, Mark L/I-4317-2018; Tranter, Martyn/E-3722-2010</t>
  </si>
  <si>
    <t>Parkes, Ronald/0000-0001-9402-5943; Tranter, Martyn/0000-0003-2071-3094</t>
  </si>
  <si>
    <t>Natural Environment Research Council; University of Bristol studentship; Finnish Environment Institute (SYKE); Kone Foundation (Koneen Saatio); Finnish Cultural Foundation (Suomen Kulttuurirahasto); Montana State University; Geological Society of America; National Science Foundation DUE</t>
  </si>
  <si>
    <t>Natural Environment Research Council(UK Research &amp; Innovation (UKRI)Natural Environment Research Council (NERC)); University of Bristol studentship; Finnish Environment Institute (SYKE); Kone Foundation (Koneen Saatio); Finnish Cultural Foundation (Suomen Kulttuurirahasto)(Finnish Cultural Foundation); Montana State University; Geological Society of America; National Science Foundation DUE</t>
  </si>
  <si>
    <t>We thank A. Ridgwell for comments on the manuscript. This research was supported by a Natural Environment Research Council grant to Tranter; a University of Bristol studentship and Finnish Environment Institute (SYKE), Kone Foundation (Koneen Saatio), and Finnish Cultural Foundation (Suomen Kulttuurirahasto) grants to Kivimaki; a Montana State University VP Research grant to Skidmore; and Geological Society of America grant to Montross. Montross was partially supported by the National Science Foundation DUE grant to D. Mogk. J. Mills conducted IC and FIA analyses at University of Bristol; S. Lamoureux, Queen's University, Canada, performed grain size analysis; and M. Bennes provided logistical field support in Norway.</t>
  </si>
  <si>
    <t>10.1130/G33572.1</t>
  </si>
  <si>
    <t>WOS:000314327200030</t>
  </si>
  <si>
    <t>A, G; Wahr, J; Zhong, SJ</t>
  </si>
  <si>
    <t>A, Geruo; Wahr, John; Zhong, Shijie</t>
  </si>
  <si>
    <t>Computations of the viscoelastic response of a 3-D compressible Earth to surface loading: an application to Glacial Isostatic Adjustment in Antarctica and Canada</t>
  </si>
  <si>
    <t>GEOPHYSICAL JOURNAL INTERNATIONAL</t>
  </si>
  <si>
    <t>Time variable gravity; Global change from geodesy; Dynamics of lithosphere and mantle; Antarctica</t>
  </si>
  <si>
    <t>LATERAL VISCOSITY VARIATIONS; FINITE ELEMENT APPROACH; 3-DIMENSIONAL VISCOSITY; MANTLE VISCOSITY; ICE LOSS; RELAXATION; DEFORMATION; INVERSION; INFERENCE; MODEL</t>
  </si>
  <si>
    <t>We develop a 3-D finite-element model to study the viscoelastic response of a compressible Earth to surface loads. The effects of centre of mass motion, polar wander feedback, and self-consistent ocean loading are implemented. To assess the model's accuracy, we benchmark the numerical results against a semi-analytic solution for spherically symmetric structure. We force our model with the ICE-5G global ice loading history to study the effects of laterally varying viscosity structure on several glacial isostatic adjustment (GIA) observables, including relative sea-level (RSL) measurements in Canada, and present-day time-variable gravity and uplift rates in Antarctica. Canadian RSL observations have been used to determine the Earth's globally averaged viscosity profile. Antarctic GPS uplift rates have been used to constrain Antarctic GIA models. And GIA time-variable gravity and uplift signals are error sources for GRACE and altimeter estimates of present-day Antarctic ice mass loss, and must be modelled and removed from those estimates. Computing GIA results for a 3-D viscosity profile derived from a realistic seismic tomography model, and comparing with results computed for 1-D averages of that 3-D profile, we conclude that: (1) a GIA viscosity model based on Canadian relative sea-level data is more likely to represent a Canadian average than a true global average; (2) the effects of 3-D viscosity structure on GRACE estimates of present-day Antarctic mass loss are probably smaller than the difference between GIA models based on different Antarctic deglaciation histories and (3) the effects of 3-D viscosity structure on Antarctic GPS observations of present-day uplift rate can be significant, and can complicate efforts to use GPS observations to constrain 1-D GIA models.</t>
  </si>
  <si>
    <t>[A, Geruo; Wahr, John; Zhong, Shijie] Univ Colorado, Dept Phys, Boulder, CO 80309 USA; [A, Geruo; Wahr, John] Univ Colorado, Cooperat Inst Res Environm Sci, Boulder, CO 80309 USA</t>
  </si>
  <si>
    <t>University of Colorado System; University of Colorado Boulder; University of Colorado System; University of Colorado Boulder</t>
  </si>
  <si>
    <t>A, G (corresponding author), Univ Colorado, Dept Phys, Boulder, CO 80309 USA.</t>
  </si>
  <si>
    <t>geruo.a@colorado.edu</t>
  </si>
  <si>
    <t>Zhong, Shijie/A-5290-2010; A, Geruo/AAP-3565-2020</t>
  </si>
  <si>
    <t>A, Geruo/0000-0001-5714-402X; ZHONG, SHIJIE/0000-0002-1654-1931</t>
  </si>
  <si>
    <t>NASA [NNX08AF02G, NNXI0AR66G]; NSF [NSF-1114168]; Directorate For Geosciences; Division Of Earth Sciences [1114168] Funding Source: National Science Foundation; NASA [NNX08AF02G, 102864] Funding Source: Federal RePORTER</t>
  </si>
  <si>
    <t>NASA(National Aeronautics &amp; Space Administration (NASA)); NSF(National Science Foundation (NSF)); Directorate For Geosciences; Division Of Earth Sciences(National Science Foundation (NSF)NSF - Directorate for Geosciences (GEO)); NASA(National Aeronautics &amp; Space Administration (NASA))</t>
  </si>
  <si>
    <t>This work is partially supported by NASA grants NNX08AF02G and NNXI0AR66G, by NASA's `Making Earth Science Data Records for Use in Research Environments (MEaSUREs) Program', and by NSF grant NSF-1114168, all to the University of Colorado. We thank Mark Tamisiea for helpful discussions, and Patrick Wu and an anonymous reviewer for their careful reviews.</t>
  </si>
  <si>
    <t>0956-540X</t>
  </si>
  <si>
    <t>1365-246X</t>
  </si>
  <si>
    <t>GEOPHYS J INT</t>
  </si>
  <si>
    <t>Geophys. J. Int.</t>
  </si>
  <si>
    <t>10.1093/gji/ggs030</t>
  </si>
  <si>
    <t>071VG</t>
  </si>
  <si>
    <t>Y</t>
  </si>
  <si>
    <t>N</t>
  </si>
  <si>
    <t>WOS:000313623100007</t>
  </si>
  <si>
    <t>Brysse, K; Oreskes, N; O'Reilly, J; Oppenheimer, M</t>
  </si>
  <si>
    <t>Brysse, Keynyn; Oreskes, Naomi; O'Reilly, Jessica; Oppenheimer, Michael</t>
  </si>
  <si>
    <t>Climate change prediction: Erring on the side of least drama?</t>
  </si>
  <si>
    <t>GLOBAL ENVIRONMENTAL CHANGE-HUMAN AND POLICY DIMENSIONS</t>
  </si>
  <si>
    <t>Climate change; Prediction; Scientific norms; Scientific assessment; Erring on the side of least drama</t>
  </si>
  <si>
    <t>TROPICAL CYCLONES; UNCERTAINTY; HURRICANES; INTENSITY; PRECIPITATION; CONSTRAINTS; CONSENSUS; SCIENCE</t>
  </si>
  <si>
    <t>Over the past two decades, skeptics of the reality and significance of anthropogenic climate change have frequently accused climate scientists of alarmism: of over-interpreting or overreacting to evidence of human impacts on the climate system. However, the available evidence suggests that scientists have in fact been conservative in their projections of the impacts of climate change. In particular, we discuss recent studies showing that at least some of the key attributes of global warming from increased atmospheric greenhouse gases have been under-predicted, particularly in IPCC assessments of the physical science, by Working Group I. We also note the less frequent manifestation of over-prediction of key characteristics of climate in such assessments. We suggest, therefore, that scientists are biased not toward alarmism but rather the reverse: toward cautious estimates, where we define caution as erring on the side of less rather than more alarming predictions. We call this tendency erring on the side of least drama (ESLD). We explore some cases of ESLD at work, including predictions of Arctic ozone depletion and the possible disintegration of the West Antarctic ice sheet, and suggest some possible causes of this directional bias, including adherence to the scientific norms of restraint, objectivity, skepticism, rationality, dispassion, and moderation. We conclude with suggestions for further work to identify and explore ESLD. (C) 2012 Elsevier Ltd. All rights reserved.</t>
  </si>
  <si>
    <t>[Brysse, Keynyn] Univ Alberta, Program Sci Technol &amp; Soc, Off Interdisciplinary Studies, Edmonton, AB T6G 2E5, Canada; [Oreskes, Naomi] Univ Calif San Diego, San Diego, CA 92103 USA; [O'Reilly, Jessica] St Johns Univ, Coll St Benedict, Dept Sociol, New York, NY USA; [Oppenheimer, Michael] Princeton Univ, Dept Geosci, Princeton, NJ 08544 USA; [Oppenheimer, Michael] Princeton Univ, Woodrow Wilson Sch Publ &amp; Int Affairs, Princeton, NJ 08544 USA</t>
  </si>
  <si>
    <t>University of Alberta; University of California System; University of California San Diego; Saint John's University; College of Saint Benedict &amp; Saint Johns University; Princeton University; Princeton University</t>
  </si>
  <si>
    <t>Brysse, K (corresponding author), Univ Alberta, Humanities Ctr 1 17, Off Interdisciplinary Studies, Edmonton, AB T6G 2E5, Canada.</t>
  </si>
  <si>
    <t>brysse@ualberta.ca; noreskes@ucsd.edu; jloreilly@csbsju.edu; omichael@princeton.edu</t>
  </si>
  <si>
    <t>Oppenheimer, Michael/0000-0002-9708-5914</t>
  </si>
  <si>
    <t>Carbon Mitigation Initiative (British Petroleum and Princeton University); National Science Foundation [0958378]; Divn Of Social and Economic Sciences; Direct For Social, Behav &amp; Economic Scie [0958378] Funding Source: National Science Foundation</t>
  </si>
  <si>
    <t>Carbon Mitigation Initiative (British Petroleum and Princeton University); National Science Foundation(National Science Foundation (NSF)); Divn Of Social and Economic Sciences; Direct For Social, Behav &amp; Economic Scie(National Science Foundation (NSF)NSF - Directorate for Social, Behavioral &amp; Economic Sciences (SBE))</t>
  </si>
  <si>
    <t>We gratefully acknowledge the financial support of the Carbon Mitigation Initiative (British Petroleum and Princeton University, KB, 2008-2009) and the National Science Foundation (Grant #0958378, all authors, 2011-2012). We would like to thank the editors and the two reviewers for their insightful comments and helpful suggestions on an earlier draft of this paper.</t>
  </si>
  <si>
    <t>0959-3780</t>
  </si>
  <si>
    <t>1872-9495</t>
  </si>
  <si>
    <t>GLOBAL ENVIRON CHANG</t>
  </si>
  <si>
    <t>Glob. Environ. Change-Human Policy Dimens.</t>
  </si>
  <si>
    <t>10.1016/j.gloenvcha.2012.10.008</t>
  </si>
  <si>
    <t>Environmental Sciences; Environmental Studies; Geography</t>
  </si>
  <si>
    <t>Science Citation Index Expanded (SCI-EXPANDED); Social Science Citation Index (SSCI)</t>
  </si>
  <si>
    <t>Environmental Sciences &amp; Ecology; Geography</t>
  </si>
  <si>
    <t>099JL</t>
  </si>
  <si>
    <t>WOS:000315617200029</t>
  </si>
  <si>
    <t>Gooseff, MN; Barrett, JE; Levy, JS</t>
  </si>
  <si>
    <t>Gooseff, Michael N.; Barrett, John E.; Levy, Joseph S.</t>
  </si>
  <si>
    <t>Shallow groundwater systems in a polar desert, McMurdo Dry Valleys, Antarctica</t>
  </si>
  <si>
    <t>HYDROGEOLOGY JOURNAL</t>
  </si>
  <si>
    <t>McMurdo Dry Valleys; Antarctica; Arid regions; Groundwater/surface-water interaction; Active layer hydrology</t>
  </si>
  <si>
    <t>GLACIAL MELTWATER STREAMS; SOUTHERN VICTORIA LAND; TAYLOR VALLEY; ACTIVE-LAYER; HYDROLOGIC MARGINS; TRANSIENT STORAGE; CLIMATE-CHANGE; SOIL; GEOCHEMISTRY; PERMAFROST</t>
  </si>
  <si>
    <t>The McMurdo Dry Valleys (MDVs), Antarctica, exist in a hyperarid polar desert, underlain by deep permafrost. With an annual mean air temperature of -18 A degrees C, the MDVs receive &lt; 10 cm snow-water equivalent each year, collecting in leeward patches across the landscape. The landscape is dominated by expansive ice-free areas of exposed soils, mountain glaciers, permanently ice-covered lakes, and stream channels. An active layer of seasonally thawed soil and sediment extends to less than 1 m from the surface. Despite the cold and low precipitation, liquid water is generated on glaciers and in snow patches during the austral summer, infiltrating the active layer. Across the MDVs, groundwater is generally confined to shallow depths and often in unsaturated conditions. The current understanding and the biogeochemical/ecological significance of four types of shallow groundwater features in the MDVs are reviewed: local soil-moisture patches that result from snow-patch melt, water tracks, wetted margins of streams and lakes, and hyporheic zones of streams. In general, each of these features enhances the movement of solutes across the landscape and generates soil conditions suitable for microbial and invertebrate communities.</t>
  </si>
  <si>
    <t>[Gooseff, Michael N.] Penn State Univ, Dept Civil &amp; Environm Engn, University Pk, PA 16802 USA; [Barrett, John E.] Virginia Tech, Dept Biol Sci, Blacksburg, VA 24061 USA; [Levy, Joseph S.] Oregon State Univ, Coll Earth Ocean &amp; Atmospher Sci, Corvallis, OR 97331 USA</t>
  </si>
  <si>
    <t>Pennsylvania Commonwealth System of Higher Education (PCSHE); Pennsylvania State University; Pennsylvania State University - University Park; Virginia Polytechnic Institute &amp; State University; Oregon State University</t>
  </si>
  <si>
    <t>Gooseff, MN (corresponding author), Penn State Univ, Dept Civil &amp; Environm Engn, 217 Sackett Bldg, University Pk, PA 16802 USA.</t>
  </si>
  <si>
    <t>mgooseff@engr.psu.edu</t>
  </si>
  <si>
    <t>Gooseff, Michael N/N-6087-2015; Barrett, John/D-5851-2016</t>
  </si>
  <si>
    <t>Gooseff, Michael N/0000-0003-4322-8315; Barrett, John/0000-0002-7610-0505; Levy, Joseph/0000-0002-6222-139X</t>
  </si>
  <si>
    <t>NSF [ANT-0851965, ANT-1043785, ANT-0830050, ANT-0838879, ANT-0838922]; Office of Polar Programs (OPP); Directorate For Geosciences [0838850, 1343649] Funding Source: National Science Foundation</t>
  </si>
  <si>
    <t>NSF(National Science Foundation (NSF)); Office of Polar Programs (OPP); Directorate For Geosciences(National Science Foundation (NSF)NSF - Directorate for Geosciences (GEO))</t>
  </si>
  <si>
    <t>The authors gratefully acknowledge their Antarctic collaborators and colleagues, Raytheon Polar Services for logistical support, Petroleum Helicopters, Inc. for logistical support, and funding support from NSF grant numbers, ANT-0851965, ANT-1043785, ANT-0830050, ANT-0838879, and ANT-0838922. Any opinions, findings, and conclusions or recommendations expressed in this material are those of the authors and do not necessarily reflect the views of the National Science Foundation.</t>
  </si>
  <si>
    <t>1431-2174</t>
  </si>
  <si>
    <t>1435-0157</t>
  </si>
  <si>
    <t>HYDROGEOL J</t>
  </si>
  <si>
    <t>Hydrogeol. J.</t>
  </si>
  <si>
    <t>10.1007/s10040-012-0926-3</t>
  </si>
  <si>
    <t>Geosciences, Multidisciplinary; Water Resources</t>
  </si>
  <si>
    <t>Geology; Water Resources</t>
  </si>
  <si>
    <t>081PH</t>
  </si>
  <si>
    <t>WOS:000314333600013</t>
  </si>
  <si>
    <t>Vázquez, S; Nogales, B; Ruberto, L; Mestre, C; Christie-Oleza, J; Ferrero, M; Bosch, R; Mac Cormack, WP</t>
  </si>
  <si>
    <t>Vazquez, S.; Nogales, B.; Ruberto, L.; Mestre, C.; Christie-Oleza, J.; Ferrero, M.; Bosch, R.; Mac Cormack, W. P.</t>
  </si>
  <si>
    <t>Characterization of bacterial consortia from diesel-contaminated Antarctic soils: Towards the design of tailored formulas for bioaugmentation</t>
  </si>
  <si>
    <t>INTERNATIONAL BIODETERIORATION &amp; BIODEGRADATION</t>
  </si>
  <si>
    <t>Bacterial consortium; Antarctica; T-RFLP; Hydrocarbon degradation; Bioremediation</t>
  </si>
  <si>
    <t>POLYCYCLIC AROMATIC-HYDROCARBONS; IN-SITU; BIOREMEDIATION; DIVERSITY; OIL; MINERALIZATION; COMMUNITIES; DYNAMICS</t>
  </si>
  <si>
    <t>In Antarctica, the environmental conditions and the restrictions imposed by the Antarctic Treaty prevent inoculation with foreign bacteria. Therefore, our aim was to investigate native bacterial consortia which might serve to design bacterial formulas suitable for soil bioremediation processes at cold temperatures. Two bacterial consortia, M10 and J13, were isolated from diesel contaminated Antarctic soils. Their ability to use hydrocarbons was evaluated in vitro and by the detection of three catabolic genes (alkB, nahAc, xylE). Both consortia showed similar 16S rRNA gene profiles, suggesting the presence of the same phylotypes. Total 16S rDNA was cloned from MI0 grown on diesel. Sixty clones were screened, grouped by restriction profiles of PCR-amplified inserts and sequenced. T-RFLP (Terminal-Restriction-Fragment-Length-Polymorphism) of clones showed that all phylotypes from the entire consortia were recovered. A culture-dependent approach was used to isolate M10 components able to utilise aliphatic and aromatic hydrocarbons. Pseudomonas, Stenotrophomonas, Pedobacter and Brevundimonas genera were detected. The combination of dependent and independent culture methods allowed elucidating the taxonomic composition of these native bacterial consortia. Further work will assess whether combining the isolates obtained as a defined mixed culture can enhance bioremediation of contaminated soils. (C) 2012 Elsevier Ltd. All rights reserved.</t>
  </si>
  <si>
    <t>[Vazquez, S.; Ruberto, L.; Mestre, C.] Univ Buenos Aires, Fac Farm &amp; Bioquim, Catedra Biotecnol, RA-1113 Buenos Aires, DF, Argentina; [Vazquez, S.; Ruberto, L.] Consejo Nacl Invest Cient &amp; Tecn, RA-1033 Buenos Aires, DF, Argentina; [Nogales, B.; Christie-Oleza, J.; Bosch, R.] Univ Illes Balears, Dept Biol, Area Microbiol, Palma De Mallorca, Spain; [Ferrero, M.] PROIMI, San Miguel De Tucuman, Argentina; [Mac Cormack, W. P.] Inst Antartico Argentino, Direcc Nacl Antartico, Buenos Aires, DF, Argentina</t>
  </si>
  <si>
    <t>University of Buenos Aires; Consejo Nacional de Investigaciones Cientificas y Tecnicas (CONICET); Universitat de les Illes Balears; Instituto Antartico Argentino</t>
  </si>
  <si>
    <t>Vázquez, S (corresponding author), Univ Buenos Aires, Fac Farm &amp; Bioquim, Catedra Biotecnol, Junin 956 6 Piso, RA-1113 Buenos Aires, DF, Argentina.</t>
  </si>
  <si>
    <t>svazquez@ffyb.uba.ar</t>
  </si>
  <si>
    <t>Vazquez, Susana/AEP-5214-2022; Bosch, Rafael/HKW-0778-2023; Christie-Oleza, Joseph Alexander/AAB-5447-2019; Christie-Oleza, Joseph/B-5207-2011; Bosch, Rafael/K-2127-2019; Bosch, Rafael/C-1563-2014; Christie-Oleza, Joseph/AAJ-7581-2021; Nogales, Balbina/L-4012-2014</t>
  </si>
  <si>
    <t>Vazquez, Susana/0000-0002-0760-6254; Bosch, Rafael/0000-0002-5140-4684; Christie-Oleza, Joseph Alexander/0000-0002-0992-2226; Bosch, Rafael/0000-0002-5140-4684; Mac Cormack, Walter/0000-0002-5280-5463; Ruberto, Lucas Adolfo Mauro/0000-0001-5604-772X; Nogales, Balbina/0000-0001-5769-9500</t>
  </si>
  <si>
    <t>Argentinean Antarctic Institute (IAA) [42]; National Agency for Scientific and Technical Research [PICTO 11555]; University of Buenos Aires [UBACyT U007]; Spanish Ministry of Education and Science (MEC) [VEM2003-20565, CTM2005-01783]; MEC; Balearics Autonomous Government; Argentinean Research Council (CONICET); Scientific-Technical Services of the UIB</t>
  </si>
  <si>
    <t>Argentinean Antarctic Institute (IAA); National Agency for Scientific and Technical Research; University of Buenos Aires(University of Buenos Aires); Spanish Ministry of Education and Science (MEC)(Spanish Government); MEC; Balearics Autonomous Government; Argentinean Research Council (CONICET)(Consejo Nacional de Investigaciones Cientificas y Tecnicas (CONICET)); Scientific-Technical Services of the UIB</t>
  </si>
  <si>
    <t>This research was supported by grants from the Argentinean Antarctic Institute (IAA no. 42), the National Agency for Scientific and Technical Research (PICTO 11555), and the University of Buenos Aires (UBACyT U007). Research at the University of the Balearic Islands (UIB) was supported by grants VEM2003-20565 and CTM2005-01783 from the Spanish Ministry of Education and Science (MEC). BN was supported by a contract from the program Ramon y Cajal from MEC, and JC-O by a fellowship of the Balearics Autonomous Government. SV was the recipient of a travel fellowship from the Argentinean Research Council (CONICET). Both the assistance of logistic personnel at Carlini Antarctic Station and the support of the Scientific-Technical Services of the UIB during the operation of the genetic analyzer for fragment analysis are highly appreciated. We thank Dr. Jorge Lalucat for his valuable support in the development of this work and Dr. Fernando Mendive for his collaboration in the design of oligonucleotides.</t>
  </si>
  <si>
    <t>0964-8305</t>
  </si>
  <si>
    <t>1879-0208</t>
  </si>
  <si>
    <t>INT BIODETER BIODEGR</t>
  </si>
  <si>
    <t>Int. Biodeterior. Biodegrad.</t>
  </si>
  <si>
    <t>10.1016/j.ibiod.2012.11.002</t>
  </si>
  <si>
    <t>Biotechnology &amp; Applied Microbiology; Environmental Sciences</t>
  </si>
  <si>
    <t>Biotechnology &amp; Applied Microbiology; Environmental Sciences &amp; Ecology</t>
  </si>
  <si>
    <t>110EZ</t>
  </si>
  <si>
    <t>WOS:000316426700004</t>
  </si>
  <si>
    <t>Srinivas, TNR; Prasad, S; Manasa, P; Sailaja, B; Begum, Z; Shivaji, S</t>
  </si>
  <si>
    <t>Srinivas, T. N. R.; Prasad, S.; Manasa, P.; Sailaja, B.; Begum, Z.; Shivaji, S.</t>
  </si>
  <si>
    <t>Lacinutrix himadriensis sp nov., a psychrophilic bacterium isolated from a marine sediment, and emended description of the genus Lacinutrix</t>
  </si>
  <si>
    <t>INTERNATIONAL JOURNAL OF SYSTEMATIC AND EVOLUTIONARY MICROBIOLOGY</t>
  </si>
  <si>
    <t>FAMILY FLAVOBACTERIACEAE; MEMBERS</t>
  </si>
  <si>
    <t>A novel Gram-negative, rod-shaped, non-motile, psychrophilic bacterium, designated strain E4-9a(T), was isolated from a marine sediment sample collected at a depth of 276 m from Kongsfjorden, Svalbard, in the Arctic Ocean. The colony colour was golden yellow. Strain E4-9a(T) was positive for amylase activity at 5 degrees C. The predominant fatty acids were iso-C-15:1 G (21.8%), anteiso-C-15:0 (19.1%), anteiso-C-15:1 A (18.6%), iso-C-15:0 (13.8%) and iso-C-16:1 H (6.4%). Strain E4-9a(T) contained MK-6 as the major respiratory quinone. The polar lipids consisted of phosphatidylethanolamine, three unidentified aminolipids (AL1, AL4 and AL5), an unidentified phospholipid and four unidentified lipids (L1, L4 to L6). Based on 16S rRNA gene sequence similarity, it was ascertained that the closest related species to E4-9a(T) were Lacinutrix copepodicola, L. algicola and L. mariniflava, with sequence similarity to the respective type strains of 98.5, 96.5 and 95.8%. Phylogenetic analysis showed that strain E4-9a(T) clustered with the type strain of L. copepodicola and with those of L. algicola and L. mariniflava at distances of 1.5 and 4.8% (98.5 and 95.2% similarity), respectively. However, DNA-DNA hybridization with L. copepodicola DJ3(T) showed 59% relatedness with respect to strain E4-9a(T). The DNA G+C content of strain E4-9a(T) was 29 mol%. Based on the results of DNA-DNA hybridization and phenotypic data, it appears that strain E4-9a(T) represents a novel species of the genus Lacinutrix, for which the name Lacinutrix himadriensis sp. nov. is proposed. The type strain is E4-9a(T) (=CIP 110310(T) =KCTC 23612(T)).</t>
  </si>
  <si>
    <t>[Srinivas, T. N. R.; Prasad, S.; Manasa, P.; Sailaja, B.; Begum, Z.; Shivaji, S.] Ctr Cellular &amp; Mol Biol, Hyderabad 500007, Andhra Pradesh, India</t>
  </si>
  <si>
    <t>Council of Scientific &amp; Industrial Research (CSIR) - India; CSIR - Centre for Cellular &amp; Molecular Biology (CCMB)</t>
  </si>
  <si>
    <t>Shivaji, S (corresponding author), Ctr Cellular &amp; Mol Biol, Uppal Rd, Hyderabad 500007, Andhra Pradesh, India.</t>
  </si>
  <si>
    <t>shivas@ccmb.res.in</t>
  </si>
  <si>
    <t>Prasad, Sathish/AAH-5305-2020; TANUKU, SRINIVAS N R/F-1029-2013</t>
  </si>
  <si>
    <t>Bhamidimarri, Poorna Manasa/0000-0002-7418-0492; shivaji, sisinthy/0000-0003-0376-4658</t>
  </si>
  <si>
    <t>National Centre for Antarctic and Ocean Research, Goa; CSIR Network Project on Exploitation of India's rich microbial diversity [NWP0006]; CSIR, Government of India</t>
  </si>
  <si>
    <t>National Centre for Antarctic and Ocean Research, Goa; CSIR Network Project on Exploitation of India's rich microbial diversity; CSIR, Government of India(Council of Scientific &amp; Industrial Research (CSIR) - India)</t>
  </si>
  <si>
    <t>S. S. is thankful to the National Centre for Antarctic and Ocean Research, Goa, and the CSIR Network Project on Exploitation of India's rich microbial diversity (NWP0006) for funding. T. N. R. S. acknowledges the CSIR, Government of India, for the award of a Research Associateship. We would like to thank Dr John P. Bowman, School of Agricultural Science, University of Tasmania, Australia, for providing the type strain L. copepodicola DJ3T for comparative characterization.</t>
  </si>
  <si>
    <t>MICROBIOLOGY SOC</t>
  </si>
  <si>
    <t>CHARLES DARWIN HOUSE, 12 ROGER ST, LONDON WC1N 2JU, ERKS, ENGLAND</t>
  </si>
  <si>
    <t>1466-5026</t>
  </si>
  <si>
    <t>1466-5034</t>
  </si>
  <si>
    <t>INT J SYST EVOL MICR</t>
  </si>
  <si>
    <t>Int. J. Syst. Evol. Microbiol.</t>
  </si>
  <si>
    <t>10.1099/ijs.0.040907-0</t>
  </si>
  <si>
    <t>120KY</t>
  </si>
  <si>
    <t>WOS:000317170400053</t>
  </si>
  <si>
    <t>Leung, TLF; Bates, AE</t>
  </si>
  <si>
    <t>Leung, Tommy L. F.; Bates, Amanda E.</t>
  </si>
  <si>
    <t>More rapid and severe disease outbreaks for aquaculture at the tropics: implications for food security</t>
  </si>
  <si>
    <t>JOURNAL OF APPLIED ECOLOGY</t>
  </si>
  <si>
    <t>climate change adaptation; disease; epidemiology; epizootics; latitudinal trend</t>
  </si>
  <si>
    <t>CLIMATE-CHANGE; LATITUDINAL GRADIENTS; MARINE; ECOLOGY; RISKS; FISH; BIOSECURITY; PATHOGENS; COMMUNITY; VIRULENCE</t>
  </si>
  <si>
    <t>Aquaculture is replacing capture fisheries in supplying the world with dietary protein. Although disease is a major threat to aquaculture production, the underlying global epidemiological patterns are unknown. We analysed disease outbreak severity across different latitudes in a diverse range of aquaculture systems. Disease at lower latitudes progresses more rapidly and results in higher cumulative mortality, in particular at early stages of development and in shellfish. Tropical countries suffer proportionally greater losses in aquaculture during disease outbreaks and have less time to mitigate losses. Synthesis and applications. Disease can present a major problem for food production and security in equatorial regions where fish and shellfish provide a major source of dietary protein. As the incidences of some infectious diseases may increase with climate change, adaptation strategies must consider global patterns in disease vulnerability of aquaculture and develop options to minimize impacts on food production.</t>
  </si>
  <si>
    <t>[Leung, Tommy L. F.] Univ New England, Ctr Behav &amp; Physiol Ecol, Armidale, NSW 2351, Australia; [Bates, Amanda E.] Univ Tasmania, Inst Marine &amp; Antarctic Studies, Taroona, Tas 7001, Australia; [Bates, Amanda E.] Deakin Univ, Sch Life &amp; Environm Sci, Warrnambool, Vic 3280, Australia</t>
  </si>
  <si>
    <t>University of New England; University of Tasmania; Deakin University</t>
  </si>
  <si>
    <t>Leung, TLF (corresponding author), Univ New England, Ctr Behav &amp; Physiol Ecol, Armidale, NSW 2351, Australia.</t>
  </si>
  <si>
    <t>tleung6@une.edu.au</t>
  </si>
  <si>
    <t>Bates, Amanda E./ABD-6874-2021</t>
  </si>
  <si>
    <t>Bates, Amanda E./0000-0002-0198-4537; Leung, Tommy/0000-0003-4628-3176</t>
  </si>
  <si>
    <t>0021-8901</t>
  </si>
  <si>
    <t>1365-2664</t>
  </si>
  <si>
    <t>J APPL ECOL</t>
  </si>
  <si>
    <t>J. Appl. Ecol.</t>
  </si>
  <si>
    <t>10.1111/1365-2644.12017</t>
  </si>
  <si>
    <t>084EP</t>
  </si>
  <si>
    <t>WOS:000314520500024</t>
  </si>
  <si>
    <t>Teoh, ML; Phang, SM; Chu, WL</t>
  </si>
  <si>
    <t>Teoh, Ming-Li; Phang, Siew-Moi; Chu, Wan-Loy</t>
  </si>
  <si>
    <t>Response of Antarctic, temperate, and tropical microalgae to temperature stress</t>
  </si>
  <si>
    <t>JOURNAL OF APPLIED PHYCOLOGY</t>
  </si>
  <si>
    <t>Antarctic microalgae; Temperature stress; Chlamydomonas; Chlorella; Diatoms</t>
  </si>
  <si>
    <t>FATTY-ACID-COMPOSITION; CLIMATE-CHANGE; LIPID-CONTENT; ULTRAVIOLET-RADIATION; CHLORELLA-VULGARIS; CHLAMYDOMONAS SP; GROWTH-RATES; HEAT-WAVE; PHOTOSYNTHESIS; ACCLIMATION</t>
  </si>
  <si>
    <t>The global temperature increase has significant implications on the survival of microalgae which form the basis of all aquatic food webs. The aim of this study was to compare the response of similar taxa of microalgae from the Antarctic (Chlamydomonas UMACC 229, Chlorella UMACC 237, and Navicula glaciei UMACC 231), temperate (Chlamydomonas augustae UMACC 247, Chlorella vulgaris UMACC 248, and Navicula incerta UMACC 249), and tropical (C. augustae UMACC 246, C. vulgaris UMACC 001, and Amphiprora UMACC 239) regions to changing temperature. The Antarctic, temperate, and tropical strains were grown over specific temperature ranges of 4 A degrees C to 30 A degrees C, 4 A degrees C to 32 A degrees C, and 13 A degrees C to 38 A degrees C, respectively. The three Antarctic strains survived at temperatures much higher than their ambient regime. In comparison, the tropical strains are already growing at their upper temperature limits. The three Chlorella strains from different regions are eurythermal, with a large overlap on tolerance ranging from 4 A degrees C to 38 A degrees C. The specific growth rate (mu) of the Antarctic Navicula decreased (&lt; 0.34 day(-1)) at temperatures above 4 A degrees C, showing it to be sensitive to temperature increase. If further warming of Earth occurs, N. glaciei UMACC 231 is likely to have the most deleterious consequences than the other two Antarctic microalgae studied. The percentage of polyunsaturated fatty acids (PUFA) decreased with increasing temperature in the Antarctic Navicula. As temperature increases, the growth and nutritional value of this commonly occurring diatom in the Antarctic may decrease, with consequences for the aquatic food web. Of the three Chlamydomonas strains, only the Antarctic strain produced predominantly PUFA, especially 16:3 (48.4-57.2 % total fatty acids).</t>
  </si>
  <si>
    <t>[Teoh, Ming-Li; Phang, Siew-Moi] Univ Malaya, Inst Ocean &amp; Earth Sci, Kuala Lumpur 50603, Malaysia; [Phang, Siew-Moi] Univ Malaya, Fac Sci, Inst Biol Sci, Kuala Lumpur 50603, Malaysia; [Chu, Wan-Loy] Int Med Univ, Kuala Lumpur 57000, Malaysia</t>
  </si>
  <si>
    <t>Universiti Malaya; Universiti Malaya; International Medical University Malaysia</t>
  </si>
  <si>
    <t>Phang, SM (corresponding author), Univ Malaya, Fac Sci, Inst Biol Sci, Kuala Lumpur 50603, Malaysia.</t>
  </si>
  <si>
    <t>phang@um.edu.my</t>
  </si>
  <si>
    <t>Phang, Siew Moi/A-7653-2008; Chu, Wan-Loy/A-6896-2011</t>
  </si>
  <si>
    <t>Teoh, Ming Li/0000-0001-7979-6045; Chu, Wan-Loy/0000-0002-1676-4131</t>
  </si>
  <si>
    <t>Ministry of Science, Technology, and Innovation (MOSTI), Malaysia; Academy of Sciences Malaysia (ASM); MOSTI; International Polar Year (IPY) Project (EOI) under the consortium project [96, IPY EOI 429]</t>
  </si>
  <si>
    <t>Ministry of Science, Technology, and Innovation (MOSTI), Malaysia(Ministry of Energy, Science, Technology, Environment and Climate Change (MESTECC), Malaysia); Academy of Sciences Malaysia (ASM); MOSTI(Ministry of Energy, Science, Technology, Environment and Climate Change (MESTECC), Malaysia); International Polar Year (IPY) Project (EOI) under the consortium project</t>
  </si>
  <si>
    <t>This study was funded by a research grant from the Ministry of Science, Technology, and Innovation (MOSTI), Malaysia, coordinated by the Academy of Sciences Malaysia (ASM). The first author would like to thank MOSTI for the Pasca Postgraduate Fellowship. Thanks are also due to the berths offered by the Australian Antarctic Division (AAD) and the staff of Casey Station, Antarctica, for their field assistance in sample collection. This research formed part of the International Polar Year (IPY) Project (EOI No. 96) under the consortium project (IPY EOI 429) on Microbiological and Ecological Responses to Global Environmental Changes in Polar Regions (MERGE).</t>
  </si>
  <si>
    <t>0921-8971</t>
  </si>
  <si>
    <t>1573-5176</t>
  </si>
  <si>
    <t>J APPL PHYCOL</t>
  </si>
  <si>
    <t>J. Appl. Phycol.</t>
  </si>
  <si>
    <t>10.1007/s10811-012-9863-8</t>
  </si>
  <si>
    <t>Biotechnology &amp; Applied Microbiology; Marine &amp; Freshwater Biology</t>
  </si>
  <si>
    <t>072FT</t>
  </si>
  <si>
    <t>WOS:000313655400031</t>
  </si>
  <si>
    <t>Teets, NM; Kawarasaki, Y; Lee, RE; Denlinger, DL</t>
  </si>
  <si>
    <t>Teets, Nicholas M.; Kawarasaki, Yuta; Lee, Richard E., Jr.; Denlinger, David L.</t>
  </si>
  <si>
    <t>Expression of genes involved in energy mobilization and osmoprotectant synthesis during thermal and dehydration stress in the Antarctic midge, Belgica antarctica</t>
  </si>
  <si>
    <t>JOURNAL OF COMPARATIVE PHYSIOLOGY B-BIOCHEMICAL SYSTEMS AND ENVIRONMENTAL PHYSIOLOGY</t>
  </si>
  <si>
    <t>Antarctic midge; Gluconeogenesis; Trehalose; Freeze tolerance; Dehydration stress</t>
  </si>
  <si>
    <t>HEAT-SHOCK; CRYOPROTECTIVE DEHYDRATION; DROSOPHILA-MELANOGASTER; FREEZING TOLERANCE; COLD TOLERANCE; LIFE-HISTORY; FLY LARVA; WOOD FROG; GALL FLY; MECHANISMS</t>
  </si>
  <si>
    <t>The Antarctic midge, Belgica antarctica, experiences sub-zero temperatures and desiccating conditions for much of the year, and in response to these environmental insults, larvae undergo rapid shifts in metabolism, mobilizing carbohydrate energy reserves to promote synthesis of low-molecular-mass osmoprotectants. In this study, we measured the expression of 11 metabolic genes in response to thermal and dehydration stress. During both heat and cold stress, we observed upregulation of phosphoenolpyruvate carboxykinase (pepck) and glycogen phosphorylase (gp) to support rapid glucose mobilization. In contrast, there was a general downregulation of pathways related to polyol, trehalose, and proline synthesis during both high- and low-temperature stress. Pepck was likewise upregulated in response to different types of dehydration stress; however, for many of the other genes, expression patterns depended on the nature of dehydration stress. Following fast dehydration, expression patterns were similar to those observed during thermal stress, i.e., upregulation of gp accompanied by downregulation of trehalose and proline synthetic genes. In contrast, gradual, prolonged dehydration (both at a constant temperature and in conjunction with chilling) promoted marked upregulation of genes responsible for trehalose and proline synthesis. On the whole, our data agree with known metabolic adaptations to stress in B. antarctica, although a few discrepancies between gene expression patterns and downstream metabolite contents point to fluxes that are not controlled at the level of transcription.</t>
  </si>
  <si>
    <t>[Teets, Nicholas M.; Denlinger, David L.] Ohio State Univ, Dept Entomol, Columbus, OH 43210 USA; [Kawarasaki, Yuta; Lee, Richard E., Jr.] Miami Univ, Dept Zool, Oxford, OH 45056 USA; [Denlinger, David L.] Ohio State Univ, Dept Evolut Ecol &amp; Organismal Biol, Columbus, OH 43210 USA</t>
  </si>
  <si>
    <t>University System of Ohio; Ohio State University; University System of Ohio; Miami University; University System of Ohio; Ohio State University</t>
  </si>
  <si>
    <t>Teets, NM (corresponding author), Ohio State Univ, Dept Entomol, 1735 Neil Ave, Columbus, OH 43210 USA.</t>
  </si>
  <si>
    <t>teets.23@osu.edu</t>
  </si>
  <si>
    <t>Teets, Nicholas/IQT-5328-2023; Kawarasaki, Yuta/AAD-4032-2019; Teets, Nicholas/H-7386-2013</t>
  </si>
  <si>
    <t>Teets, Nicholas/0000-0003-0963-7457</t>
  </si>
  <si>
    <t>NSF [OPP-ANT-0837613, ANT-0837559]; Office of Polar Programs (OPP); Directorate For Geosciences [0837559, 0837613] Funding Source: National Science Foundation</t>
  </si>
  <si>
    <t>We thank the staff at Palmer Station for their excellent support during our field season. We acknowledge Justin Peyton for his assistance with the Belgica genome data and for providing the Matlab script for qPCR analysis. We also thank Dr. Tom Teets for help preparing Fig. 1 and Kevin Stevenson for technical assistance with qPCR standard curves. This work was supported in part by NSF OPP-ANT-0837613 and ANT-0837559.</t>
  </si>
  <si>
    <t>1432-136X</t>
  </si>
  <si>
    <t>10.1007/s00360-012-0707-2</t>
  </si>
  <si>
    <t>WOS:000314273800003</t>
  </si>
  <si>
    <t>Biskaborn, BK; Herzschuh, U; Bolshiyanov, D; Savelieva, L; Zibulski, R; Diekmann, B</t>
  </si>
  <si>
    <t>Biskaborn, B. K.; Herzschuh, U.; Bolshiyanov, D.; Savelieva, L.; Zibulski, R.; Diekmann, B.</t>
  </si>
  <si>
    <t>Late Holocene thermokarst variability inferred from diatoms in a lake sediment record from the Lena Delta, Siberian Arctic</t>
  </si>
  <si>
    <t>JOURNAL OF PALEOLIMNOLOGY</t>
  </si>
  <si>
    <t>Diatoms; Aquatic ecosystem; Arga Complex; Paleolimnology; Paleoecology; Lake sediment core</t>
  </si>
  <si>
    <t>RIVER DELTA; TUKTOYAKTUK COASTLANDS; DISTRIBUTION PATTERNS; MACKENZIE DELTA; HISTORY; POLLEN; ASSEMBLAGES; DYNAMICS; CLIMATE</t>
  </si>
  <si>
    <t>Thermokarst lakes in the Siberian Arctic contain sediment archives that can be used for paleoenvironmental inference. Until now, however, there has been no study from the inner Lena River Delta with a focus on diatoms. The objective of this study was to investigate how the diatom community in a thermokarst lake responded to past limnogeological changes and what specific factors drove variations in the diatom assemblage. We analysed fossil diatom species, organic content, grain-size distribution and elemental composition in a sediment core retrieved in 2009 from a shallow thermokarst lake in the Arga Complex, western Lena River Delta. The core contains a 3,000-year record of sediment accumulation. Shifts in the predominantly benthic and epiphytic diatom species composition parallel changes in sediment characteristics. Paleoenvironmental and limnogeological development, inferred from multiple biological and sedimentological variables, are discussed in the context of four diatom zones, and indicate a strong relation between changes in the diatom assemblage and thermokarst processes. We conclude that limnogeological and thermokarst processes such as lake drainage, rather than direct climate forcing, were the main factors that altered the aquatic ecosystem by influencing, for example, habitat availability, hydrochemistry, and water level.</t>
  </si>
  <si>
    <t>[Biskaborn, B. K.; Herzschuh, U.; Zibulski, R.; Diekmann, B.] Alfred Wegener Inst Polar &amp; Marine Res, Potsdam, Germany; [Bolshiyanov, D.] Arctic &amp; Antarctic Res Inst, St Petersburg 199226, Russia; [Savelieva, L.] St Petersburg State Univ, St Petersburg, Russia</t>
  </si>
  <si>
    <t>Helmholtz Association; Alfred Wegener Institute, Helmholtz Centre for Polar &amp; Marine Research; Arctic &amp; Antarctic Research Institute; Saint Petersburg State University</t>
  </si>
  <si>
    <t>Biskaborn, BK (corresponding author), Alfred Wegener Inst Polar &amp; Marine Res, Potsdam, Germany.</t>
  </si>
  <si>
    <t>boris.biskaborn@awi.de</t>
  </si>
  <si>
    <t>Biskaborn, Boris K./D-2419-2011; Savelieva, Larisa/H-9135-2013</t>
  </si>
  <si>
    <t>Biskaborn, Boris K./0000-0003-2378-0348; Savelieva, Larisa/0000-0003-2749-7603; Herzschuh, Ulrike/0000-0003-0999-1261; Diekmann, Bernhard/0000-0001-5129-3649</t>
  </si>
  <si>
    <t>Alfred Wegener Institute for Polar and Marine Research (AWI); POLMAR Graduate School</t>
  </si>
  <si>
    <t>This study was financed by the Alfred Wegener Institute for Polar and Marine Research (AWI) and the POLMAR Graduate School. Our laboratory analyses were conducted at the AWI, at the GeoForschungsZentrum in Potsdam and at the University of Potsdam, in cooperation with Roland Oberhansli. We thank John Smol for providing helpful literature. We are also grateful to all participants in the helicopter expedition for their dedication. Special thanks go to two anonymous reviewers, whose comments and suggestions greatly improved the quality of the paper.</t>
  </si>
  <si>
    <t>0921-2728</t>
  </si>
  <si>
    <t>1573-0417</t>
  </si>
  <si>
    <t>J PALEOLIMNOL</t>
  </si>
  <si>
    <t>J. Paleolimn.</t>
  </si>
  <si>
    <t>10.1007/s10933-012-9650-1</t>
  </si>
  <si>
    <t>Environmental Sciences; Geosciences, Multidisciplinary; Limnology</t>
  </si>
  <si>
    <t>Environmental Sciences &amp; Ecology; Geology; Marine &amp; Freshwater Biology</t>
  </si>
  <si>
    <t>074EJ</t>
  </si>
  <si>
    <t>WOS:000313795300004</t>
  </si>
  <si>
    <t>Spence, P; van Sebille, E; Saenko, OA; England, MH</t>
  </si>
  <si>
    <t>Spence, Paul; van Sebille, Erik; Saenko, Oleg A.; England, Matthew H.</t>
  </si>
  <si>
    <t>Using Eulerian and Lagrangian Approaches to Investigate Wind-Driven Changes in the Southern Ocean Abyssal Circulation</t>
  </si>
  <si>
    <t>JOURNAL OF PHYSICAL OCEANOGRAPHY</t>
  </si>
  <si>
    <t>ANTARCTIC CIRCUMPOLAR CURRENT; BOTTOM PRESSURE TORQUES; OVERTURNING CIRCULATION; CLIMATE-CHANGE; DEEP-WATER; TOPOGRAPHY; MODEL; THERMOHALINE; VARIABILITY; TRANSPORT</t>
  </si>
  <si>
    <t>[Spence, Paul; van Sebille, Erik; England, Matthew H.] Univ New S Wales, Climate Change Res Ctr, Sydney, NSW 2052, Australia; [Spence, Paul; van Sebille, Erik; England, Matthew H.] Univ New S Wales, ARC Ctr Excellence Climate Syst Sci, Sydney, NSW 2052, Australia; [Saenko, Oleg A.] Environm Canada, Canadian Ctr Climate Modelling &amp; Anal, Victoria, BC, Canada</t>
  </si>
  <si>
    <t>University of New South Wales Sydney; ARC Centre of Excellence for Climate System Science; University of New South Wales Sydney; Environment &amp; Climate Change Canada; Canadian Centre for Climate Modelling &amp; Analysis (CCCma)</t>
  </si>
  <si>
    <t>Spence, P (corresponding author), Univ New S Wales, Climate Change Res Ctr, Level 4,Mathews Bldg, Sydney, NSW 2052, Australia.</t>
  </si>
  <si>
    <t>paul.spence@unsw.edu.au</t>
  </si>
  <si>
    <t>van Sebille, Erik/F-6781-2010; England, Matthew/A-7539-2011; Spence, Paul/IZE-7366-2023</t>
  </si>
  <si>
    <t>England, Matthew/0000-0001-9696-2930; Spence, Paul/0000-0001-5156-2204</t>
  </si>
  <si>
    <t>ARC [CE110001028, DE130101336, FL100100214]</t>
  </si>
  <si>
    <t>ARC(Australian Research Council)</t>
  </si>
  <si>
    <t>We are grateful for the computing support of Andrew Weaver and the University of Victoria Climate Lab. We also thank J. Fyfe for supplying the projected wind anomalies. This research was supported in part via Grants CE110001028, DE130101336, and FL100100214 from the ARC. Infrastructure support from the University of New South Wales is acknowledged. We thank R. Gerdes for helpful discussions.</t>
  </si>
  <si>
    <t>0022-3670</t>
  </si>
  <si>
    <t>1520-0485</t>
  </si>
  <si>
    <t>J PHYS OCEANOGR</t>
  </si>
  <si>
    <t>J. Phys. Oceanogr.</t>
  </si>
  <si>
    <t>AA3VV</t>
  </si>
  <si>
    <t>WOS:000331024200001</t>
  </si>
  <si>
    <t>Waterman, S; Garabato, ACN; Polzin, KL</t>
  </si>
  <si>
    <t>Waterman, Stephanie; Garabato, Alberto C. Naveira; Polzin, Kurt L.</t>
  </si>
  <si>
    <t>Internal Waves and Turbulence in the Antarctic Circumpolar Current</t>
  </si>
  <si>
    <t>SOUTHERN-OCEAN; INERTIAL MOTIONS; MIXED-LAYER; ENERGY FLUX; DISSIPATION; SCALE; SHEAR; WIND; TOPOGRAPHY; PROFILES</t>
  </si>
  <si>
    <t>This study reports on observations of turbulent dissipation and internal wave-scale flow properties in a standing meander of the Antarctic Circumpolar Current (ACC) north of the Kerguelen Plateau. The authors characterize the intensity and spatial distribution of the observed turbulent dissipation and the derived turbulent mixing, and consider underpinning mechanisms in the context of the internal wave field and the processes governing the waves' generation and evolution. The turbulent dissipation rate and the derived diapycnal diffusivity are highly variable with systematic depth dependence. The dissipation rate is generally enhanced in the upper 1000-1500 m of the water column, and both the dissipation rate and diapycnal diffusivity are enhanced in some places near the seafloor, commonly in regions of rough topography and in the vicinity of strong bottom flows associated with the ACC jets. Turbulent dissipation is high in regions where internal wave energy is high, consistent with the idea that interior dissipation is related to a breaking internal wave field. Elevated turbulence occurs in association with downward-propagating near-inertial waves within 1-2 km of the surface, as well as with upward-propagating, relatively high-frequency waves within 1-2 km of the seafloor. While an interpretation of these near-bottom waves as lee waves generated by ACC jets flowing over small-scale topographic roughness is supported by the qualitative match between the spatial patterns in predicted lee wave radiation and observed near-bottom dissipation, the observed dissipation is found to be only a small percentage of the energy flux predicted by theory. The mismatch suggests an alternative fate to local dissipation for a significant fraction of the radiated energy.</t>
  </si>
  <si>
    <t>[Waterman, Stephanie; Garabato, Alberto C. Naveira] Univ Southampton, Natl Oceanog Ctr, Southampton, Hants, England; [Polzin, Kurt L.] Woods Hole Oceanog Inst, Woods Hole, MA 02543 USA</t>
  </si>
  <si>
    <t>NERC National Oceanography Centre; University of Southampton; Woods Hole Oceanographic Institution</t>
  </si>
  <si>
    <t>Waterman, S (corresponding author), Univ New S Wales, Climate Change Res Ctr, Sydney, NSW 2052, Australia.</t>
  </si>
  <si>
    <t>snw@alum.mit.edu</t>
  </si>
  <si>
    <t>Waterman, Stephanie/AAY-6033-2020; Garabato, Alberto Naveira/AAQ-1114-2020</t>
  </si>
  <si>
    <t>Waterman, Stephanie/0000-0001-5797-1092; Garabato, Alberto Naveira/0000-0001-6071-605X</t>
  </si>
  <si>
    <t>U.K.'s Natural Environmental Research Council (NERC) [NE/G001510/1]; Rockland Scientific International; Grantham Institute for Climate Change, Imperial College London; NERC Advanced Research Fellowship [NE/C517633/1]; Woods Hole Oceanographic Institution; NERC [NE/G001510/1] Funding Source: UKRI; Natural Environment Research Council [NE/C517633/1, NE/G001510/1] Funding Source: researchfish</t>
  </si>
  <si>
    <t>U.K.'s Natural Environmental Research Council (NERC)(UK Research &amp; Innovation (UKRI)Natural Environment Research Council (NERC)); Rockland Scientific International; Grantham Institute for Climate Change, Imperial College London; NERC Advanced Research Fellowship(UK Research &amp; Innovation (UKRI)Natural Environment Research Council (NERC)); Woods Hole Oceanographic Institution; NERC(UK Research &amp; Innovation (UKRI)Natural Environment Research Council (NERC)); Natural Environment Research Council(UK Research &amp; Innovation (UKRI)Natural Environment Research Council (NERC))</t>
  </si>
  <si>
    <t>The SOFine project is funded by the U.K.'s Natural Environmental Research Council (NERC) (Grant NE/G001510/1). The VMP-5500 was also purchased with this support. We thankfully acknowledge the support of Rockland Scientific International, especially for their timely advice delivered during the SOFine expedition. We are particularly grateful to all the scientists, technicians, officers and crew of the RRS James Cook for their hard work in making the SOFine cruise a very successful one. SW acknowledges the support of the Grantham Institute for Climate Change, Imperial College London. ACNG acknowledges the support of a NERC Advanced Research Fellowship (Grant NE/C517633/1). KLP acknowledges support from Woods Hole Oceanographic Institution bridge support funds. We thank Alex Forryan for processing the LADCP data in multiple ways. We thank Maxim Nikurashin for supplying the small-scale topographic data, and for his assistance with a number of concepts. Finally, we thank Eric Kunze for useful discussions.</t>
  </si>
  <si>
    <t>10.1175/JPO-D-11-0194.1</t>
  </si>
  <si>
    <t>108NW</t>
  </si>
  <si>
    <t>WOS:000316303600003</t>
  </si>
  <si>
    <t>Årthun, M; Nicholls, KW; Boehme, L</t>
  </si>
  <si>
    <t>Arthun, Marius; Nicholls, Keith W.; Boehme, Lars</t>
  </si>
  <si>
    <t>Wintertime Water Mass Modification near an Antarctic Ice Front</t>
  </si>
  <si>
    <t>SEA-ICE; WEDDELL SEA; SOUTHERN-OCEAN; COASTAL POLYNYAS; BOTTOM WATER; SHELF; RONNE; MODEL; CIRCULATION; SALINITY</t>
  </si>
  <si>
    <t>Under ice measurements by seals carrying a miniaturized conductivity-temperature-depth (CTD) instrument fill an important gap in existing observations. Here the authors present data from an instrumented Weddell seal that spent eight consecutive months (February-September) foraging in close proximity to the Filchner Ice Shelf, thus providing detailed information about the evolution of mixed layer hydrography during the austral autumn and winter. The resultant time series of hydrography shows strong seasonal water mass modification, dominated by an upper-ocean (0-300 m) salinity increase of 0.31, corresponding to 3.1 m sea ice growth, and the development of a 500-m thick winter mixed layer. Observations furthermore highlight a gradual salinity increase in a slow (3-5 cm s(-1)) southward flow on the continental shelf, toward the site, and suggest that the inferred ice production is better considered as a regional average rather than being purely local. No clear seasonality is observed in the properties of the underlying Ice Shelf Water.</t>
  </si>
  <si>
    <t>[Arthun, Marius; Nicholls, Keith W.] British Antarctic Survey, Cambridge CB3 0ET, England; [Boehme, Lars] Univ St Andrews, Sea Mammal Res Unit, St Andrews, Fife, Scotland</t>
  </si>
  <si>
    <t>UK Research &amp; Innovation (UKRI); Natural Environment Research Council (NERC); NERC British Antarctic Survey; University of St Andrews</t>
  </si>
  <si>
    <t>Årthun, M (corresponding author), British Antarctic Survey, Madingley Rd, Cambridge CB3 0ET, England.</t>
  </si>
  <si>
    <t>marun@bas.ac.uk</t>
  </si>
  <si>
    <t>; Boehme, Lars/B-6567-2009</t>
  </si>
  <si>
    <t>Arthun, Marius/0000-0003-4500-1691; Boehme, Lars/0000-0003-3513-6816</t>
  </si>
  <si>
    <t>[NERC-AFI10/5]; NERC [NE/G014086/1, NE/G014833/1, bas0100028] Funding Source: UKRI; Natural Environment Research Council [NE/G014086/1, NE/G014833/1, bas0100028, smru10001] Funding Source: researchfish</t>
  </si>
  <si>
    <t>; NERC(UK Research &amp; Innovation (UKRI)Natural Environment Research Council (NERC)); Natural Environment Research Council(UK Research &amp; Innovation (UKRI)Natural Environment Research Council (NERC))</t>
  </si>
  <si>
    <t>We thank the officers and crew of RRS Ernest Shackleton for their support during cruise ES054, Theoni Photopoulou especially, Takeshi Tamura for providing ice production data, and Keith Makinson for helpful discussions. We also thank Ralph Timmermann and an anonymous reviewer for constructive suggestions that improved the manuscript. This study has received support from NERC-AFI10/5.</t>
  </si>
  <si>
    <t>10.1175/JPO-D-12-0186.1</t>
  </si>
  <si>
    <t>Bronze, Green Accepted, Green Submitted</t>
  </si>
  <si>
    <t>WOS:000316303600009</t>
  </si>
  <si>
    <t>Braslavsky, I; Drori, R</t>
  </si>
  <si>
    <t>Braslavsky, Ido; Drori, Ran</t>
  </si>
  <si>
    <t>LabVIEW-operated Novel Nanoliter Osmometer for Ice Binding Protein Investigations</t>
  </si>
  <si>
    <t>JOVE-JOURNAL OF VISUALIZED EXPERIMENTS</t>
  </si>
  <si>
    <t>Biochemistry; Issue 72; Chemistry; Physics; Biophysics; Bioengineering; Microbiology; Proteins; Ice binding proteins; IBP; antifreeze proteins; thermal hysteresis proteins; TH; ice structuring proteins; recrystallization inhibition proteins; nanoliter osmometer; LabVIEW; temperature control; microscopy stage; nano; Gibbs-Thomson effect; microfluidics; microscale chemistry</t>
  </si>
  <si>
    <t>ANTIFREEZE PROTEIN; RECRYSTALLIZATION INHIBITION; CRYSTALS</t>
  </si>
  <si>
    <t>Ice-binding proteins (IBPs), including antifreeze proteins, ice structuring proteins, thermal hysteresis proteins, and ice recrystallization inhibition proteins, are found in cold-adapted organisms and protect them from freeze injuries by interacting with ice crystals. IBPs are found in a variety of organism, including fish(1), plants(2,3), arthropods(4,5), fungi(6), and bacteria(7). IBPs adsorb to the surfaces of ice crystals and prevent water molecules from joining the ice lattice at the IBP adsorption location. Ice that grows on the crystal surface between the adsorbed IBPs develops a high curvature that lowers the temperature at which the ice crystals grow, a phenomenon referred to as the Gibbs-Thomson effect. This depression creates a gap (thermal hysteresis, TH) between the melting point and the nonequilibrium freezing point, within which ice growth is arrested(8-10), see Figure 1. One of the main tools used in IBP research is the nanoliter osmometer, which facilitates measurements of the TH activities of IBP solutions. Nanoliter osmometers, such as the Clifton instrument (Clifton Technical Physics, Hartford, NY,) and Otago instrument (Otago Osmometers, Dunedin, New Zealand), were designed to measure the osmolarity of a solution by measuring the melting point depression of droplets with nanoliter volumes. These devices were used to measure the osmolarities of biological samples, such as tears(11), and were found to be useful in IBP research. Manual control over these nanoliter osmometers limited the experimental possibilities. Temperature rate changes could not be controlled reliably, the temperature range of the Clifton instrument was limited to 4,000 mOsmol (about -7.5 degrees C), and temperature recordings as a function of time were not an available option for these instruments. We designed a custom-made computer-controlled nanoliter osmometer system using a LabVIEW platform (National Instruments). The cold stage, described previously(9,10), contains a metal block through which water circulates, thereby functioning as a heat sink, see Figure 2. Attached to this block are thermoelectric coolers that may be driven using a commercial temperature controller that can be controlled via LabVIEW modules, see Figure 3. Further details are provided below. The major advantage of this system is its sensitive temperature control, see Figure 4. Automated temperature control permits the coordination of a fixed temperature ramp with a video microscopy output containing additional experimental details. To study the time dependence of the TH activity, we tested a 58 kDa hyperactive IBP from the Antarctic bacterium Marinomonas primoryensis (MpIBP)(12). This protein was tagged with enhanced green fluorescence proteins (eGFP) in a construct developed by Peter Davies' group (Queens University)(10). We showed that the temperature change profile affected the TH activity. Excellent control over the temperature profile in these experiments significantly improved the TH measurements. The nanoliter osmometer additionally allowed us to test the recrystallization inhibition of IBPs(5,13). In general, recrystallization is a phenomenon in which large crystals grow larger at the expense of small crystals. IBPs efficiently inhibit recrystallization, even at low concentrations(14,15). We used our LabVIEW-controlled osmometer to quantitatively follow the recrystallization of ice and to enforce a constant ice fraction using simultaneous real-time video analysis of the images and temperature feedback from the sample chamber(13). The real-time calculations offer additional control options during an experimental procedure. A stage for an inverted microscope was developed to accommodate temperature-controlled microfluidic devices, which will be described elsewhere(16). The Cold Stage System The cold stage assembly (Figure 2) consists of a set of thermoelectric coolers that cool a copper plate. Heat is removed from the stage by flowing cold water through a closed compartment under the thermoelectric coolers. A 4 mm diameter hole in the middle of the copper plate serves as a viewing window. A 1 mm diameter in-plane hole was drilled to fit the thermistor. A custom-made copper disc (7 mm in diameter) with several holes (500 mu m in diameter) was placed on the copper plate and aligned with the viewing window. Air was pumped at a flow rate of 35 ml/sec and dried using Drierite (W.A. Hammond). The dry air was used to ensure a dry environment at the cooling stage. The stage was connected via a 9 pin connection outlet to a temperature controller (Model 3040 or 3150, Newport Corporation, Irvine, California, US). The temperature controller was connected via a cable to a computer GPIB-PCI card (National instruments, Austin, Texas, USA).</t>
  </si>
  <si>
    <t>[Braslavsky, Ido; Drori, Ran] Hebrew Univ Jerusalem, Inst Biochem Food Sci &amp; Nutr, Robert H Smith Fac Agr Food &amp; Environm, IL-91905 Jerusalem, Israel; [Braslavsky, Ido] Ohio Univ, Dept Phys &amp; Astron, Athens, OH 45701 USA</t>
  </si>
  <si>
    <t>Hebrew University of Jerusalem; University System of Ohio; Ohio University</t>
  </si>
  <si>
    <t>Braslavsky, I (corresponding author), Hebrew Univ Jerusalem, Inst Biochem Food Sci &amp; Nutr, Robert H Smith Fac Agr Food &amp; Environm, IL-91905 Jerusalem, Israel.</t>
  </si>
  <si>
    <t>braslavs@agri.huji.ac.il</t>
  </si>
  <si>
    <t>Drori, Ran/AAY-8884-2021; Braslavsky, Ido/O-1859-2013</t>
  </si>
  <si>
    <t>Drori, Ran/0000-0002-6436-5602; Braslavsky, Ido/0000-0001-8985-8211</t>
  </si>
  <si>
    <t>ISF; NSF; ERC</t>
  </si>
  <si>
    <t>ISF(Israel Science Foundation); NSF(National Science Foundation (NSF)); ERC(European Research Council (ERC))</t>
  </si>
  <si>
    <t>This research was supported by the ISF, NSF, and ERC. We would like to acknowledge technical help with the temperature stage from Randy Milford, Michael Koren, Doug Shafer, and Jeremy Dennison. Assistance with software development was provided by Or Chen, Di Xu, Rajesh Sannareddy, and Sumit Bhattachary. We would like to thank our collaborators Prof. Peter L. Davies and Dr. Laurie A. Graham for the MpIBP protein and helpful discussions. We also thank lab members Dr. Maya Bar-Dolev, Yangzhong Qin, Dr. Yeliz Celik, Dr. Natalya Pertaya, Ortal Mizrahy, and Shlomit Guy for their user feedback.</t>
  </si>
  <si>
    <t>JOURNAL OF VISUALIZED EXPERIMENTS</t>
  </si>
  <si>
    <t>CAMBRIDGE</t>
  </si>
  <si>
    <t>1 ALEWIFE CENTER, STE 200, CAMBRIDGE, MA 02140 USA</t>
  </si>
  <si>
    <t>1940-087X</t>
  </si>
  <si>
    <t>JOVE-J VIS EXP</t>
  </si>
  <si>
    <t>J. Vis. Exp.</t>
  </si>
  <si>
    <t>e4189</t>
  </si>
  <si>
    <t>10.3791/4189</t>
  </si>
  <si>
    <t>V36QR</t>
  </si>
  <si>
    <t>Green Published, Bronze, Green Submitted</t>
  </si>
  <si>
    <t>WOS:000209226500003</t>
  </si>
  <si>
    <t>Han, H; Ji, Y; Lee, H</t>
  </si>
  <si>
    <t>Han, Hyangsun; Ji, Younghun; Lee, Hoonyol</t>
  </si>
  <si>
    <t>Estimation of Annual Variation of Ice Extent and Flow Velocity of Campbell Glacier in East Antarctica Using COSMO-SkyMed SAR Images</t>
  </si>
  <si>
    <t>KOREAN JOURNAL OF REMOTE SENSING</t>
  </si>
  <si>
    <t>Korean</t>
  </si>
  <si>
    <t>Campbell Glacier; COSMO-SkyMed; SAR; digitizing; offset tracking; glacier extent; flow velocity</t>
  </si>
  <si>
    <t>Campbell Glacier in East Antarctica is one of the major glaciers that flow into Terra Nova Bay. It is necessary to estimate accurate extent and flow velocity of Campbell Glacier which influences the dynamics of mass balance of East Antarctic Ice Sheet. However, few studies on Campbell Glacier have been performed since 1990s. In this study, we obtained a total of 59 COSMO-SkyMed SAR images over Campbell Glacier from June 2010 to January 2012. We estimated variations in the extent of Campbell Glacier Tongue and flow velocity of Campbell Glacier by applying the image digitizing and the offset tracking by image matching. Although the extent of Campbell Glacier Tongue decreased in summertime due to ice calving and increased in wintertime, the variation in the extent was very small. Campbell Glacier Tongue retained mean extent of 75.5 km(2). The ice discharge of Campbell Glacier Tongue was estimated to be 0.58 +/- 0.12 km(3)/yr, which was bigger than in 1989. The flow velocity over Campbell Glacier Tongue was estimated to be from 181 to 268 m/yr that was faster than in 1988-1989, which contributed to the increase in the ice discharge of the glacier.</t>
  </si>
  <si>
    <t>[Han, Hyangsun; Ji, Younghun; Lee, Hoonyol] Kangwon Natl Univ, Dept Geophys, Chunchon, South Korea</t>
  </si>
  <si>
    <t>Kangwon National University</t>
  </si>
  <si>
    <t>Lee, H (corresponding author), Kangwon Natl Univ, Dept Geophys, Chunchon, South Korea.</t>
  </si>
  <si>
    <t>hoonyol@kangwon.ac.kr</t>
  </si>
  <si>
    <t>Han, Hyangsun/AAE-7670-2022</t>
  </si>
  <si>
    <t>Han, Hyangsun/0000-0002-0414-519X; Lee, Hoonyol/0000-0002-5980-8640</t>
  </si>
  <si>
    <t>KOREAN SOC REMOTE SENSING</t>
  </si>
  <si>
    <t>SEOUL</t>
  </si>
  <si>
    <t>KOREAN SOC REMOTE SENSING, SEOUL, 00000, SOUTH KOREA</t>
  </si>
  <si>
    <t>1225-6161</t>
  </si>
  <si>
    <t>2287-9307</t>
  </si>
  <si>
    <t>KOREAN J REMOTE SENS</t>
  </si>
  <si>
    <t>Korean J. Remote Sensing</t>
  </si>
  <si>
    <t>10.7780/kjrs.2013.29.1.5</t>
  </si>
  <si>
    <t>Remote Sensing</t>
  </si>
  <si>
    <t>VA6QO</t>
  </si>
  <si>
    <t>WOS:000410214000005</t>
  </si>
  <si>
    <t>Morton, PL; Landing, WM; Hsu, SC; Milne, A; Aguilar-Islas, AM; Baker, AR; Bowie, AR; Buck, CS; Gao, Y; Gichuki, S; Hastings, MG; Hatta, M; Johansen, AM; Losno, R; Mead, C; Patey, MD; Swarr, G; Vandermark, A; Zamora, LM</t>
  </si>
  <si>
    <t>Morton, Peter L.; Landing, William M.; Hsu, Shih-Chieh; Milne, Angela; Aguilar-Islas, Ana M.; Baker, Alex R.; Bowie, Andrew R.; Buck, Clifton S.; Gao, Yuan; Gichuki, Susan; Hastings, Meredith G.; Hatta, Mariko; Johansen, Anne M.; Losno, Remi; Mead, Chris; Patey, Matthew D.; Swarr, Gretchen; Vandermark, Amanda; Zamora, Lauren M.</t>
  </si>
  <si>
    <t>Methods for the sampling and analysis of marine aerosols: results from the 2008 GEOTRACES aerosol intercalibration experiment</t>
  </si>
  <si>
    <t>LIMNOLOGY AND OCEANOGRAPHY-METHODS</t>
  </si>
  <si>
    <t>ATLANTIC-OCEAN; QUARTZ FIBER; AFRICAN DUST; DEPOSITION; SIZE; ATMOSPHERE; MERCURY; PARTICLES; NUTRIENTS; TRANSPORT</t>
  </si>
  <si>
    <t>Atmospheric deposition of trace elements and isotopes (TEI) is an important source of trace metals to the open ocean, impacting TEI budgets and distributions, stimulating oceanic primary productivity, and influencing biological community structure and function. Thus, accurate sampling of aerosol TEIs is a vital component of ongoing GEOTRACES cruises, and standardized aerosol TEI sampling and analysis procedures allow the comparison of data from different sites and investigators. Here, we report the results of an aerosol analysis intercalibration study by seventeen laboratories for select GEOTRACES-relevant aerosol species (Al, Fe, Ti, V, Zn, Pb, Hg, NO3-, and SO42-) for samples collected in September 2008. The collection equipment and filter substrates are appropriate for the GEOTRACES program, as evidenced by low blanks and detection limits relative to analyte concentrations. Analysis of bulk aerosol sample replicates were in better agreement when the processing protocol was constrained (+/- 9% RSD or better on replicate analyses by a single lab, n = 7) than when it was not (generally 20% RSD or worse among laboratories using different methodologies), suggesting that the observed variability was mainly due to methodological differences rather than sample heterogeneity. Much greater variability was observed for fractional solubility of aerosol trace elements and major anions, due to differing extraction methods. Accuracy is difficult to establish without an SRM representative of aerosols, and we are developing an SRM for this purpose. Based on these findings, we provide recommendations for the GEOTRACES program to and macro-nutrients to the open ocean (Okin et al. 2011) and is a key component of the international GEOTRACES program (GEOTRACES Planning Group 2006). A priority of the GEOTRACES program is to quantify both major and trace elements (e. g., Al, Fe, Ti, V, Zn, Pb, and Hg) and species such as nitrate and sulfate in marine aerosols. Therefore, marine aerosol samples collected during GEOTRACES cruises must follow sampling protocols that permit the collection and analysis of as many elements and compounds as possible, while meeting the constraints associated with basin-wide oceanographic cruises (e. g., space limitations, high-frequency sampling, etc.).</t>
  </si>
  <si>
    <t>[Morton, Peter L.; Landing, William M.] Florida State Univ, Tallahassee, FL 32306 USA; [Hsu, Shih-Chieh] Acad Sinica, Res Ctr Environm Changes, Taipei 115, Taiwan; [Milne, Angela] Univ Plymouth, Sch Geog Earth &amp; Environm Sci, Plymouth PL4 8AA, Devon, England; [Aguilar-Islas, Ana M.] Univ Alaska Fairbanks, Sch Fisheries &amp; Ocean Sci, Fairbanks, AK 99775 USA; [Baker, Alex R.] Univ E Anglia, Sch Environm Sci, Norwich NR4 7TJ, Norfolk, England; [Bowie, Andrew R.] Univ Tasmania, Antarctic Climate &amp; Ecosyst Cooperat Res Ctr, Hobart, Tas 7001, Australia; [Buck, Clifton S.] Univ Calif Santa Cruz, Inst Marine Sci, Santa Cruz, CA 95064 USA; [Gao, Yuan] Rutgers State Univ, Dept Earth &amp; Environm Sci, Newark, NJ 07102 USA; [Gichuki, Susan] Univ Connecticut, Dept Chem, Groton, CT 06340 USA; [Hastings, Meredith G.] Brown Univ, Dept Geol Sci, Providence, RI 02912 USA; [Hastings, Meredith G.] Brown Univ, Environm Change Initiat, Providence, RI 02912 USA; [Hatta, Mariko] Univ Hawaii, Dept Oceanog, Honolulu, HI 96822 USA; [Johansen, Anne M.] Cent Washington Univ, Dept Chem, Ellensburg, WA 98926 USA; [Losno, Remi] Univ Paris 07, Lab Interuniv Syst Atmospher, Creteil, France; [Losno, Remi] Univ Paris 12, Lab Interuniv Syst Atmospher, Creteil, France; [Mead, Chris] Arizona State Univ, Sch Earth &amp; Space Explorat, Tempe, AZ 85287 USA; [Patey, Matthew D.] Univ Southampton, Natl Oceanog Ctr Southampton Ocean &amp; Earth Sci, Southampton SO14 3ZH, Hants, England; [Swarr, Gretchen] Woods Hole Oceanog Inst, Dept Marine Chem &amp; Geochem, Woods Hole, MA 02543 USA; [Vandermark, Amanda] Univ Delaware, Sch Marine Sci &amp; Policy, Newark, DE 19716 USA; [Zamora, Lauren M.] Helmholz Ctr Ocean Res Kiel GEOMAR, D-24105 Kiel, Germany</t>
  </si>
  <si>
    <t>State University System of Florida; Florida State University; Academia Sinica - Taiwan; University of Plymouth; University of Alaska System; University of Alaska Fairbanks; University of East Anglia; Antarctic Climate &amp; Ecosystems Cooperative Research Centre (ACE CRC); University of Tasmania; University of California System; University of California Santa Cruz; Rutgers University System; Rutgers University Newark; Rutgers University New Brunswick; University of Connecticut; Brown University; Brown University; University of Hawaii System; Central Washington University; Universite Paris-Est-Creteil-Val-de-Marne (UPEC); Universite Paris Cite; Universite Paris Cite; Universite Paris-Est-Creteil-Val-de-Marne (UPEC); Arizona State University; Arizona State University-Tempe; NERC National Oceanography Centre; University of Southampton; Woods Hole Oceanographic Institution; University of Delaware; Helmholtz Association; GEOMAR Helmholtz Center for Ocean Research Kiel</t>
  </si>
  <si>
    <t>Morton, PL (corresponding author), Florida State Univ, Tallahassee, FL 32306 USA.</t>
  </si>
  <si>
    <t>pmorton@fsu.edu</t>
  </si>
  <si>
    <t>Baker, Alex R/D-1233-2011; Buck, Clifton/F-5820-2010; Zamora, Lauren M/E-6972-2011; Losno, Rémi/AAE-9536-2019; Patey, Matthew D/N-3001-2015; Morton, Peter L/C-5078-2014; Landing, William/KBA-8522-2024; Hastings, Meredith/C-6199-2008; Milne, Angela/O-2786-2016; Bowie, Andrew/C-8677-2013</t>
  </si>
  <si>
    <t>Buck, Clifton/0000-0002-5691-9636; Zamora, Lauren M/0000-0002-0878-4378; Losno, Rémi/0000-0003-0246-862X; Patey, Matthew D/0000-0001-8677-2818; Landing, William/0000-0002-7514-3247; Morton, Peter/0000-0002-4248-2357; Hastings, Meredith/0000-0001-6716-6783; Milne, Angela/0000-0002-3304-8962; Baker, Alex/0000-0002-8365-8953; Hatta, Mariko/0000-0002-4892-7708; Bowie, Andrew/0000-0002-5144-7799</t>
  </si>
  <si>
    <t>US National Science Foundation (NSF) [OCE-0752832]; National Science Council Taiwan [100-2628-M-001-008-MY4]; US NSF [OCE-1137836, OCE-0824304, OCE-0825068, OCE-0728750, OCE-0961038, OCE-0752609, ATM-0839851, OCE-1031371, OCE-1132515, OCE-0851462, OCE-0623189, OCE-0927285]; United Kingdom Natural Environmental Research Council (NERC) [NE/H00548X/1]; Australian Government Cooperative Research Centres Programme; UK NERC [NE/C001931/1]; Natural Environment Research Council [NE/H00548X/1, NE/C001931/1] Funding Source: researchfish; NERC [NE/H00548X/1] Funding Source: UKRI; Directorate For Geosciences; Division Of Ocean Sciences [0928084] Funding Source: National Science Foundation</t>
  </si>
  <si>
    <t>US National Science Foundation (NSF)(National Science Foundation (NSF)); National Science Council Taiwan(Ministry of Science and Technology, Taiwan); US NSF(National Science Foundation (NSF)); United Kingdom Natural Environmental Research Council (NERC)(UK Research &amp; Innovation (UKRI)Natural Environment Research Council (NERC)); Australian Government Cooperative Research Centres Programme(Australian GovernmentDepartment of Industry, Innovation and ScienceCooperative Research Centres (CRC) Programme); UK NERC(UK Research &amp; Innovation (UKRI)Natural Environment Research Council (NERC)); Natural Environment Research Council(UK Research &amp; Innovation (UKRI)Natural Environment Research Council (NERC)); NERC(UK Research &amp; Innovation (UKRI)Natural Environment Research Council (NERC)); Directorate For Geosciences; Division Of Ocean Sciences(National Science Foundation (NSF)NSF - Directorate for Geosciences (GEO))</t>
  </si>
  <si>
    <t>Our sincerest appreciation goes to the individuals and laboratory groups who contributed so generously of their time and resources, including Brian Kilgore, Mike Trapp, and Joe Prospero in collecting the samples; the numerous laboratory directors and supporting personnel (as noted in Tables 1 and 2) who participated in the sample processing and analyses; Adam Weinstein, at the Florida State University Reading and Writing Center, whose critical eye provided a professional polish to the final text; and two anonymous reviewers and the Associate Editor, whose suggestions substantially improved the paper. This work was partially funded by the following sources: US National Science Foundation (NSF) grant OCE-0752832 (PLM, WML, and AM), National Science Council Taiwan grant 100-2628-M-001-008-MY4 (SCH), US NSF grant OCE-1137836 (AMA-I), United Kingdom Natural Environmental Research Council (NERC) grant NE/H00548X/1 (AR Baker), Australian Government Cooperative Research Centres Programme (AR Bowie), US NSF grant OCE-0824304 (CSB and Adina Paytan), US NSF grants OCE-0825068 and OCE-0728750 (SG and Robert Mason), US NSF grant OCE-0961038 (MGH), US NSF grant OCE-0752609 (MH and Christopher Measures), US NSF grant ATM-0839851 (AMJ), US NSF grant OCE-1031371 (CM), UK NERC grant NE/C001931/1 (MDP and Eric Achterberg), US NSF grant OCE-1132515 (GS and Carl Lamborg), US NSF grant OCE-0851462 (AV and Thomas Church), and US NSF grant OCE-0623189 (LMZ). This paper is part of the Intercalibration in Chemical Oceanography special issue of L&amp;O Methods that was supported by funding from the US National Science Foundation, Chemical Oceanography Program (grant OCE-0927285 to Gregory Cutter).</t>
  </si>
  <si>
    <t>AMER SOC LIMNOLOGY OCEANOGRAPHY</t>
  </si>
  <si>
    <t>WACO</t>
  </si>
  <si>
    <t>5400 BOSQUE BLVD, STE 680, WACO, TX 76710-4446 USA</t>
  </si>
  <si>
    <t>1541-5856</t>
  </si>
  <si>
    <t>LIMNOL OCEANOGR-METH</t>
  </si>
  <si>
    <t>Limnol. Oceanogr. Meth.</t>
  </si>
  <si>
    <t>10.4319/lom.2013.11.62</t>
  </si>
  <si>
    <t>Limnology; Oceanography</t>
  </si>
  <si>
    <t>Marine &amp; Freshwater Biology; Oceanography</t>
  </si>
  <si>
    <t>130MJ</t>
  </si>
  <si>
    <t>Green Published, Bronze</t>
  </si>
  <si>
    <t>WOS:000317921200001</t>
  </si>
  <si>
    <t>Guerrero, E; Gili, JM; Rodriguez, C; Araujo, EM; Canepa, A; Calbet, A; Genzano, G; Mianzan, HW; González, RA</t>
  </si>
  <si>
    <t>Guerrero, Elena; Gili, Josep-Maria; Rodriguez, Carolina; Araujo, Enilma M.; Canepa, Antonio; Calbet, Albert; Genzano, Gabriel; Mianzan, Hermes W.; Gonzalez, Raul A.</t>
  </si>
  <si>
    <t>Biodiversity and distribution patterns of planktonic cnidarians in San Matias Gulf, Patagonia, Argentina</t>
  </si>
  <si>
    <t>Hydrography; Hydromedusae; Pyrostephos vanhoeffeni; Siphonophorae; Southwestern Atlantic Ocean</t>
  </si>
  <si>
    <t>ATLANTIC; POPULATION; COMMUNITY; ECOLOGY; OBELIA; SEA; BAY</t>
  </si>
  <si>
    <t>The special location (40-42 degrees S in the Southwestern Atlantic Ocean) and the hydrodynamic regime (limited water exchange with open ocean) in San Matias Gulf (Argentina) seem to produce a particular fauna of planktonic cnidarians whose their abundances are mainly shaped by the Gulf circulation. Four oceanographic cruises, covering 93 stations in three different seasons during 2007 and 2008 were carried out to quantify species richness and abundance, as well as to analyse the distribution of these cnidarians. We identified 20 species of hydromedusae and one siphonophore, increasing the total number of hydromedusae for the area to 23. This value is similar to the one found in the abutting Argentine continental shelf (20), but with a different assemblage composition. Hydromedusae abundances found were low, except for a bloom of the Leptomedusa Obelia spp. during the cold season. The only siphonophore found in the area, Pyrostephos vanhoeffeni, has previously been thought to be endemic to Antarctic and sub-Antarctic waters, this being the first record for temperate waters of the Southwest Atlantic Ocean.</t>
  </si>
  <si>
    <t>[Guerrero, Elena; Gili, Josep-Maria; Canepa, Antonio; Calbet, Albert] CSIC, Inst Ciences Mar, E-08003 Barcelona, Spain; [Guerrero, Elena; Gonzalez, Raul A.] Univ Nacl Comahue, IBMPAS, San Antonio Oeste, Argentina; [Rodriguez, Carolina; Araujo, Enilma M.; Genzano, Gabriel; Mianzan, Hermes W.] UNMdP, CONICET, Inst Invest Marinas &amp; Costeras IIMyC, Mar Del Plata, Buenos Aires, Argentina; [Rodriguez, Carolina; Genzano, Gabriel; Mianzan, Hermes W.] Consejo Nacl Invest Cient &amp; Tecn, RA-1033 Buenos Aires, DF, Argentina; [Araujo, Enilma M.] Coordenacao Aperfeioamento Pessoal Nivel Super CA, Brasilia, DF, Brazil; [Mianzan, Hermes W.] Inst Nacl Invest &amp; Desarrollo Pesquero INIDEP, Mar Del Plata, Buenos Aires, Argentina</t>
  </si>
  <si>
    <t>Consejo Superior de Investigaciones Cientificas (CSIC); CSIC - Centro Mediterraneo de Investigaciones Marinas y Ambientales (CMIMA); CSIC - Instituto de Ciencias del Mar (ICM); Universidad Nacional del Comahue; National University of Mar del Plata; Consejo Nacional de Investigaciones Cientificas y Tecnicas (CONICET); Consejo Nacional de Investigaciones Cientificas y Tecnicas (CONICET); Consejo Nacional de Investigaciones Cientificas y Tecnicas (CONICET); National Fisheries Research &amp; Development Institute (INIDEP)</t>
  </si>
  <si>
    <t>Guerrero, E (corresponding author), CSIC, Inst Ciences Mar, Pg Maritim Barceloneta 37-49, E-08003 Barcelona, Spain.</t>
  </si>
  <si>
    <t>eguerrero@icm.csic.es</t>
  </si>
  <si>
    <t>Calbet, Albert/A-7779-2008; Canepa-Oneto, Antonio/R-5260-2018; Guerrero, Elena/IAN-6452-2023</t>
  </si>
  <si>
    <t>Calbet, Albert/0000-0003-1069-212X; Canepa-Oneto, Antonio/0000-0002-0608-2743; Guerrero, Elena/0000-0003-1657-6648</t>
  </si>
  <si>
    <t>Agencia Nacional de Promocion Cientifica y Tecnologica [371, 1575]; Universidad Nacional de Mar del Plata [EXA 465/11]; AECI (Agencia Espanola de Cooperacion Internacional-Ministerio Asuntos Exteriores); CONICET fellowship; CAPES (Coordenacao de Aperfeicoamento de Pessoal de Nivel Superior), Brazil; CONICYT (PFCHA/Doctorado al Extranjero 4a Convocatoria) [72120016]; CONISMA, the Italian National Interuniversity Consortium for Marine Sciences; [PIP - CONICET 112 201101 00152]</t>
  </si>
  <si>
    <t>Agencia Nacional de Promocion Cientifica y Tecnologica(ANPCyTSpanish Government); Universidad Nacional de Mar del Plata(National University of La Plata); AECI (Agencia Espanola de Cooperacion Internacional-Ministerio Asuntos Exteriores); CONICET fellowship(Consejo Nacional de Investigaciones Cientificas y Tecnicas (CONICET)); CAPES (Coordenacao de Aperfeicoamento de Pessoal de Nivel Superior), Brazil(Coordenacao de Aperfeicoamento de Pessoal de Nivel Superior (CAPES)); CONICYT (PFCHA/Doctorado al Extranjero 4a Convocatoria); CONISMA, the Italian National Interuniversity Consortium for Marine Sciences;</t>
  </si>
  <si>
    <t>The authors would like to thank Prefectura Naval Argentina, especially the crew of the Coast Guard ships Rio Parana and La Plata. This work was funded by the projects PID 2003#371 and PICT-2006 Start up #1575 (Agencia Nacional de Promocion Cientifica y Tecnologica); EXA 465/11 (Universidad Nacional de Mar del Plata) and PIP - CONICET 112 201101 00152. E. Guerrero acknowledges financial support from AECI (Agencia Espanola de Cooperacion Internacional-Ministerio Asuntos Exteriores). C. Rodriguez is supported by CONICET fellowship. E. M. Araujo acknowledges the fellowship support by CAPES (Coordenacao de Aperfeicoamento de Pessoal de Nivel Superior), Brazil. A. Canepa was funded by CONICYT (PFCHA/Doctorado al Extranjero 4a Convocatoria, 72120016). The authors wish to thank three anonymous reviewers for their comments, which greatly improved the first manuscript. Special thanks go to Jennifer Purcell for revising the manuscript and for her valuable comments on it. This paper is dedicated to Francesc Pages who introduced and taught the first author (E. G.) the art of planktonic cnidarians identification as well as he transmitted his enthusiasm for the gelatinous plankton ecology and systematics to many other researchers and friends. The publication of this paper is supported by CONISMA, the Italian National Interuniversity Consortium for Marine Sciences.</t>
  </si>
  <si>
    <t>10.1111/maec.12027</t>
  </si>
  <si>
    <t>WOS:000315395700008</t>
  </si>
  <si>
    <t>Tribelli, PM; Nikel, PI; Oppezzo, OJ; López, NI</t>
  </si>
  <si>
    <t>Tribelli, Paula M.; Nikel, Pablo I.; Oppezzo, Oscar J.; Lopez, Nancy I.</t>
  </si>
  <si>
    <t>Anr, the anaerobic global regulator, modulates the redox state and oxidative stress resistance in Pseudomonas extremaustralis</t>
  </si>
  <si>
    <t>MICROBIOLOGY-SGM</t>
  </si>
  <si>
    <t>MULTIPLE TERMINAL OXIDASES; ESCHERICHIA-COLI; HYDROGEN-PEROXIDE; CYCLING ASSAY; AERUGINOSA; EXPRESSION; GENE; OXYR; POLY(3-HYDROXYBUTYRATE); IDENTIFICATION</t>
  </si>
  <si>
    <t>The role of Anr in oxidative stress resistance was investigated in Pseudomonas extremaustralis, a polyhydroxybutyrate-producing Antarctic bacterium. The absence of Anr caused increased sensitivity to hydrogen peroxide under low oxygen tension. This phenomenon was associated with a decrease in the redox ratio, higher oxygen consumption and higher reactive oxygen species production. Physiological responses of the mutant to the oxidized state included an increase in NADP(H) content, catalase activity and exopolysaccharide production. The wild-type strain showed a sharp decrease in the reduced thiol pool when exposed to hydrogen peroxide, not observed in the mutant strain. In silico analysis of the genome sequence of P. extremaustralis revealed putative Anr binding sites upstream from genes related to oxidative stress. Genes encoding several chaperones and cold shock proteins, a glutathione synthase, a sulfate transporter and a thiol peroxidase were identified as potential targets for Anr regulation. Our results suggest a novel role for Anr in oxidative stress resistance and in redox balance maintenance under conditions of restricted oxygen supply.</t>
  </si>
  <si>
    <t>[Tribelli, Paula M.; Nikel, Pablo I.; Lopez, Nancy I.] Univ Buenos Aires, Fac Ciencias Exactas &amp; Nat, Dpto Quim Biol, Buenos Aires, DF, Argentina; [Nikel, Pablo I.] Univ Nacl San Martin, IQUIBICEN CONICET, Inst Invest Biotecnol Dr Rodolfo A Ugalde, Buenos Aires, DF, Argentina; [Oppezzo, Oscar J.] Comis Nacl Energia Atom, Dept Radiobiol, Buenos Aires, DF, Argentina</t>
  </si>
  <si>
    <t>University of Buenos Aires; Comision Nacional de Energia Atomica (CNEA)</t>
  </si>
  <si>
    <t>López, NI (corresponding author), Univ Buenos Aires, Fac Ciencias Exactas &amp; Nat, Dpto Quim Biol, Buenos Aires, DF, Argentina.</t>
  </si>
  <si>
    <t>nan@qb.fcen.uba.ar</t>
  </si>
  <si>
    <t>Nikel, Pablo Ivan/L-4146-2014</t>
  </si>
  <si>
    <t>Nikel, Pablo Ivan/0000-0002-9313-7481; Tribelli, Paula Maria/0000-0001-9558-6275; Lopez, Nancy/0000-0002-2966-3014</t>
  </si>
  <si>
    <t>UBA; Consejo Nacional de Investigaciones Cientificas y Tecnicas (CONICET); ANPCyT</t>
  </si>
  <si>
    <t>UBA(University of Buenos Aires); Consejo Nacional de Investigaciones Cientificas y Tecnicas (CONICET)(Consejo Nacional de Investigaciones Cientificas y Tecnicas (CONICET)); ANPCyT(ANPCyT)</t>
  </si>
  <si>
    <t>We thank Dr B. S. Mendez and Dr M. J. Pettinari for critical reading of the manuscript and Dr R. Pizarro for useful cooperation and experimental assistance. This work was supported by grants from UBA, Consejo Nacional de Investigaciones Cientificas y Tecnicas (CONICET) and ANPCyT. P. I. N. and N. I. L. are career investigators from CONICET, Argentina, and P. M. T. holds a post-graduate student fellowship from CONICET.</t>
  </si>
  <si>
    <t>14-16 MEREDITH ST, LONDON, ENGLAND</t>
  </si>
  <si>
    <t>1350-0872</t>
  </si>
  <si>
    <t>1465-2080</t>
  </si>
  <si>
    <t>MICROBIOL-SGM</t>
  </si>
  <si>
    <t>Microbiology-(UK)</t>
  </si>
  <si>
    <t>10.1099/mic.0.061085-0</t>
  </si>
  <si>
    <t>103QL</t>
  </si>
  <si>
    <t>WOS:000315933900006</t>
  </si>
  <si>
    <t>Dewar, ML; Arnould, JPY; Dann, P; Trathan, P; Groscolas, R; Smith, S</t>
  </si>
  <si>
    <t>Dewar, Meagan L.; Arnould, John P. Y.; Dann, Peter; Trathan, Phil; Groscolas, Rene; Smith, Stuart</t>
  </si>
  <si>
    <t>Interspecific variations in the gastrointestinal microbiota in penguins</t>
  </si>
  <si>
    <t>MICROBIOLOGYOPEN</t>
  </si>
  <si>
    <t>Microbiota; penguins; pyrosequencing; qPCR</t>
  </si>
  <si>
    <t>16S RIBOSOMAL-RNA; INTESTINAL MICROBIOTA; GUT MICROBIOTA; CAMPYLOBACTER-JEJUNI; BACTERIAL DIVERSITY; HELICOBACTER SPP.; AVIAN CHOLERA; HOPE BAY; COMMUNITY; SALMONELLA</t>
  </si>
  <si>
    <t>Despite the enormous amount of data available on the importance of the gastrointestinal (GI) microbiota in vertebrate (especially mammals), information on the GI microbiota of seabirds remains incomplete. As with many seabirds, penguins have a unique digestive physiology that enables them to store large reserves of adipose tissue, protein, and lipids. This study used quantitative real-time polymerase chain reaction (qPCR) and 16S rRNA gene pyrosequencing to characterize the interspecific variations of the GI microbiota of four penguin species: the king, gentoo, macaroni, and little penguin. The qPCR results indicated that there were significant differences in the abundance of the major phyla Firmicutes, Bacteroides, Actinobacteria, and Proteobacteria. A total of 132,340, 18,336, 6324, and 4826 near full-length 16S rRNA gene sequences were amplified from fecal samples collected from king, gentoo, macaroni, and little penguins, respectively. A total of 13 phyla were identified with Firmicutes, Bacteroidetes, Proteobacteria, and Fusobacteria dominating the composition; however, there were major differences in the relative abundance of the phyla. In addition, this study documented the presence of known human pathogens, such as Campylobacter, Helicobacter, Prevotella, Veillonella, Erysipelotrichaceae, Neisseria, and Mycoplasma. However, their role in disease in penguins remains unknown. To our knowledge, this is the first study to provide an in-depth investigation of the GI microbiota of penguins.</t>
  </si>
  <si>
    <t>[Dewar, Meagan L.; Smith, Stuart] Deakin Univ, Sch Exercise &amp; Nutr Sci, Burwood, Vic, Australia; [Arnould, John P. Y.] Deakin Univ, Sch Life &amp; Environm Sci, Burwood, Vic, Australia; [Dann, Peter] Res Dept, Phillip Isl, Vic 3922, Australia; [Trathan, Phil] British Antarctic Survey, Cambridge CB3 0ET, England; [Groscolas, Rene] CNRS, Ctr Ecol &amp; Physiol Energet, F-67087 Strasbourg, France; [Smith, Stuart] Deakin Univ, Mol &amp; Med Strateg Res Ctr, Burwood, Vic, Australia</t>
  </si>
  <si>
    <t>Deakin University; Deakin University; UK Research &amp; Innovation (UKRI); Natural Environment Research Council (NERC); NERC British Antarctic Survey; Universites de Strasbourg Etablissements Associes; Universite de Strasbourg; Centre National de la Recherche Scientifique (CNRS); Deakin University</t>
  </si>
  <si>
    <t>Dewar, ML (corresponding author), Deakin Univ, Sch Exercise &amp; Nutr Sci, Burwood, Vic, Australia.</t>
  </si>
  <si>
    <t>mdew@deakin.edu.au</t>
  </si>
  <si>
    <t>Dewar, Meagan/AAI-3969-2021</t>
  </si>
  <si>
    <t>Dewar, Meagan/0000-0003-0581-2422</t>
  </si>
  <si>
    <t>Holsworth Wildlife Research Endowment; Centre for Molecular and Medical Research (Deakin University); French Polar Institute (IPEV) [119]; Snowtown Valley Ltd. Pty</t>
  </si>
  <si>
    <t>Holsworth Wildlife Research Endowment; Centre for Molecular and Medical Research (Deakin University); French Polar Institute (IPEV); Snowtown Valley Ltd. Pty</t>
  </si>
  <si>
    <t>The authors would like to thank Holsworth Wildlife Research Endowment, Snowtown Valley Ltd. Pty, Centre for Molecular and Medical Research (Deakin University), and the French Polar Institute (IPEV) (project No. 119) for financial support.</t>
  </si>
  <si>
    <t>2045-8827</t>
  </si>
  <si>
    <t>MicrobiologyOpen</t>
  </si>
  <si>
    <t>10.1002/mbo3.66</t>
  </si>
  <si>
    <t>AP8SZ</t>
  </si>
  <si>
    <t>WOS:000342350500015</t>
  </si>
  <si>
    <t>Zhang, ZS; Nisancioglu, KH; Ninnemann, US</t>
  </si>
  <si>
    <t>Zhang, Zhongshi; Nisancioglu, Kerim H.; Ninnemann, Ulysses S.</t>
  </si>
  <si>
    <t>Increased ventilation of Antarctic deep water during the warm mid-Pliocene</t>
  </si>
  <si>
    <t>NATURE COMMUNICATIONS</t>
  </si>
  <si>
    <t>SEA-LEVEL; CIRCULATION; PREINDUSTRIAL; VARIABILITY; SIMULATIONS; ATMOSPHERE; LATITUDE; MODEL</t>
  </si>
  <si>
    <t>The mid-Pliocene warm period is a recent warm geological period that shares similarities with predictions of future climate. It is generally held the mid-Pliocene Atlantic Meridional Overturning Circulation must have been stronger, to explain a weak Atlantic meridional delta C-13 gradient and large northern high-latitude warming. However, climate models do not simulate such stronger Atlantic Meridional Overturning Circulation, when forced with mid-Pliocene boundary conditions. Proxy reconstructions allow for an alternative scenario that the weak delta C-13 gradient can be explained by increased ventilation and reduced stratification in the Southern Ocean. Here this alternative scenario is supported by simulations with the Norwegian Earth System Model (NorESM-L), which simulate an intensified and slightly poleward shifted wind field off Antarctica, giving enhanced ventilation and reduced stratification in the Southern Ocean. Our findings challenge the prevailing theory and show how increased Southern Ocean ventilation can reconcile existing model-data discrepancies about Atlantic Meridional Overturning Circulation while explaining fundamental ocean features.</t>
  </si>
  <si>
    <t>[Zhang, Zhongshi; Nisancioglu, Kerim H.; Ninnemann, Ulysses S.] UNI Res, N-5007 Bergen, Norway; [Zhang, Zhongshi; Nisancioglu, Kerim H.; Ninnemann, Ulysses S.] Bjerknes Ctr Climate Res, N-5007 Bergen, Norway; [Zhang, Zhongshi] Chinese Acad Sci, Inst Atmospher Phys, Nansen Zhu Int Res Ctr, Beijing 100029, Peoples R China; [Nisancioglu, Kerim H.; Ninnemann, Ulysses S.] Univ Bergen, Dept Earth Sci, N-5007 Bergen, Norway</t>
  </si>
  <si>
    <t>Bjerknes Centre for Climate Research; Chinese Academy of Sciences; Institute of Atmospheric Physics, CAS; University of Bergen</t>
  </si>
  <si>
    <t>Zhang, ZS (corresponding author), UNI Res, Allegaten 55, N-5007 Bergen, Norway.</t>
  </si>
  <si>
    <t>zhongshi.zhang@bjerknes.uib.no</t>
  </si>
  <si>
    <t>Zhang, Zhongshi/ADE-5510-2022; Nisancioglu, Kerim/AAW-9315-2021; zhang, zhi/HPH-4905-2023; Zhang, zs/GXN-3521-2022</t>
  </si>
  <si>
    <t>Zhang, Zhongshi/0000-0002-2354-1622; Nisancioglu, Kerim/0000-0002-5737-5765;</t>
  </si>
  <si>
    <t>National 973 Program of China [2010CB950102]; Strategic and Special Frontier Project of Science and Technology of the Chinese Academy of Sciences [XDA05080803]; National Natural Science Foundation of China [40902054]; Earth System Modelling (ESM) project; Statoil, Norway</t>
  </si>
  <si>
    <t>National 973 Program of China(National Basic Research Program of China); Strategic and Special Frontier Project of Science and Technology of the Chinese Academy of Sciences; National Natural Science Foundation of China(National Natural Science Foundation of China (NSFC)); Earth System Modelling (ESM) project; Statoil, Norway</t>
  </si>
  <si>
    <t>We thank Bjorg Risebrobakken, Carin Andersson and Eystein Jansen for constructive comments to an early version of this paper. We also thank Mats Bentsen, Ingo Bethke, Jerry Tjiputra, Qing Yan for the discussions and for fruitful discussions and help in setting up and running the NorESM-L. This study was jointly supported by the National 973 Program of China (Grant No. 2010CB950102), the Strategic and Special Frontier Project of Science and Technology of the Chinese Academy of Sciences (Grant No. XDA05080803), the National Natural Science Foundation of China (Grant No. 40902054) and the Earth System Modelling (ESM) project financed by Statoil, Norway. All experiments carried out in this study were supported by the ESM project.</t>
  </si>
  <si>
    <t>NATURE PORTFOLIO</t>
  </si>
  <si>
    <t>BERLIN</t>
  </si>
  <si>
    <t>HEIDELBERGER PLATZ 3, BERLIN, 14197, GERMANY</t>
  </si>
  <si>
    <t>2041-1723</t>
  </si>
  <si>
    <t>NAT COMMUN</t>
  </si>
  <si>
    <t>Nat. Commun.</t>
  </si>
  <si>
    <t>10.1038/ncomms2521</t>
  </si>
  <si>
    <t>112TL</t>
  </si>
  <si>
    <t>hybrid, Green Published, Green Accepted</t>
  </si>
  <si>
    <t>WOS:000316616400069</t>
  </si>
  <si>
    <t>Bromwich, DH; Nicolas, JP; Monaghan, AJ; Lazzara, MA; Keller, LM; Weidner, GA; Wilson, AB</t>
  </si>
  <si>
    <t>Bromwich, David H.; Nicolas, Julien P.; Monaghan, Andrew J.; Lazzara, Matthew A.; Keller, Linda M.; Weidner, George A.; Wilson, Aaron B.</t>
  </si>
  <si>
    <t>Central West Antarctica among the most rapidly warming regions on Earth</t>
  </si>
  <si>
    <t>NATURE GEOSCIENCE</t>
  </si>
  <si>
    <t>SOUTHERN-HEMISPHERE; ICE-SHEET; SURFACE-TEMPERATURE; CLIMATE; VARIABILITY; PRECIPITATION; CIRCULATION; ERA-40; TRENDS</t>
  </si>
  <si>
    <t>There is clear evidence that the West Antarctic Ice Sheet is contributing to sea-level rise. In contrast, West Antarctic temperature changes in recent decades remain uncertain. West Antarctica has probably warmed since the 1950s, but there is disagreement regarding the magnitude, seasonality and spatial extent of this warming. This is primarily because long-term near-surface temperature observations are restricted to Byrd Station in central West Antarctica, a data set with substantial gaps. Here, we present a complete temperature record for Byrd Station, in which observations have been corrected, and gaps have been filled using global reanalysis data and spatial interpolation. The record reveals a linear increase in annual temperature between 1958 and 2010 by 2.4 +/- 1.2 degrees C, establishing central West Antarctica as one of the fastest-warming regions globally. We confirm previous reports of West Antarctic warming, in annual average and in austral spring and winter, but find substantially larger temperature increases. In contrast to previous studies, we report statistically significant warming during austral summer, particularly in December-January, the peak of the melting season. A continued rise in summer temperatures could lead to more frequent and extensive episodes of surface melting of the West Antarctic Ice Sheet. These results argue for a robust long-term meteorological observation network in the region.</t>
  </si>
  <si>
    <t>[Bromwich, David H.; Nicolas, Julien P.; Wilson, Aaron B.] Ohio State Univ, Byrd Polar Res Ctr, Polar Meteorol Grp, Columbus, OH 43210 USA; [Bromwich, David H.; Nicolas, Julien P.; Wilson, Aaron B.] Ohio State Univ, Dept Geog, Atmospher Sci Program, Columbus, OH 43210 USA; [Monaghan, Andrew J.] Natl Ctr Atmospher Res, Boulder, CO 80307 USA; [Lazzara, Matthew A.] Univ Wisconsin, Space Sci &amp; Engn Ctr, Antarctic Meteorol Res Ctr, Madison, WI 53706 USA; [Keller, Linda M.; Weidner, George A.] Univ Wisconsin, Dept Atmospher &amp; Ocean Sci, Madison, WI 53706 USA</t>
  </si>
  <si>
    <t>University System of Ohio; Ohio State University; University System of Ohio; Ohio State University; National Center Atmospheric Research (NCAR) - USA; University of Wisconsin System; University of Wisconsin Madison; University of Wisconsin System; University of Wisconsin Madison</t>
  </si>
  <si>
    <t>Bromwich, DH (corresponding author), Ohio State Univ, Byrd Polar Res Ctr, Polar Meteorol Grp, Columbus, OH 43210 USA.</t>
  </si>
  <si>
    <t>bromwich.1@osu.edu</t>
  </si>
  <si>
    <t>Bromwich, David H/C-9225-2016</t>
  </si>
  <si>
    <t>Monaghan, Andrew/0000-0002-8170-2359; Lazzara, Matthew/0000-0002-4343-498X</t>
  </si>
  <si>
    <t>National Science Foundation (NSF) [ATM-0751291]; NSF Office of Polar Programs [ANT-0838834]; Directorate For Geosciences; Div Atmospheric &amp; Geospace Sciences [0751291] Funding Source: National Science Foundation; Office of Polar Programs (OPP); Directorate For Geosciences [0944018] Funding Source: National Science Foundation</t>
  </si>
  <si>
    <t>National Science Foundation (NSF)(National Science Foundation (NSF)); NSF Office of Polar Programs(National Science Foundation (NSF)); Directorate For Geosciences; Div Atmospheric &amp; Geospace Sciences(National Science Foundation (NSF)NSF - Directorate for Geosciences (GEO)); Office of Polar Programs (OPP); Directorate For Geosciences(National Science Foundation (NSF)NSF - Directorate for Geosciences (GEO))</t>
  </si>
  <si>
    <t>This work was financially supported by the National Science Foundation (NSF) through grant ATM-0751291. The Antarctic Meteorological Research Center, provider of the AWS observations, is supported by the NSF Office of Polar Programs through grant ANT-0838834. We thank H. Brecher, R. Fogt, C. Genthon, T. Wilson and S-H. Wang for their insight/assistance at various stages of this work. We are also grateful to S. Colwell (British Antarctic Survey) for maintaining the READER database. This is contribution 1428 of the Byrd Polar Research Center.</t>
  </si>
  <si>
    <t>1752-0894</t>
  </si>
  <si>
    <t>1752-0908</t>
  </si>
  <si>
    <t>NAT GEOSCI</t>
  </si>
  <si>
    <t>Nat. Geosci.</t>
  </si>
  <si>
    <t>10.1038/NGEO1671</t>
  </si>
  <si>
    <t>117HO</t>
  </si>
  <si>
    <t>WOS:000316944400021</t>
  </si>
  <si>
    <t>Kenarova, A; Encheva, M; Chipeva, V; Chipev, N; Hristova, P; Moncheva, P</t>
  </si>
  <si>
    <t>Kenarova, Anelia; Encheva, Marta; Chipeva, Valentina; Chipev, Nesho; Hristova, Petya; Moncheva, Penka</t>
  </si>
  <si>
    <t>Physiological diversity of bacterial communities from different soil locations on Livingston Island, South Shetland archipelago, Antarctica</t>
  </si>
  <si>
    <t>Antarctica; Soil bacterial communities; Biolog EcoPlates; Community level physiological profile; Bacterial physiological diversity</t>
  </si>
  <si>
    <t>FREEZE-THAW CYCLES; FUNCTIONAL DIVERSITY; MICROBIAL COMMUNITIES; DOMINANT BACTERIA; SALICYLIC-ACID; COLD; TEMPERATURE; PLANTS; CLASSIFICATION; CYANOBACTERIA</t>
  </si>
  <si>
    <t>Terrestrial food webs of Antarctica are simple and dominated by microorganisms. Soil bacteria play an important role in nutrient cycling, yet little is known about their capacity to utilize different carbon sources and to participate in site nutrient turnover. Biolog EcoPlate (TM) was applied to study the catabolic activity and physiological diversity of bacteria inhabiting the soil of moss, vascular plants, and fell field habitats from Livingston Island, Antarctica. Additionally, the number of oligotrophic and copiotrophic bacteria was counted by the agar plate method. Results indicated a lack of site-specific distribution of bacterial abundance, in contrast to bacterial catabolic activity and community level physiological profiles. Community level physiological profiles revealed a common capacity of soil bacteria to intensively utilize polyols, which are cryoprotectants widely produced by Antarctic organisms, as well as site-specific phenolic compounds (vegetated habitats), amino acids/amines (moss habitats), carbohydrates and carboxylic acids (fell field habitat). It was concluded that the physiology of soil bacteria is habitat specific concerning both the rate of catabolic activity and pattern of carbon source utilization.</t>
  </si>
  <si>
    <t>[Kenarova, Anelia; Encheva, Marta; Chipeva, Valentina; Hristova, Petya; Moncheva, Penka] Univ Sofia, Fac Biol, Sofia 1164, Bulgaria; [Chipev, Nesho] Inst Biodivers &amp; Ecosyst Res, Sofia 1113, Bulgaria</t>
  </si>
  <si>
    <t>University of Sofia; Bulgarian Academy of Sciences</t>
  </si>
  <si>
    <t>Kenarova, A (corresponding author), Univ Sofia, Fac Biol, 8 Dragan Tsankov Blvd, Sofia 1164, Bulgaria.</t>
  </si>
  <si>
    <t>akenarova@abv.bg</t>
  </si>
  <si>
    <t>Chipev, Nesho/ABG-8857-2021; Hristova, Petya/AAL-6803-2021; Kenarova, Anelia/AAK-5420-2021; Moncheva, Penka/L-7778-2017</t>
  </si>
  <si>
    <t>Hristova, Petya/0000-0001-9858-3301; Moncheva, Penka/0000-0003-4513-6836; Kenarova, Anelia/0000-0002-9891-8674</t>
  </si>
  <si>
    <t>National Scientific Foundation of Bulgaria [D RNF 02.2.2009]</t>
  </si>
  <si>
    <t>National Scientific Foundation of Bulgaria</t>
  </si>
  <si>
    <t>We are grateful to Dr. Valentin Andreev, member of the Bulgarian Antarctic Institute, for soil samples' collection. This study was supported by the National Scientific Foundation of Bulgaria, Project D RNF 02.2.2009.</t>
  </si>
  <si>
    <t>10.1007/s00300-012-1254-8</t>
  </si>
  <si>
    <t>WOS:000313729400008</t>
  </si>
  <si>
    <t>Cannone, N; Convey, P; Guglielmin, M</t>
  </si>
  <si>
    <t>Cannone, Nicoletta; Convey, Peter; Guglielmin, Mauro</t>
  </si>
  <si>
    <t>Diversity trends of bryophytes in continental Antarctica</t>
  </si>
  <si>
    <t>Antarctica; Mosses; Biogeography; Evolution; Colonization; Environmental gradients; Gressitt Line</t>
  </si>
  <si>
    <t>VICTORIA LAND; LATITUDINAL GRADIENT; SPECIES-RICHNESS; VARIABILITY; HISTORY; EXTINCTION; GLACIATION; EVOLUTION; PATTERNS; PLANTS</t>
  </si>
  <si>
    <t>Bryophytes exhibit a decline in species richness with latitude across the sub-Antarctic islands, Antarctic Peninsula and Antarctic continent, but not within the Antarctic continent itself. We analyzed diversity and biogeographic patterns of bryophytes at intra-regional scale across the Ross Sector of continental Antarctica, also comparing the coast and slope provinces within this region, and placed these patterns in the context of bryophyte biogeography across Antarctica. Our study area included 63 sites along a transect through Victoria Land and the Transantarctic Mountains. Distributions of bryophyte species were collated from recent field surveys, the Antarctic Plant Database and the literature. Data analyses included rarefaction, hierarchical classification, multivariate analyses and description of richness trends by latitude bands. Despite an almost linear climatic gradient, bryophyte diversity in the Ross Sector is not influenced by latitude, and patterns differ depending on the scale of analysis. At local scale, diversity hot spots appear to be related to favorable local microclimatic conditions. At intra-regional scale, site location in the coast or slope province is the most effective predictor of bryophyte diversity. The site clustering within each province is consistent with precipitation and biogeographic separation of two sub-regions due to important dispersal barriers, as also reported for the microarthropod fauna. At continental scale, bryophyte diversity patterns among sectors suggest a continent-Antarctic Peninsula separation, consistent with the Gressitt Line, suggesting a common feature in the evolutionary history of the vegetation and invertebrate fauna. The high similarities of the floras of adjacent continental sectors suggest a potential route for bryophyte dispersal along the coast of continental Antarctica.</t>
  </si>
  <si>
    <t>[Cannone, Nicoletta] Insubria Univ, Dept Theoret &amp; Appl Sci, I-21100 Varese, Italy; [Convey, Peter] British Antarctic Survey, Nat Environm Res Council, Cambridge CB3 0ET, England; [Convey, Peter] Univ Malaya, Natl Antarctic Res Ctr, Kuala Lumpur 50603, Malaysia; [Guglielmin, Mauro] Insubria Univ, Dept Theoret &amp; Appl Sci, I-21100 Varese, Italy</t>
  </si>
  <si>
    <t>University of Insubria; UK Research &amp; Innovation (UKRI); Natural Environment Research Council (NERC); NERC British Antarctic Survey; Universiti Malaya; University of Insubria</t>
  </si>
  <si>
    <t>Cannone, N (corresponding author), Insubria Univ, Dept Theoret &amp; Appl Sci, Via Valleggio 11, I-21100 Varese, Italy.</t>
  </si>
  <si>
    <t>nicoletta.cannone@uninsubria.it</t>
  </si>
  <si>
    <t>Convey, Peter/AAV-5728-2020; Cannone, Nicoletta/W-8651-2019</t>
  </si>
  <si>
    <t>Convey, Peter/0000-0001-8497-9903; Cannone, Nicoletta/0000-0002-3390-3965</t>
  </si>
  <si>
    <t>PNRA (Progetto Nazionale Ricerche in Antartide); NERC [bas0100025] Funding Source: UKRI; Natural Environment Research Council [bas0100025] Funding Source: researchfish</t>
  </si>
  <si>
    <t>PNRA (Progetto Nazionale Ricerche in Antartide); NERC(UK Research &amp; Innovation (UKRI)Natural Environment Research Council (NERC)); Natural Environment Research Council(UK Research &amp; Innovation (UKRI)Natural Environment Research Council (NERC))</t>
  </si>
  <si>
    <t>We are very grateful to the PNRA (Progetto Nazionale Ricerche in Antartide) for funding and logistical support. We thank Dr Helen Peat for providing data from the BAS Antarctic Plant Database. Anonymous referees are thanked for their constructive comments. This paper also contributes to the BAS core Ecosystems and the SCAR Evolution and Biodiversity in the Antarctic programmes.</t>
  </si>
  <si>
    <t>10.1007/s00300-012-1257-5</t>
  </si>
  <si>
    <t>WOS:000313729400011</t>
  </si>
  <si>
    <t>Klages, JP; Kuhn, G; Hillenbrand, CD; Graham, AGC; Smith, JA; Larter, RD; Gohl, K</t>
  </si>
  <si>
    <t>Klages, J. P.; Kuhn, G.; Hillenbrand, C-D; Graham, A. G. C.; Smith, J. A.; Larter, R. D.; Gohl, K.</t>
  </si>
  <si>
    <t>First geomorphological record and glacial history of an inter-ice stream ridge on the West Antarctic continental shelf</t>
  </si>
  <si>
    <t>QUATERNARY SCIENCE REVIEWS</t>
  </si>
  <si>
    <t>Pine Island Bay; Amundsen Sea; West Antarctic Ice Sheet; Inter-ice stream ridge; Last Glacial Maximum; Glacial flow; Glacial history; Glacial retreat; Ice stream</t>
  </si>
  <si>
    <t>PINE ISLAND BAY; ROSS-SEA; SUBGLACIAL TILL; FLOW DYNAMICS; SHEET; RETREAT; MAXIMUM; LANDFORMS; MORAINE; SEDIMENTATION</t>
  </si>
  <si>
    <t>Inter-ice stream areas cover significant portions of Antarctica's formerly glaciated shelves, but have been largely neglected in past geological studies because of overprinting by iceberg scours. Here, we present results of the first detailed survey of an inter-ice stream ridge from the West Antarctic continental shelf. Well-preserved sub- and proglacial bedforms on the seafloor of the ridge in the eastern Amundsen Sea Embayment (ASE) provide new insights into the flow dynamics of this sector of the West Antarctic Ice Sheet (WAIS) during the Last Glacial cycle. Multibeam swath bathymetry and PARASOUND acoustic sub-bottom profiler data acquired across a mid-shelf bank, between the troughs of the Pine Island-Thwaites (PITPIS) and Cosgrove palaeo-ice streams (COPIS), reveal large-scale ribbed moraines, hill-hole pairs, terminal moraines, and crevasse-squeeze ridges. Together, these features form an assemblage of landforms that is entirely different from that in the adjacent ice-stream troughs, and appears to be unique in the context of previous studies of Antarctic seafloor geomorphology. From this assemblage, the history of ice flow and retreat from the inter-ice stream ridge is reconstructed. The bedforms indicate that ice flow was significantly slower on the inter-ice stream ridge than in the neighbouring troughs. While terminal moraines record at least two re-advances or stillstands of the ice sheet during deglaciation, an extensive field of crevasse-squeeze ridges indicates ice stagnation subsequent to re-advancing ice, which deposited the field of terminal moraines in the NE. The presented data suggest that the ice flow behaviour on the inter-ice stream ridge was substantially different from that in the adjacent troughs. However, newly obtained radiocarbon ages on two sediment cores recovered from the inter-ice stream ridge suggest a similar timing in the deglaciation of both areas. This information closes an important gap in the understanding of past WAIS behaviour in the eastern ASE. Our newly-documented bedforms will also serve as an important diagnostic tool in future studies for interpreting ice-sheet histories in similar inter-ice stream areas. (c) 2012 Elsevier Ltd. All rights reserved.</t>
  </si>
  <si>
    <t>[Klages, J. P.; Kuhn, G.; Gohl, K.] Alfred Wegener Inst Polar &amp; Marine Res, D-27568 Bremerhaven, Germany; [Hillenbrand, C-D; Graham, A. G. C.; Smith, J. A.; Larter, R. D.] British Antarctic Survey, Cambridge CB3 0ET, England</t>
  </si>
  <si>
    <t>Helmholtz Association; Alfred Wegener Institute, Helmholtz Centre for Polar &amp; Marine Research; UK Research &amp; Innovation (UKRI); Natural Environment Research Council (NERC); NERC British Antarctic Survey</t>
  </si>
  <si>
    <t>Klages, JP (corresponding author), Alfred Wegener Inst Polar &amp; Marine Res, Alten Hafen 26, D-27568 Bremerhaven, Germany.</t>
  </si>
  <si>
    <t>Johann.Klages@awi.de</t>
  </si>
  <si>
    <t>Smith, James A/N-1836-2013</t>
  </si>
  <si>
    <t>Larter, Robert/0000-0002-8414-7389; Gohl, Karsten/0000-0002-9558-2116; Kuhn, Gerhard/0000-0001-6069-7485; Graham, Alastair/0000-0002-2880-2908; Klages, Johann Philipp/0000-0003-0968-1183</t>
  </si>
  <si>
    <t>Alfred Wegener Institute research program Polar regions and Coasts in a changing Earth System (PACES); Natural Environment Research Council [bas0100027] Funding Source: researchfish; NERC [bas0100027] Funding Source: UKRI</t>
  </si>
  <si>
    <t>Alfred Wegener Institute research program Polar regions and Coasts in a changing Earth System (PACES); Natural Environment Research Council(UK Research &amp; Innovation (UKRI)Natural Environment Research Council (NERC)); NERC(UK Research &amp; Innovation (UKRI)Natural Environment Research Council (NERC))</t>
  </si>
  <si>
    <t>We thank the captain and crew who participated in RV Polarstern cruise ANT-XXVI/3, and N. Lensch, M. Gutjahr, M. Forwick, P. Jernas, D. Baque, S. Wiers, I. MacNab, M. Seebeck, S. Wiebe, and R. Frohlking for their assistance with coring operations and post-cruise analyses, respectively. K. Hochmuth is acknowledged for processing and displaying the seismic data. The work was financially supported by the Alfred Wegener Institute research program Polar regions and Coasts in a changing Earth System (PACES). Finally we thank Lorna Linch for her constructive, thorough and thoughtful review, which helped to improve the manuscript.</t>
  </si>
  <si>
    <t>0277-3791</t>
  </si>
  <si>
    <t>QUATERNARY SCI REV</t>
  </si>
  <si>
    <t>Quat. Sci. Rev.</t>
  </si>
  <si>
    <t>10.1016/j.quascirev.2012.11.007</t>
  </si>
  <si>
    <t>Geography, Physical; Geosciences, Multidisciplinary</t>
  </si>
  <si>
    <t>Physical Geography; Geology</t>
  </si>
  <si>
    <t>098NA</t>
  </si>
  <si>
    <t>WOS:000315554800004</t>
  </si>
  <si>
    <t>Lee, S; Feldstein, SB</t>
  </si>
  <si>
    <t>Lee, Sukyoung; Feldstein, Steven B.</t>
  </si>
  <si>
    <t>Detecting Ozone- and Greenhouse Gas-Driven Wind Trends with Observational Data</t>
  </si>
  <si>
    <t>SOUTHERN ANNULAR MODE; CIRCULATION; VARIABILITY; CONTINUUM; RECOVERY; IMPACT; OCEAN</t>
  </si>
  <si>
    <t>Modeling studies suggest that Antarctic ozone depletion and, to a lesser degree, greenhouse gas (GHG) increase have caused the observed poleward shift in the westerly jet during the austral summer. Similar studies have not been performed previously with observational data because of difficulties in separating the two contributions. By applying a cluster analysis to daily ERA-Interim data, we found two 7- to 11-day wind clusters, one resembling the models' responses to GHG forcing and the other resembling ozone depletion. The trends in the clusters' frequency of occurrence indicate that the ozone contributed about 50% more than GHG toward the jet shift, supporting the modeling results. Moreover, tropical convection apparently plays an important role for the GHG-driven trend.</t>
  </si>
  <si>
    <t>[Lee, Sukyoung; Feldstein, Steven B.] Penn State Univ, Dept Meteorol, University Pk, PA 16802 USA</t>
  </si>
  <si>
    <t>Pennsylvania Commonwealth System of Higher Education (PCSHE); Pennsylvania State University; Pennsylvania State University - University Park</t>
  </si>
  <si>
    <t>Lee, S (corresponding author), Penn State Univ, Dept Meteorol, 503 Walker Bldg, University Pk, PA 16802 USA.</t>
  </si>
  <si>
    <t>sxl31@meteo.psu.edu</t>
  </si>
  <si>
    <t>NSF [AGS-1036858, AGS-1139970]; Directorate For Geosciences; Div Atmospheric &amp; Geospace Sciences [1036858, 1139970] Funding Source: National Science Foundation</t>
  </si>
  <si>
    <t>NSF(National Science Foundation (NSF)); Directorate For Geosciences; Div Atmospheric &amp; Geospace Sciences(National Science Foundation (NSF)NSF - Directorate for Geosciences (GEO))</t>
  </si>
  <si>
    <t>This research was supported by NSF grants AGS-1036858 and AGS-1139970. The authors acknowledge N. Johnson for providing the Matlab codes used for the SOM analysis and two anonymous reviewers for their helpful suggestions and comments.</t>
  </si>
  <si>
    <t>10.1126/science.1225154</t>
  </si>
  <si>
    <t>WOS:000314270000055</t>
  </si>
  <si>
    <t>Waugh, DW; Primeau, F; DeVries, T; Holzer, M</t>
  </si>
  <si>
    <t>Waugh, Darryn W.; Primeau, Francois; DeVries, Tim; Holzer, Mark</t>
  </si>
  <si>
    <t>Recent Changes in the Ventilation of the Southern Oceans</t>
  </si>
  <si>
    <t>RECENT CLIMATE-CHANGE; ANTHROPOGENIC CO2; DECADAL CHANGES; ANNULAR MODE; DISTRIBUTIONS; CIRCULATION; THERMOCLINE; ATMOSPHERE; AGES; ICE</t>
  </si>
  <si>
    <t>Surface westerly winds in the Southern Hemisphere have intensified over the past few decades, primarily in response to the formation of the Antarctic ozone hole, and there is intense debate on the impact of this on the ocean's circulation and uptake and redistribution of atmospheric gases. We used measurements of chlorofluorocarbon-12 (CFC-12) made in the southern oceans in the early 1990s and mid-to late 2000s to examine changes in ocean ventilation. Our analysis of the CFC-12 data reveals a decrease in the age of subtropical subantarctic mode waters and an increase in the age of circumpolar deep waters, suggesting that the formation of the Antarctic ozone hole has caused large-scale coherent changes in the ventilation of the southern oceans.</t>
  </si>
  <si>
    <t>[Waugh, Darryn W.] Johns Hopkins Univ, Dept Earth &amp; Planetary Sci, Baltimore, MD 21218 USA; [Primeau, Francois] Univ Calif Irvine, Dept Earth Syst Sci, Irvine, CA 92697 USA; [DeVries, Tim] Univ Calif Los Angeles, Dept Atmospher &amp; Ocean Sci, Los Angeles, CA 90095 USA; [Holzer, Mark] Univ New S Wales, Sch Math &amp; Stat, Sydney, NSW, Australia; [Holzer, Mark] Columbia Univ, Dept Appl Phys &amp; Appl Math, New York, NY 10027 USA</t>
  </si>
  <si>
    <t>Johns Hopkins University; University of California System; University of California Irvine; University of California System; University of California Los Angeles; University of New South Wales Sydney; Columbia University</t>
  </si>
  <si>
    <t>Waugh, DW (corresponding author), Johns Hopkins Univ, Dept Earth &amp; Planetary Sci, Baltimore, MD 21218 USA.</t>
  </si>
  <si>
    <t>waugh@jhu.edu</t>
  </si>
  <si>
    <t>; Waugh, Darryn/K-3688-2016; Primeau, Francois/A-7310-2011; Holzer, Mark/E-8735-2011</t>
  </si>
  <si>
    <t>DeVries, Tim/0000-0002-7771-9430; Waugh, Darryn/0000-0001-7692-2798; Primeau, Francois/0000-0001-7452-9415; Holzer, Mark/0000-0002-9568-1763</t>
  </si>
  <si>
    <t>NSF [ANT-1043307, OCE-0928395, ATM-0854711]; Australian Research Council [DP120100674]; Directorate For Geosciences [0928395] Funding Source: National Science Foundation; Directorate For Geosciences; Div Atmospheric &amp; Geospace Sciences [0854711] Funding Source: National Science Foundation; Directorate For Geosciences; Office of Polar Programs (OPP) [1043307] Funding Source: National Science Foundation; Division Of Ocean Sciences [0928395] Funding Source: National Science Foundation</t>
  </si>
  <si>
    <t>NSF(National Science Foundation (NSF)); Australian Research Council(Australian Research Council); Directorate For Geosciences(National Science Foundation (NSF)NSF - Directorate for Geosciences (GEO)); Directorate For Geosciences; Div Atmospheric &amp; Geospace Sciences(National Science Foundation (NSF)NSF - Directorate for Geosciences (GEO)); Directorate For Geosciences; Office of Polar Programs (OPP)(National Science Foundation (NSF)NSF - Directorate for Geosciences (GEO)); Division Of Ocean Sciences(National Science Foundation (NSF)NSF - Directorate for Geosciences (GEO))</t>
  </si>
  <si>
    <t>We thank A. Gnanadesikan, T. Haine, and E. Y. Kwon for helpful conversations and J. Bullister, M. Warner, R. Fine, and the other scientists who provided the CFC-12 data for the WOCE and CLIVAR programs. D. W. W. acknowledges support from NSF grant ANT-1043307, F. P. acknowledges support from NSF grant OCE-0928395, and M. H. acknowledges support from NSF grant ATM-0854711 and Australian Research Council grant DP120100674.</t>
  </si>
  <si>
    <t>10.1126/science.1225411</t>
  </si>
  <si>
    <t>129MC</t>
  </si>
  <si>
    <t>WOS:000317843300001</t>
  </si>
  <si>
    <t>Murray, KT; Miller, MF; Bowser, SS</t>
  </si>
  <si>
    <t>Murray, Katherine T.; Miller, Molly F.; Bowser, Samuel S.</t>
  </si>
  <si>
    <t>Depositional processes beneath coastal multi-year sea ice</t>
  </si>
  <si>
    <t>SEDIMENTOLOGY</t>
  </si>
  <si>
    <t>Aeolian; Antarctica; Explorers Cove; sea ice; sediment transport; Taylor Valley</t>
  </si>
  <si>
    <t>LAST GLACIAL MAXIMUM; EXPLORERS COVE; MCMURDO SOUND; ROSS-SEA; SOUTHERN-OCEAN; FORAMINIFERAL ASSEMBLAGES; TRANSANTARCTIC-MOUNTAINS; RETREAT HISTORY; ANTARCTICA; SHEET</t>
  </si>
  <si>
    <t>The extent of multi-year sea ice impacts climate processes worldwide, such as oceanatmosphere carbon dioxide exchange and deep ocean current formation. Reconstructing these processes in the past, and assessing the distribution of ecologically and climatically significant features, such as polynas, requires recognition of sediments deposited under multi-year sea ice, but little is known about their characteristics. Textural analysis of subaerial and sea floor sediment in Explorers Cove, McMurdo Sound, at the mouth of Taylor Valley, Antarctica, augmented with observations of sedimentary structures and faunal components, elucidates how sediment is transported to the sea floor and allows characterization of the deposits. Comparison of grain-size characteristics of subaerial (moraine, delta and sea-ice surface) sediment and sea floor sediment from short cores taken at depths of 7 to 25m indicates that the likely source of the moderately to poorly sorted sea floor sand is deltaic sediment; small glacial meltwater streams have built deltas since Taylor Valley became ice-free ca 7000years ago. Windblown sediment accumulating on the multi-year sea ice close to the coast typically is coarser grained than sediment on the sea floor; this suggests that the transport of sediment through the ice to the sea floor is not the predominant mode of sediment transfer. However, supra-sea-ice sediment does move to the sea floor through local fractures. The rate of sedimentation under multi-year sea ice is low because of limited stream flow and biogenic sedimentation; the ice cover inhibits primary productivity and dampens waves, precluding physical re-suspension. The upper centimetres of sea floor sediment are churned by epifaunal scallops and brittle stars that leave no telltale biogenic structures and whose calcite ossicles and shells may be poorly preserved. The resulting deposits under multi-year sea ice are poorly sorted, massive sand that provides little evidence of the bioturbators that have masked the indicators of the original physical depositional processes.</t>
  </si>
  <si>
    <t>[Murray, Katherine T.; Miller, Molly F.] Vanderbilt Univ, Dept Earth &amp; Environm Sci, Nashville, TN 37235 USA; [Bowser, Samuel S.] Wadsworth Ctr, Albany, NY 12201 USA</t>
  </si>
  <si>
    <t>Vanderbilt University; Wadsworth Center</t>
  </si>
  <si>
    <t>Murray, KT (corresponding author), Vanderbilt Univ, Dept Earth &amp; Environm Sci, 2301 Vanderbilt Pl, Nashville, TN 37235 USA.</t>
  </si>
  <si>
    <t>k.murray@duke.edu</t>
  </si>
  <si>
    <t>Ratliff, Katherine/0000-0003-1410-2756</t>
  </si>
  <si>
    <t>US National Science Foundation [ANT 0739496, ANT 0739583]; Directorate For Geosciences; Office of Polar Programs (OPP) [0739583] Funding Source: National Science Foundation</t>
  </si>
  <si>
    <t>US National Science Foundation(National Science Foundation (NSF)); Directorate For Geosciences; Office of Polar Programs (OPP)(National Science Foundation (NSF)NSF - Directorate for Geosciences (GEO))</t>
  </si>
  <si>
    <t>This work was supported by the US National Science Foundation Grants ANT 0739496 (MFM) and ANT 0739583 (SSB). Thanks to divers Steve Clabeusch, Shawn Harper, Henry Kaiser and Cecelia Shin for photography and sampling, the Antarctic Geospatial Information Center for providing Figs 1 and 3, Abraham Padilla for drawing Fig. 16 and to Raytheon and PHI Inc., for logistical support. Additional thanks for the helpful comments and suggestions of Julia Wellner and Cliff Atkins that aided in revision of an earlier version of this manuscript.</t>
  </si>
  <si>
    <t>0037-0746</t>
  </si>
  <si>
    <t>1365-3091</t>
  </si>
  <si>
    <t>Sedimentology</t>
  </si>
  <si>
    <t>10.1111/j.1365-3091.2012.01345.x</t>
  </si>
  <si>
    <t>084FH</t>
  </si>
  <si>
    <t>WOS:000314522700002</t>
  </si>
  <si>
    <t>Dennis, PG; Newsham, KK; Rushton, SP; Ord, VJ; O'Donnell, AG; Hopkins, DW</t>
  </si>
  <si>
    <t>Dennis, Paul G.; Newsham, Kevin K.; Rushton, Steven P.; Ord, Victoria J.; O'Donnell, Anthony G.; Hopkins, David W.</t>
  </si>
  <si>
    <t>Warming constrains bacterial community responses to nutrient inputs in a southern, but not northern, maritime Antarctic soil</t>
  </si>
  <si>
    <t>SOIL BIOLOGY &amp; BIOCHEMISTRY</t>
  </si>
  <si>
    <t>Antarctica; Climate change; Gram negative bacteria; Gram positive bacteria; Nutrient input; Open top chambers (OTCs); Substrate amendments; Warming; Water application</t>
  </si>
  <si>
    <t>MICROBIAL COMMUNITIES; DRY VALLEY; CLIMATE-CHANGE; TEMPERATURE; PRODUCTIVITY; MANIPULATION; RESPIRATION; ECOSYSTEMS; DIVERSITY; PROFILES</t>
  </si>
  <si>
    <t>We investigated the effects of increased soil temperature, water and nutrient availability on soil bacterial communities at Wynn Knolls on Signy Island (60 degrees S) in the northern maritime Antarctic and at Mars Oasis (71 degrees S) in the southern maritime Antarctic. After 10-12 months, analyses of the concentrations of ester linked fatty acids (ELFAs) in soil indicated that bacterial communities responded positively to single applications of substrates at both locations, with 20% and 49% increases in total Gram positive and Gram negative bacterial markers, respectively, in response to the application of tryptic soy broth (TSB; a complex substrate containing organic carbon and nitrogen, plus other nutrient elements) at Wynn Knolls, and 120% and 44% increases in Gram positive bacterial markers at Mars Oasis in response to the application of TSB and the amino acid glycine (a relatively simple source of organic carbon and nitrogen), respectively. Responses to the warming treatment were not detected at Wynn Knolls, where open top chambers (OTCs) increased mean monthly soil temperatures by up to 0.7 degrees C, but at Mars Oasis, where OTCs increased monthly soil temperatures by up to 2.4 degrees C, warming led to 41% and 46% reductions in the concentrations of Gram positive bacterial markers in soil to which glycine and TSB had been applied, respectively. Warming also led to 55% and 51% reductions in the ratio of Gram positive to Gram negative markers in soils at Mars Oasis to which glycine and TSB had been applied. These data suggest that warming may constrain the responses of bacterial communities to carbon and nitrogen inputs arising from dead plant matter entering maritime Antarctic soils in future decades. (C) 2012 Elsevier Ltd. All rights reserved.</t>
  </si>
  <si>
    <t>[Dennis, Paul G.; Hopkins, David W.] Univ Stirling, Sch Biol &amp; Environm Sci, Stirling FK9 4LA, Scotland; [Newsham, Kevin K.] British Antarctic Survey, Ecosyst Programme, Cambridge CB3 0ET, England; [Rushton, Steven P.; Ord, Victoria J.; O'Donnell, Anthony G.] Newcastle Univ, Sch Biol, Newcastle Upon Tyne NE1 7RU, Tyne &amp; Wear, England; [O'Donnell, Anthony G.] Univ Western Australia, Crawley, WA 6009, Australia; [Hopkins, David W.] Heriot Watt Univ, Sch Life Sci, Edinburgh EH14 4AS, Midlothian, Scotland</t>
  </si>
  <si>
    <t>University of Stirling; UK Research &amp; Innovation (UKRI); Natural Environment Research Council (NERC); NERC British Antarctic Survey; Newcastle University - UK; University of Western Australia; Heriot Watt University</t>
  </si>
  <si>
    <t>Dennis, Paul G/H-2141-2017</t>
  </si>
  <si>
    <t>Hopkins, David/0000-0003-0953-8643; O'Donnell, Tony/0000-0003-2001-4533</t>
  </si>
  <si>
    <t>Natural Environment Research Council through Antarctic Funding Initiative [AFI 7/05, NE/D00893X/1]; Natural Environment Research Council [bas0100025, NE/D00893X/1] Funding Source: researchfish; NERC [bas0100025, NE/D00893X/1] Funding Source: UKRI</t>
  </si>
  <si>
    <t>Natural Environment Research Council through Antarctic Funding Initiative; Natural Environment Research Council(UK Research &amp; Innovation (UKRI)Natural Environment Research Council (NERC)); NERC(UK Research &amp; Innovation (UKRI)Natural Environment Research Council (NERC))</t>
  </si>
  <si>
    <t>Funding was supplied by the Natural Environment Research Council through the Antarctic Funding Initiative (AFI 7/05; NE/D00893X/1). Logistical support was provided by the British Antarctic Survey's Operations Group and Air Unit, and Phil Coates, Mike Dunn, Paul Torode, Matt Jobson, Daniel Prunier, Adam Clark and Dickie Hall assisted with fieldwork. Jenni Dungait assisted with the interpretation of ELFA data, Etienne Yergeau provided preprints of papers and anonymous referees supplied helpful comments on a previous version of the manuscript. All are gratefully acknowledged.</t>
  </si>
  <si>
    <t>0038-0717</t>
  </si>
  <si>
    <t>1879-3428</t>
  </si>
  <si>
    <t>SOIL BIOL BIOCHEM</t>
  </si>
  <si>
    <t>Soil Biol. Biochem.</t>
  </si>
  <si>
    <t>10.1016/j.soilbio.2012.07.009</t>
  </si>
  <si>
    <t>121LU</t>
  </si>
  <si>
    <t>WOS:000317247100028</t>
  </si>
  <si>
    <t>Bartasun, P; Cieslinski, H; Bujacz, A; Wierzbicka-Wos, A; Kur, J</t>
  </si>
  <si>
    <t>Bartasun, Paulina; Cieslinski, Hubert; Bujacz, Anna; Wierzbicka-Wos, Anna; Kur, Jozef</t>
  </si>
  <si>
    <t>A Study on the Interaction of Rhodamine B with Methylthioadenosine Phosphorylase Protein Sourced from an Antarctic Soil Metagenomic Library</t>
  </si>
  <si>
    <t>PLOS ONE</t>
  </si>
  <si>
    <t>5'-DEOXY-5'-METHYLTHIOADENOSINE PHOSPHORYLASE; FLUORESCENCE; IDENTIFICATION; LIPASE; PURIFICATION; REFINEMENT; RESOLUTION; CRYSTAL; BINDING</t>
  </si>
  <si>
    <t>The presented study examines the phenomenon of the fluorescence under UV light excitation (312 nm) of E. coli cells expressing a novel metagenomic-derived putative methylthioadenosine phosphorylase gene, called rsfp, grown on LB agar supplemented with a fluorescent dye rhodamine B. For this purpose, an rsfp gene was cloned and expressed in an LMG194 E. coli strain using an arabinose promoter. The resulting RSFP protein was purified and its UV-VIS absorbance spectrum and emission spectrum were assayed. Simultaneously, the same spectroscopic studies were carried out for rhodamine B in the absence or presence of RSFP protein or native E. coli proteins, respectively. The results of the spectroscopic studies suggested that the fluorescence of E. coli cells expressing rsfp gene under UV illumination is due to the interaction of rhodamine B molecules with the RSFP protein. Finally, this interaction was proved by a crystallographic study and then by site-directed mutagenesis of rsfp gene sequence. The crystal structures of RSFP apo form (1.98 angstrom) and complex RSFP/RB (1.90 angstrom) show a trimer of RSFP molecules located on the crystallographic six fold screw axis. The RSFP complex with rhodamine B revealed the binding site for RB, in the pocket located on the interface between symmetry related monomers.</t>
  </si>
  <si>
    <t>[Bartasun, Paulina; Cieslinski, Hubert; Kur, Jozef] Gdansk Univ Technol, Fac Chem, Dept Microbiol, Gdansk, Poland; [Bujacz, Anna] Lodz Univ Technol, Inst Tech Biochem, Lodz, Poland; [Wierzbicka-Wos, Anna] Univ Szczecin, Fac Biol, Dept Microbiol, Szczecin, Poland</t>
  </si>
  <si>
    <t>Fahrenheit Universities; Gdansk University of Technology; Lodz University of Technology; University of Szczecin</t>
  </si>
  <si>
    <t>Cieslinski, H (corresponding author), Gdansk Univ Technol, Fac Chem, Dept Microbiol, Gdansk, Poland.</t>
  </si>
  <si>
    <t>hcieslin@pg.gda.pl</t>
  </si>
  <si>
    <t>Wierzbicka-Woś, Anna/E-1089-2012; Bujacz, Anna/M-4464-2018</t>
  </si>
  <si>
    <t>Wierzbicka-Woś, Anna/0000-0002-8416-5077; Bujacz, Anna/0000-0002-0808-1349; , Hubert/0000-0002-3504-2257; Cieslinski, Hubert/0000-0003-0573-0830</t>
  </si>
  <si>
    <t>PUBLIC LIBRARY SCIENCE</t>
  </si>
  <si>
    <t>SAN FRANCISCO</t>
  </si>
  <si>
    <t>1160 BATTERY STREET, STE 100, SAN FRANCISCO, CA 94111 USA</t>
  </si>
  <si>
    <t>1932-6203</t>
  </si>
  <si>
    <t>PLoS One</t>
  </si>
  <si>
    <t>JAN 31</t>
  </si>
  <si>
    <t>e55697</t>
  </si>
  <si>
    <t>10.1371/journal.pone.0055697</t>
  </si>
  <si>
    <t>085JH</t>
  </si>
  <si>
    <t>gold, Green Published, Green Submitted</t>
  </si>
  <si>
    <t>WOS:000314610600148</t>
  </si>
  <si>
    <t>Jacobs, SR; Elliott, KH; Gaston, AJ</t>
  </si>
  <si>
    <t>Jacobs, Shoshanah R.; Elliott, Kyle Hamish; Gaston, Anthony J.</t>
  </si>
  <si>
    <t>Parents are a Drag: Long-Lived Birds Share the Cost of Increased Foraging Effort with Their Offspring, but Males Pass on More of the Costs than Females</t>
  </si>
  <si>
    <t>THICK-BILLED MURRES; GUILLEMOTS URIA-LOMVIA; BODY CONDITION; BRUNNICHS GUILLEMOTS; ARCTIC SEABIRD; PLASMA-CORTICOSTERONE; MONOMORPHIC SEABIRD; REPRODUCTIVE COSTS; ATLANTIC PUFFINS; ANTARCTIC PETREL</t>
  </si>
  <si>
    <t>Life history theory predicts that parents will balance benefits from investment in current offspring against benefits from future reproductive investments. Long-lived organisms are therefore less likely to increase parental effort when environmental conditions deteriorate. To investigate the effect of decreased foraging capacity on parental behaviour of long-lived monogamous seabirds, we experimentally increased energy costs for chick-rearing thick-billed murres (Uria lomvia). Handicapped birds had lighter chicks and lower provisioning rates, supporting the prediction that long-lived animals would pass some of the costs of impaired foraging ability on to their offspring. Nonetheless, handicapped birds spent less time underwater, had longer inter-dive surface intervals, had lower body mass, showed lower resighting probabilities in subsequent years and consumed fewer risky prey items. Corticosterone levels were similar between control and handicapped birds. Apparently, adults shared some of the costs of impaired foraging, but those costs were not measurable in all metrics. Handicapped males had higher plasma neutral lipid concentrations (higher energy mobilisation) and their chicks exhibited lower growth rates than handicapped females, suggesting different sex-specific investment strategies. Unlike other studies of auks, partners did not compensate for handicapping, despite good foraging conditions for unhandicapped birds. In conclusion, parental murres and their offspring shared the costs of experimentally increased foraging constraints, with females investing more than males.</t>
  </si>
  <si>
    <t>[Jacobs, Shoshanah R.] Dept Integrated Biol, Guelph, ON, Canada; [Elliott, Kyle Hamish] Univ Manitoba, Dept Zool, Winnipeg, MB R3T 2N2, Canada; [Gaston, Anthony J.] Environm Canada, Natl Wildlife Res Ctr, Ottawa, ON K1A 0H3, Canada</t>
  </si>
  <si>
    <t>University of Manitoba; Environment &amp; Climate Change Canada; Canadian Wildlife Service; National Wildlife Research Centre - Canada</t>
  </si>
  <si>
    <t>Elliott, KH (corresponding author), Univ Manitoba, Dept Zool, Winnipeg, MB R3T 2N2, Canada.</t>
  </si>
  <si>
    <t>urialomvia@gmail.com</t>
  </si>
  <si>
    <t>Elliott, Kyle/S-9185-2019</t>
  </si>
  <si>
    <t>Elliott, Kyle/0000-0001-5304-3993</t>
  </si>
  <si>
    <t>University of Ottawa Doctoral Research Award; Northern Scientific Training Program; Weinberger Award for Environmental Research; Heather Glendinning McMurter Award for Environmental Research; Maas Family Scholarship; NSERC PGSM and Vanier Awards; Natural Sciences and Engineering Research Council Northern Research Internship; Mountain Equipment Co-op Studentship; Arctic Institute of North America; American Ornithologists' Union Research Grant; Society of Canadian Ornithologists/Bird Studies Canada Taverner; American Museum of Natural History Frank M. Chapman Award; Science and technology Branch of Environment Canada, the University of Manitoba</t>
  </si>
  <si>
    <t>SRJ benefited from the University of Ottawa Doctoral Research Award, Northern Scientific Training Program, Weinberger Award for Environmental Research, Heather Glendinning McMurter Award for Environmental Research, and Maas Family Scholarship. KHE benefited from funding provided by NSERC PGSM and Vanier Awards, Natural Sciences and Engineering Research Council Northern Research Internship, Northern Scientific Training Program, Mountain Equipment Co-op Studentship, Arctic Institute of North America Grant-in-aid, American Ornithologists' Union Research Grant, Society of Canadian Ornithologists/Bird Studies Canada Taverner and James L. Baillie Awards and an American Museum of Natural History Frank M. Chapman Award. Additional financial support came from Science and technology Branch of Environment Canada, the University of Manitoba and 2007-08 International Polar Year. R. Armstrong at the Nunavut Research Institute. The funders had no role in study design, data collection and analysis, decision to publish, or preparation of the manuscript.</t>
  </si>
  <si>
    <t>JAN 30</t>
  </si>
  <si>
    <t>e54594</t>
  </si>
  <si>
    <t>10.1371/journal.pone.0054594</t>
  </si>
  <si>
    <t>098QM</t>
  </si>
  <si>
    <t>gold, Green Submitted, Green Published</t>
  </si>
  <si>
    <t>WOS:000315563800056</t>
  </si>
  <si>
    <t>Guan, QY; Pan, BT; Yang, J; Wang, LJ; Zhao, SL; Gui, HJ</t>
  </si>
  <si>
    <t>Guan, Qingyu; Pan, Baotian; Yang, Jing; Wang, Lijuan; Zhao, Shilei; Gui, Hongjie</t>
  </si>
  <si>
    <t>The processes and mechanisms of severe sandstorm development in the eastern Hexi Corridor China, during the Last Glacial period</t>
  </si>
  <si>
    <t>JOURNAL OF ASIAN EARTH SCIENCES</t>
  </si>
  <si>
    <t>Last Glacial period; Hexi Corridor; Severe sandstorms; Loess</t>
  </si>
  <si>
    <t>QUATERNARY ENVIRONMENTAL-CHANGES; 2 ICE CORE; LOESS PLATEAU; GRAIN-SIZE; INNER-MONGOLIA; NORTHERN CHINA; CLIMATE-CHANGE; MINERAL DUST; LAKE EVOLUTION; TENGGER DESERT</t>
  </si>
  <si>
    <t>Dust transported by sandstorms has been an important feedback in climate change in the past, and its environmental effects are predicted to have a great impact on future global climatic change. Investigating the grain-size classes and the standard deviations of the modern sandstorm samples, and the samples in the Shagou section (situated in the eastern Hexi Corridor), lead us to suggest that the sand fraction within the range of 275.4-550 lam in this section can be used as a sensitive indicator of severe sandstorms. We selected the size range in the L1 stratum of the Shagou loess section as indicative of temporal changes in sandstorm intensity in the eastern Hexi Corridor and found that during the Last Glacial period, severe sandstorms in the eastern Hexi Corridor occurred with high frequency during these periods: I (70-54 ka B.P.), II (51-48 ka B.P.), III (45-42 ka B.P.), IV (38-33 ka B.P.), V (31-28 ka B.P.) and VI (26-12 B.P.) In general, the frequency and intensity of dust storms in the early (MIS 4) and late (MIS 2) periods were both high but they were reduced in the middle period (MIS 3). The primary factors controlling severe sandstorms are hydrology and wind power, followed by the expansion of the source extent Reduced precipitation caused the source region of sandstorms to expand; in addition, wind speeds also increased at this time. These factors rnay have directly contributed to the abundance of severe sandstorms. Based on the grain size from a loess section (the Shagou section) in the eastem Hexi Corridor, we propose an evolutionary sequence of the severe sandstorms during the Last Glacial period. This sequence is consistent with the dust records in the Arctic, the Antarctic and low-latitude (the central equatorial Pacific) areas. Thus globally synchronous periods of high dust activity occurred in the Last Glacial period. The strong winds proposed here provide a potential explanation for the global consistency of dust flux changes during the Last Glacial period. (C) 2012 Elsevier Ltd. All rights reserved.</t>
  </si>
  <si>
    <t>[Guan, Qingyu; Pan, Baotian; Yang, Jing; Wang, Lijuan; Zhao, Shilei; Gui, Hongjie] Lanzhou Univ, Key Lab Western Chinas Environm Syst, Minist Educ, Coll Earth &amp; Environm Sci, Lanzhou 730000, Gansu, Peoples R China</t>
  </si>
  <si>
    <t>Lanzhou University</t>
  </si>
  <si>
    <t>Guan, QY (corresponding author), Lanzhou Univ, Key Lab Western Chinas Environm Syst, Minist Educ, Coll Earth &amp; Environm Sci, Lanzhou 730000, Gansu, Peoples R China.</t>
  </si>
  <si>
    <t>guanqy@lzu.edu.cn; panbt@lzu.edu.cn</t>
  </si>
  <si>
    <t>Wang, Lijuan/GMX-3295-2022</t>
  </si>
  <si>
    <t>National Natural Science Foundation of China [41171015, 40701016]; Program for New Century Excellent Talents in University [NCET-11-0208]; Science and Technology project of Gansu Province [1107RJZA212]; Fundamental Research Funds for the Central Universities [lzujbky-2010-96]</t>
  </si>
  <si>
    <t>National Natural Science Foundation of China(National Natural Science Foundation of China (NSFC)); Program for New Century Excellent Talents in University(Program for New Century Excellent Talents in University (NCET)); Science and Technology project of Gansu Province; Fundamental Research Funds for the Central Universities(Fundamental Research Funds for the Central Universities)</t>
  </si>
  <si>
    <t>We thank Prof. J.L. Xiao for kindly and quickly providing the data of the Luochuan section. We thank Dr. T. Stevens for improving the English and for his constructive suggestions. We are grateful to another anonymous reviewer for providing useful comments, which helped to improve the manuscript. This work was supported by the National Natural Science Foundation of China (Grant No. 41171015, 40701016), the Program for New Century Excellent Talents in University (Grant No. NCET-11-0208), the Science and Technology project of Gansu Province (Grant No. 1107RJZA212), the Fundamental Research Funds for the Central Universities (Grant No. lzujbky-2010-96).</t>
  </si>
  <si>
    <t>1367-9120</t>
  </si>
  <si>
    <t>1878-5786</t>
  </si>
  <si>
    <t>J ASIAN EARTH SCI</t>
  </si>
  <si>
    <t>J. Asian Earth Sci.</t>
  </si>
  <si>
    <t>10.1016/j.jseaes.2012.11.030</t>
  </si>
  <si>
    <t>091UY</t>
  </si>
  <si>
    <t>WOS:000315076500060</t>
  </si>
  <si>
    <t>Park, SY; Kim, JY; Bae, JH; Hou, CT; Kim, HR</t>
  </si>
  <si>
    <t>Park, Sun-Young; Kim, Ji-Yeon; Bae, Jae-Han; Hou, Ching T.; Kim, Hak-Ryul</t>
  </si>
  <si>
    <t>Optimization of Culture Conditions for Production of a Novel Cold-Active Lipase from Pichia lynferdii NRRL Y-7723</t>
  </si>
  <si>
    <t>JOURNAL OF AGRICULTURAL AND FOOD CHEMISTRY</t>
  </si>
  <si>
    <t>lipase; cold-active; Pichia lynferdii; optimization; yeast</t>
  </si>
  <si>
    <t>PSEUDOMONAS-FLUORESCENS; GENE CLONING; PSYCHROTROPH; PURIFICATION; ALKALINE; ENZYMES; SITE</t>
  </si>
  <si>
    <t>Lipases with abnormal properties such as thermostability, alkalinity, acidity, and cold activity receive industrial attention because of their usability under restricted reaction conditions. Most microbial cold-active lipases originate from psychrotrophic and psychrophilic microorganisms found in Antarctic regions, which has led to difficulties in the practical production of cold-active lipase. Recently, a mesophilic yeast, Pichia lynferdii NRRL Y-7723, was reported to produce a novel cold-active lipase. This study focused on optimization of environmental factors, while giving particular attention to the relationships between given factors and incubation time, to maximize the production of a novel cold-active lipase from P. lynferdii NRRL Y-7723. Maximum lipase production was highly dependent on the incubation time at a given environmental factor. Lipase production varied with incubation time at a given temperature, and 20 degrees C was selected as the optimum temperature for lipase production. Fructose was selected as the best carbon source, and maximum lipase production was obtained when it was present at 0.7% (w/v). Yeast extract was an efficient organic nitrogen source, with maximum lipase production occurring at 0.996 (w/v). Specifically, at the optimum yeast extract level the lipase production was &gt;10 times higher than the productivity under standard conditions. All natural oils tested showed lipase production, but their maximum productivities varied according to incubation time and oil species.</t>
  </si>
  <si>
    <t>[Park, Sun-Young; Kim, Ji-Yeon; Bae, Jae-Han; Kim, Hak-Ryul] Kyungpook Natl Univ, Sch Food Sci &amp; Biotechnol, Taegu 702701, South Korea; [Hou, Ching T.] USDA ARS, Microbial Genom &amp; Bioproc Res Unit, Natl Ctr Agr Utilizat Res, Peoria, IL 61604 USA</t>
  </si>
  <si>
    <t>Kyungpook National University; United States Department of Agriculture (USDA)</t>
  </si>
  <si>
    <t>Kim, HR (corresponding author), Kyungpook Natl Univ, Sch Food Sci &amp; Biotechnol, Taegu 702701, South Korea.</t>
  </si>
  <si>
    <t>hakrkim@knu.ac.kr</t>
  </si>
  <si>
    <t>Park, Sun/ABB-2937-2021</t>
  </si>
  <si>
    <t>Park, Sun/0000-0002-9283-2642</t>
  </si>
  <si>
    <t>Basic Science Research Program through the National Research Foundation of Korea (NRF); Ministry of Education, Science and Technology [2010-0023701]</t>
  </si>
  <si>
    <t>Basic Science Research Program through the National Research Foundation of Korea (NRF)(National Research Foundation of Korea); Ministry of Education, Science and Technology(Ministry of Education, Science &amp; Technology (MEST), Republic of Korea)</t>
  </si>
  <si>
    <t>This research was supported by the Basic Science Research Program through the National Research Foundation of Korea (NRF) funded by the Ministry of Education, Science and Technology (2010-0023701).</t>
  </si>
  <si>
    <t>AMER CHEMICAL SOC</t>
  </si>
  <si>
    <t>1155 16TH ST, NW, WASHINGTON, DC 20036 USA</t>
  </si>
  <si>
    <t>0021-8561</t>
  </si>
  <si>
    <t>1520-5118</t>
  </si>
  <si>
    <t>J AGR FOOD CHEM</t>
  </si>
  <si>
    <t>J. Agric. Food Chem.</t>
  </si>
  <si>
    <t>10.1021/jf304919y</t>
  </si>
  <si>
    <t>Agriculture, Multidisciplinary; Chemistry, Applied; Food Science &amp; Technology</t>
  </si>
  <si>
    <t>Agriculture; Chemistry; Food Science &amp; Technology</t>
  </si>
  <si>
    <t>083VF</t>
  </si>
  <si>
    <t>WOS:000314492600014</t>
  </si>
  <si>
    <t>Wang, YC; Chang, YG; Yu, L; Zhang, CY; Xu, XQ; Xue, Y; Li, ZJ; Xue, CH</t>
  </si>
  <si>
    <t>Wang, Yanchao; Chang, Yaoguang; Yu, Long; Zhang, Cuiyu; Xu, Xiaoqi; Xue, Yong; Li, Zhaojie; Xue, Changhu</t>
  </si>
  <si>
    <t>Crystalline structure and thermal property characterization of chitin from Antarctic krill (Euphausia superba)</t>
  </si>
  <si>
    <t>CARBOHYDRATE POLYMERS</t>
  </si>
  <si>
    <t>Antarctic krill; Chitin; Crystalline structure; Thermal property</t>
  </si>
  <si>
    <t>ALPHA-CHITIN; BETA-CHITIN; CHITOSAN; EXTRACTION; ACETYLATION; DERIVATIVES; SOLUBILITY; MANAGEMENT; FISHERIES; FLUORIDE</t>
  </si>
  <si>
    <t>Antarctic krill (Euphausia superba) has been widely studied and extensively recognized as a target for commercial fishing. In this study. Antarctic krill chitin was extracted from defatted Antarctic krill shell, and its crystalline structure and thermal properties were characterized by employing Fourier transform infrared spectroscopy. X-ray diffractometry, scanning electron microscopy, thermogravimetry, and differential scanning calorimetry. Results showed that Antarctic krill chitin corresponded to the apolymorph, and was composed of small, stable, and uniform microcrystals. The degree of N-deacetylation was 11.28 +/- 0.86%. The d-spacings of Antarctic krill chitin were 9.78 angstrom and 4.63 angstrom at (0 2 0) and (1 1 0) planes. The crystalline sizes were 6.07 nm and 5.16 nm at (0 2 0) and (1 1 0) planes, respectively. The activation energy of the polysaccharide chain decomposition was 123.35 kJ/mol and the glass transition (T-g) of Antarctic krill chitin was 164.96 degrees C. (C) 2012 Elsevier Ltd. All rights reserved.</t>
  </si>
  <si>
    <t>[Wang, Yanchao; Chang, Yaoguang; Yu, Long; Zhang, Cuiyu; Xu, Xiaoqi; Xue, Yong; Li, Zhaojie; Xue, Changhu] Ocean Univ China, Coll Food Sci &amp; Engn, Qingdao 266003, Peoples R China</t>
  </si>
  <si>
    <t>Ocean University of China</t>
  </si>
  <si>
    <t>Xue, CH (corresponding author), Ocean Univ China, Coll Food Sci &amp; Engn, 5 Yushan Rd, Qingdao 266003, Peoples R China.</t>
  </si>
  <si>
    <t>wangyc19@gmail.com</t>
  </si>
  <si>
    <t>xu, xiaoqi/HOC-4782-2023; Chang, Yaoguang/E-5875-2014</t>
  </si>
  <si>
    <t>Chang, Yaoguang/0000-0002-8234-7272; Yu, Long/0000-0002-6020-3905</t>
  </si>
  <si>
    <t>National Natural Science Foundation of China [31101302]; National High-tech R&amp;D Program of China [2011AA090801]; Program for Changjiang Scholars and Innovative Research Team in University</t>
  </si>
  <si>
    <t>National Natural Science Foundation of China(National Natural Science Foundation of China (NSFC)); National High-tech R&amp;D Program of China(National High Technology Research and Development Program of China); Program for Changjiang Scholars and Innovative Research Team in University(Program for Changjiang Scholars &amp; Innovative Research Team in University (PCSIRT))</t>
  </si>
  <si>
    <t>This work was supported by National Natural Science Foundation of China (No. 31101302), National High-tech R&amp;D Program of China (2011AA090801) and Program for Changjiang Scholars and Innovative Research Team in University.</t>
  </si>
  <si>
    <t>0144-8617</t>
  </si>
  <si>
    <t>1879-1344</t>
  </si>
  <si>
    <t>CARBOHYD POLYM</t>
  </si>
  <si>
    <t>Carbohydr. Polym.</t>
  </si>
  <si>
    <t>10.1016/j.carbpol.2012.09.084</t>
  </si>
  <si>
    <t>Chemistry, Applied; Chemistry, Organic; Polymer Science</t>
  </si>
  <si>
    <t>Chemistry; Polymer Science</t>
  </si>
  <si>
    <t>065KJ</t>
  </si>
  <si>
    <t>WOS:000313146900013</t>
  </si>
  <si>
    <t>Meister, K; Ebbinghaus, S; Xu, Y; Duman, JG; DeVries, A; Gruebele, M; Leitner, DM; Havenith, M</t>
  </si>
  <si>
    <t>Meister, Konrad; Ebbinghaus, Simon; Xu, Yao; Duman, John G.; DeVries, Arthur; Gruebele, Martin; Leitner, David M.; Havenith, Martina</t>
  </si>
  <si>
    <t>Long-range protein-water dynamics in hyperactive insect antifreeze proteins</t>
  </si>
  <si>
    <t>PROCEEDINGS OF THE NATIONAL ACADEMY OF SCIENCES OF THE UNITED STATES OF AMERICA</t>
  </si>
  <si>
    <t>hydration dynamics; THz spetroscopy</t>
  </si>
  <si>
    <t>HYDRATION LAYER; ICE-BINDING; FREEZING RESISTANCE; SECONDARY STRUCTURE; ANTARCTIC FISHES; SIMULATIONS; HYSTERESIS; BEETLE; THZ; SPECTROSCOPY</t>
  </si>
  <si>
    <t>Antifreeze proteins (AFPs) are specific proteins that are able to lower the freezing point of aqueous solutions relative to the melting point. Hyperactive AFPs, identified in insects, have an especially high ability to depress the freezing point by far exceeding the abilities of other AFPs. In previous studies, we postulated that the activity of AFPs can be attributed to two distinct molecular mechanisms: (i) short-range direct interaction of the protein surface with the growing ice face and (ii) long-range interaction by protein-induced water dynamics extending up to 20 angstrom from the protein surface. In the present paper, we combine terahertz spectroscopy and molecular simulations to prove that long-range protein-water interactions make essential contributions to the high antifreeze activity of insect AFPs from the beetle Dendroides canadensis. We also support our hypothesis by studying the effect of the addition of the osmolyte sodium citrate.</t>
  </si>
  <si>
    <t>[Meister, Konrad; Ebbinghaus, Simon; Havenith, Martina] Ruhr Univ Bochum, Lehrstuhl Phys Chem 2, D-44801 Bochum, Germany; [Xu, Yao; Leitner, David M.] Univ Nevada, Dept Chem, Reno, NV 89557 USA; [Duman, John G.] Univ Notre Dame, Dept Biol Sci, Notre Dame, IN 46556 USA; [DeVries, Arthur] Univ Illinois, Dept Anim Biol, Urbana, IL 61801 USA; [Gruebele, Martin] Univ Illinois, Dept Chem, Urbana, IL 61801 USA; [Gruebele, Martin] Univ Illinois, Dept Phys, Urbana, IL 61801 USA; [Gruebele, Martin] Univ Illinois, Ctr Biophys &amp; Computat Biol, Urbana, IL 61801 USA</t>
  </si>
  <si>
    <t>Ruhr University Bochum; Nevada System of Higher Education (NSHE); University of Nevada Reno; University of Notre Dame; University of Illinois System; University of Illinois Urbana-Champaign; University of Illinois System; University of Illinois Urbana-Champaign; University of Illinois System; University of Illinois Urbana-Champaign; University of Illinois System; University of Illinois Urbana-Champaign</t>
  </si>
  <si>
    <t>Havenith, M (corresponding author), Ruhr Univ Bochum, Lehrstuhl Phys Chem 2, D-44801 Bochum, Germany.</t>
  </si>
  <si>
    <t>martina.havenith@rub.de</t>
  </si>
  <si>
    <t>Ebbinghaus, Simon/F-2599-2012</t>
  </si>
  <si>
    <t>Meister, Konrad/0000-0002-6853-6325</t>
  </si>
  <si>
    <t>Volkswagenstiftung Stiftung; National Science Foundation [MCB-1019958, OPP-0231006, CHE-0910669]; Ruhr-University Bochum; Deutsche Forschungsgemeinschaft [EXC 1069]; Direct For Mathematical &amp; Physical Scien; Division Of Chemistry [0910669] Funding Source: National Science Foundation; Div Of Molecular and Cellular Bioscience; Direct For Biological Sciences [1019958] Funding Source: National Science Foundation</t>
  </si>
  <si>
    <t>Volkswagenstiftung Stiftung; National Science Foundation(National Science Foundation (NSF)); Ruhr-University Bochum; Deutsche Forschungsgemeinschaft(German Research Foundation (DFG)); Direct For Mathematical &amp; Physical Scien; Division Of Chemistry(National Science Foundation (NSF)NSF - Directorate for Mathematical &amp; Physical Sciences (MPS)); Div Of Molecular and Cellular Bioscience; Direct For Biological Sciences(National Science Foundation (NSF)NSF - Directorate for Biological Sciences (BIO))</t>
  </si>
  <si>
    <t>We thank E. Brundermann for the initial setup and his advice with the terahertz difference spectrometer. C. Bischak and V. Conti Nibali are acknowledged for valuable assistance with the experiment. This work was funded by the Volkswagenstiftung Stiftung. Additional funding was provided by National Science Foundation Grants MCB-1019958, OPP-0231006, and CHE-0910669 and the Ruhr-University Bochum. This work is part of the Cluster of Excellence Ruhr Explores Solvation (RESOLV) (EXC 1069) funded by the Deutsche Forschungsgemeinschaft.</t>
  </si>
  <si>
    <t>NATL ACAD SCIENCES</t>
  </si>
  <si>
    <t>2101 CONSTITUTION AVE NW, WASHINGTON, DC 20418 USA</t>
  </si>
  <si>
    <t>0027-8424</t>
  </si>
  <si>
    <t>P NATL ACAD SCI USA</t>
  </si>
  <si>
    <t>Proc. Natl. Acad. Sci. U. S. A.</t>
  </si>
  <si>
    <t>JAN 29</t>
  </si>
  <si>
    <t>10.1073/pnas.1214911110</t>
  </si>
  <si>
    <t>084RZ</t>
  </si>
  <si>
    <t>WOS:000314558100017</t>
  </si>
  <si>
    <t>Granot, R; Cande, SC; Stock, JM; Damaske, D</t>
  </si>
  <si>
    <t>Granot, R.; Cande, S. C.; Stock, J. M.; Damaske, D.</t>
  </si>
  <si>
    <t>Revised Eocene-Oligocene kinematics for the West Antarctic rift system</t>
  </si>
  <si>
    <t>GEOPHYSICAL RESEARCH LETTERS</t>
  </si>
  <si>
    <t>FINITE ROTATIONS; EXTENSION; EVOLUTION; PACIFIC; MOTION; PLATE; EAST</t>
  </si>
  <si>
    <t>Past plate motion between East and West Antarctica along the West Antarctic rift system had important regional and global implications. Although extensively studied, the kinematics of the rift during Eocene-Oligocene time still remains elusive. Based on a recent detailed aeromagnetic survey from the Adare and Northern Basins, located in the northwestern Ross Sea, we present the first well-constrained kinematic model with four rotations for Anomalies 12o, 13o, 16y, and 18o (26.5-40.13 Ma). These rotation poles form a cluster suggesting a stable sense of motion during that period of time. The poles are located close to the central part of the rift implying that the local motion varied from extension in the western Ross Sea sector (Adare Basin, Northern Basin, and Victoria Land Basin) to dextral transcurrent motion in the Ross Ice Shelf and to oblique convergence in the eastern end of the rift zone. The results confirm previous estimates of 95 km of extension in the Victoria Land Basin. Citation: Granot, R., S. C. Cande, J. M. Stock, and D. Damaske (2013), Revised Eocene-Oligocene kinematics for the West Antarctic rift system, Geophys. Res. Lett., 40, 279-284, doi:10.1029/2012GL054181.</t>
  </si>
  <si>
    <t>[Granot, R.] Ben Gurion Univ Negev, Dept Geol &amp; Environm Sci, IL-84105 Beer Sheva, Israel; [Cande, S. C.] Univ Calif San Diego, Scripps Inst Oceanog, La Jolla, CA 92093 USA; [Stock, J. M.] CALTECH, Seismol Lab, Pasadena, CA 91125 USA; [Damaske, D.] Bundesanstalt Geowissensch &amp; Rohstoffe, Hannover, Germany</t>
  </si>
  <si>
    <t>Ben Gurion University; University of California System; University of California San Diego; Scripps Institution of Oceanography; California Institute of Technology</t>
  </si>
  <si>
    <t>Granot, R (corresponding author), Ben Gurion Univ Negev, Dept Geol &amp; Environm Sci, IL-84105 Beer Sheva, Israel.</t>
  </si>
  <si>
    <t>rgranot@bgu.ac.il</t>
  </si>
  <si>
    <t>Granot, Roi/F-4555-2012; Stock, Joann Miriam/AAN-1526-2021</t>
  </si>
  <si>
    <t>Stock, Joann Miriam/0000-0003-4816-7865; Granot, Roi/0000-0001-5366-188X</t>
  </si>
  <si>
    <t>NSF [OPP04-40959 (SIO), OPP04-40923 (Caltech)]; Directorate For Geosciences; Office of Polar Programs (OPP) [0944711] Funding Source: National Science Foundation</t>
  </si>
  <si>
    <t>NSF(National Science Foundation (NSF)); Directorate For Geosciences; Office of Polar Programs (OPP)(National Science Foundation (NSF)NSF - Directorate for Geosciences (GEO))</t>
  </si>
  <si>
    <t>We would like to thank Graeme Eagles and an anonymous reviewer for their constructive reviews. This study was funded by NSF grants OPP04-40959 (SIO) and OPP04-40923 (Caltech).</t>
  </si>
  <si>
    <t>AMER GEOPHYSICAL UNION</t>
  </si>
  <si>
    <t>2000 FLORIDA AVE NW, WASHINGTON, DC 20009 USA</t>
  </si>
  <si>
    <t>0094-8276</t>
  </si>
  <si>
    <t>1944-8007</t>
  </si>
  <si>
    <t>GEOPHYS RES LETT</t>
  </si>
  <si>
    <t>Geophys. Res. Lett.</t>
  </si>
  <si>
    <t>JAN 28</t>
  </si>
  <si>
    <t>10.1029/2012GL054181</t>
  </si>
  <si>
    <t>129HH</t>
  </si>
  <si>
    <t>Bronze, Green Submitted, Green Accepted</t>
  </si>
  <si>
    <t>WOS:000317829300009</t>
  </si>
  <si>
    <t>Watkins, NW</t>
  </si>
  <si>
    <t>Watkins, N. W.</t>
  </si>
  <si>
    <t>Bunched black (and grouped grey) swans: Dissipative and non-dissipative models of correlated extreme fluctuations in complex geosystems</t>
  </si>
  <si>
    <t>SELF-ORGANIZED CRITICALITY; LONG-RANGE DEPENDENCE; POWER LAWS; DISTRIBUTIONS; EXPLANATION; ROBUSTNESS; DIFFUSION; DYNAMICS; PHYSICS; SCALE</t>
  </si>
  <si>
    <t>I review the hierarchy of approaches to complex systems, focusing particularly on stochastic equations. I discuss how the main models advocated by the late Benoit Mandelbrot fit into this classification, and how they continue to contribute to cross-disciplinary approaches to the increasingly important problems of correlated extreme events and unresolved scales. The ideas have broad importance, with applications ranging across science areas as diverse as the heavy tailed distributions of intense rainfall in hydrology, after which Mandelbrot named the Noah effect; the problem of correlated runs of dry summers in climate, after which the Joseph effect was named; and the intermittent, bursty, volatility seen in finance and fluid turbulence. Citation: Watkins, N. W. (2013), Bunched black (and grouped grey) swans: Dissipative and non-dissipative models of correlated extreme fluctuations in complex geosystems, Geophys. Res. Lett., 40, 402-410, doi:10.1002/grl.50103.</t>
  </si>
  <si>
    <t>[Watkins, N. W.] British Antarctic Survey, NERC, Cambridge, England; [Watkins, N. W.] Univ London London Sch Econ &amp; Polit Sci, Ctr Anal Time Series, London WC2A 2AE, England; [Watkins, N. W.] Univ Warwick, Ctr Fus Space &amp; Astrophys, Coventry CV4 7AL, W Midlands, England</t>
  </si>
  <si>
    <t>UK Research &amp; Innovation (UKRI); Natural Environment Research Council (NERC); NERC British Antarctic Survey; University of London; London School Economics &amp; Political Science; University of Warwick</t>
  </si>
  <si>
    <t>Watkins, NW (corresponding author), British Antarctic Survey, NERC, High Cross,Madingley Rd, Cambridge, England.</t>
  </si>
  <si>
    <t>nww62@yahoo.co.uk</t>
  </si>
  <si>
    <t>Watkins, Nicholas Wynn/C-5140-2008; Watkins, Nick/GPX-7439-2022</t>
  </si>
  <si>
    <t>Watkins, Nicholas Wynn/0000-0003-4484-6588; Watkins, Nick/0000-0003-4484-6588</t>
  </si>
  <si>
    <t>NERC [bas0100026] Funding Source: UKRI; Natural Environment Research Council [bas0100026] Funding Source: researchfish</t>
  </si>
  <si>
    <t>10.1002/grl.50103</t>
  </si>
  <si>
    <t>WOS:000317829300032</t>
  </si>
  <si>
    <t>Lewis, SC; LeGrande, AN; Kelley, M; Schmidt, GA</t>
  </si>
  <si>
    <t>Lewis, Sophie C.; LeGrande, Allegra N.; Kelley, Maxwell; Schmidt, Gavin A.</t>
  </si>
  <si>
    <t>Modeling insights into deuterium excess as an indicator of water vapor source conditions</t>
  </si>
  <si>
    <t>JOURNAL OF GEOPHYSICAL RESEARCH-ATMOSPHERES</t>
  </si>
  <si>
    <t>EPICA DOME-C; SEA-SURFACE TEMPERATURE; LAST GLACIAL MAXIMUM; ANTARCTIC ICE CORES; ISOTOPIC COMPOSITION; ATMOSPHERIC CIRCULATION; SOUTHERN-OCEAN; CLIMATE-CHANGE; PRECIPITATION; GREENLAND</t>
  </si>
  <si>
    <t>Deuterium excess (d) is interpreted in conventional paleoclimate reconstructions as a tracer of oceanic source region conditions, such as temperature, where precipitation originates. Previous studies have adopted coisotopic approaches (using both delta O-18 and d) to estimate past changes in both site and oceanic source temperatures for ice core sites using empirical relationships derived from conceptual distillation models, particularly Mixed Cloud Isotopic Models (MCIMs). However, the relationship between d and oceanic surface conditions remains unclear in past contexts. We investigate this climate-isotope relationship for sites in Greenland and Antarctica using multiple simulations of the water isotope-enabled Goddard Institute for Space Studies ModelE-R general circulation model and apply a novel suite of model vapor source distribution (VSD) tracers to assess d as a proxy for source temperature variability under a range of climatic conditions. Simulated average source temperatures determined by the VSDs are compared to synthetic source temperature estimates calculated using MCIM equations linking d to source region conditions. We show that although deuterium excess is generally a faithful tracer of source temperatures as estimated by the MCIM approach, large discrepancies in the isotope-climate relationship occur around Greenland during the Last Glacial Maximum simulation, when precipitation seasonality and moisture source regions were notably different from the present. This identified sensitivity in d as a source temperature proxy suggests that quantitative climate reconstructions from deuterium excess should be treated with caution for some sites when boundary conditions are significantly different from the present day. Also, the exclusion of the influence of humidity and other evaporative source changes in MCIM regressions may be a limitation of quantifying source temperature fluctuations from deuterium excess in some instances. Citation: Lewis, S. C., A. N. LeGrande, M. Kelley, and G. A. Schmidt (2013), Modeling insights into deuterium excess as an indicator of water vapor source conditions, J. Geophys. Res. Atmos., 118, 243-262, doi:10.1029/2012JD017804.</t>
  </si>
  <si>
    <t>[Lewis, Sophie C.] Australian Natl Univ, Res Sch Earth Sci, Canberra, ACT, Australia; [LeGrande, Allegra N.; Kelley, Maxwell; Schmidt, Gavin A.] Columbia Univ, NASA, Goddard Inst Space Studies, New York, NY USA; [LeGrande, Allegra N.; Kelley, Maxwell; Schmidt, Gavin A.] Columbia Univ, Ctr Climate Syst Res, New York, NY USA</t>
  </si>
  <si>
    <t>Australian National University; National Aeronautics &amp; Space Administration (NASA); NASA Goddard Space Flight Center; Goddard Institute for Space Studies; Columbia University; Columbia University</t>
  </si>
  <si>
    <t>Lewis, SC (corresponding author), Univ Melbourne, Sch Earth Sci, Parkville, Vic 3010, Australia.</t>
  </si>
  <si>
    <t>sophie.lewis@unimelb.edu.au</t>
  </si>
  <si>
    <t>Schmidt, Gavin/D-4427-2012; LeGrande, Allegra N./D-8920-2012; Lewis, Sophie/H-4968-2011</t>
  </si>
  <si>
    <t>Schmidt, Gavin/0000-0002-2258-0486; LeGrande, Allegra N./0000-0002-5295-0062; Lewis, Sophie/0000-0001-6416-0634</t>
  </si>
  <si>
    <t>NSF [ATM 07-53868]; APA/ASS/JAE Scholarships; Paterson Fellowship/ANU</t>
  </si>
  <si>
    <t>NSF(National Science Foundation (NSF)); APA/ASS/JAE Scholarships; Paterson Fellowship/ANU(Australian National University)</t>
  </si>
  <si>
    <t>The authors thank NASA GISS for institutional support. NSF ATM 07-53868 supports A.N.L. and travel for S. C. L. This study was assisted by APA/ASS/JAE Scholarships and travel funding from Paterson Fellowship/ANU Vice-Chancellor to S. C. L. The authors also thank two anonymous reviewers, who greatly assisted in improving this manuscript.</t>
  </si>
  <si>
    <t>2169-897X</t>
  </si>
  <si>
    <t>2169-8996</t>
  </si>
  <si>
    <t>J GEOPHYS RES-ATMOS</t>
  </si>
  <si>
    <t>J. Geophys. Res.-Atmos.</t>
  </si>
  <si>
    <t>JAN 27</t>
  </si>
  <si>
    <t>10.1029/2012JD017804</t>
  </si>
  <si>
    <t>129KN</t>
  </si>
  <si>
    <t>WOS:000317838100001</t>
  </si>
  <si>
    <t>Hoffmann, L; Xue, X; Alexander, MJ</t>
  </si>
  <si>
    <t>Hoffmann, L.; Xue, X.; Alexander, M. J.</t>
  </si>
  <si>
    <t>A global view of stratospheric gravity wave hotspots located with Atmospheric Infrared Sounder observations</t>
  </si>
  <si>
    <t>MLS OBSERVATIONS; SATELLITE-OBSERVATIONS; MOUNTAIN WAVES; MOMENTUM FLUX; TOTAL OZONE; CONVECTION; MODEL; LIMB; VARIABILITY; VALIDATION</t>
  </si>
  <si>
    <t>The main aim of this study is to find and classify hotspots of stratospheric gravity waves on a global scale. The analysis is based on a 9 year record (2003 to 2011) of radiance measurements by the Atmospheric Infrared Sounder (AIRS) aboard NASA's Aqua satellite. We detect gravity waves based on 4.3 mu m brightness temperature variances. Our method focuses on peak events, i.e., strong gravity wave events for which the local variance considerably exceeds background levels. We estimate the occurrence frequencies of these peak events for different seasons and time of day and use the results to find local maxima or hotspots. In addition, we use AIRS radiances at 8.1 mu m to simultaneously detect convective events, including deep convection in the tropics and mesoscale convective systems at middle latitudes. We classify the gravity wave sources based on seasonal occurrence frequencies for convection, but also by means of time series analyses and topographic data. Our study reproduces well-known hotspots of gravity waves, e. g., the Andes and the Antarctic Peninsula. However, the high horizontal resolution of the AIRS observations also allows us to locate numerous mesoscale hotspots, which are partly unknown or poorly studied so far. Most of these mesoscale hotspots are found near orographic features like mountain ranges, coasts, lakes, deserts, or isolated islands. This study will help to select promising regions and seasons for future case studies of gravity waves. Citation: Hoffmann, L., X. Xue, and M. J. Alexander (2013), A global view of stratospheric gravity wave hotspots located with Atmospheric Infrared Sounder observations, J. Geophys. Res. Atmos., 118, 416-434, doi:10.1029/2012JD018658.</t>
  </si>
  <si>
    <t>[Hoffmann, L.] Forschungszentrum Julich, Julich Supercomp Ctr, D-52425 Julich, Germany; [Xue, X.] Univ Sci &amp; Technol China, Dept Geophys &amp; Planetary Sci, CAS Key Lab Geospace Environm, Hefei 230026, Anhui, Peoples R China; [Xue, X.] Univ Sci &amp; Technol China, Sch Earth &amp; Space Sci, Mengcheng Natl Geophys Observ, Hefei 230026, Anhui, Peoples R China; [Alexander, M. J.] NW Res Associates Inc, Colorado Res Associates Div, Boulder, CO USA</t>
  </si>
  <si>
    <t>Helmholtz Association; Research Center Julich; Chinese Academy of Sciences; University of Science &amp; Technology of China, CAS; Chinese Academy of Sciences; University of Science &amp; Technology of China, CAS; NorthWest Research Associates</t>
  </si>
  <si>
    <t>Hoffmann, L (corresponding author), Forschungszentrum Julich, Julich Supercomp Ctr, Wilhelm Johnen Str, D-52425 Julich, Germany.</t>
  </si>
  <si>
    <t>l.hoffmann@fz-juelich.de</t>
  </si>
  <si>
    <t>Hoffmann, Lars/A-5173-2013; Hoffmann, Lars/ABI-3746-2020; Xue, Xianghui/S-5789-2019</t>
  </si>
  <si>
    <t>Hoffmann, Lars/0000-0003-3773-4377; Hoffmann, Lars/0000-0003-3773-4377; Xue, Xianghui/0000-0002-4541-9900</t>
  </si>
  <si>
    <t>Chinese Academy of Sciences [KJCX2-EW-J01, KZCX2-EW-QN509]; National Natural Science Foundation of China [41174132, 40804035]; foundation for the Author of National Excellent Doctoral Dissertation of PR China [201025]; Science of Terra and Aqua NASA [NNH11CD34C]</t>
  </si>
  <si>
    <t>Chinese Academy of Sciences(Chinese Academy of Sciences); National Natural Science Foundation of China(National Natural Science Foundation of China (NSFC)); foundation for the Author of National Excellent Doctoral Dissertation of PR China(Foundation for the Author of National Excellent Doctoral Dissertation of China); Science of Terra and Aqua NASA</t>
  </si>
  <si>
    <t>X. Xue was supported by the Chinese Academy of Sciences (projects KJCX2-EW-J01, KZCX2-EW-QN509), the National Natural Science Foundation of China (41174132, 40804035), and a foundation for the Author of National Excellent Doctoral Dissertation of PR China (201025). M. J. Alexander was supported by The Science of Terra and Aqua NASA contract #NNH11CD34C. AIRS data are distributed by the NASA Goddard Earth Sciences Data Information and Services Center. NCAR/NCEP reanalysis derived data are provided by the NOAA/OAR/ESRL PSD, Boulder, Colorado, USA (from their web site at http://www.esrl.noaa.gov/psd/). We thank Alison Grimsdell, Boulder, Colorado for constructive comments and language corrections.</t>
  </si>
  <si>
    <t>10.1029/2012JD018658</t>
  </si>
  <si>
    <t>WOS:000317838100013</t>
  </si>
  <si>
    <t>Bromwich, DH; Otieno, FO; Hines, KM; Manning, KW; Shilo, E</t>
  </si>
  <si>
    <t>Bromwich, David H.; Otieno, Francis O.; Hines, Keith M.; Manning, Kevin W.; Shilo, Elad</t>
  </si>
  <si>
    <t>Comprehensive evaluation of polar weather research and forecasting model performance in the Antarctic</t>
  </si>
  <si>
    <t>ICE-SHEET; WRF MODEL; PART I; SYSTEM; LAND; SIMULATIONS; TEMPERATURE; PREDICTION; GREENLAND; CLIMATE</t>
  </si>
  <si>
    <t>Recent versions of the Polar Weather Research and Forecasting model are evaluated over the Antarctic to assess the impact of model improvements, resolution, large-scale circulation variability, and uncertainty in initial and lateral boundary conditions. The model skill differs more between forecasts using different sources of lateral boundary data than between forecasts from different model versions or simulated years. Using the ERA-Interim reanalysis for initial and lateral boundary conditions produces the best skill. The forecasts have a cold summer and a warm winter bias in 2 m air temperatures, with similar but smaller bias in dew point temperatures. Upper air temperature biases are small and remain less than 1 degrees C except at the tropopause in summer. Geopotential height biases increase with height in both seasons. Deficient downward longwave radiation in all seasons and an under representation of clouds enhance radiative loss, leading to the cold summer bias. Excess summer surface incident shortwave radiation plays a secondary role, because 80% of it is reflected, leading to greater skill for clear compared with cloudy skies. The positive wind speed bias produces a warm surface bias in winter resulting from anomalously large downward flux of sensible heat toward the surface. Low temperatures on the continent limit sublimation and hence the precipitable water amounts over the ice sheet. ERA-Interim experiments with higher precipitable water showed reduced biases in downwelling shortwave and longwave radiation. Increasing horizontal resolution from 60 to 15 km improves the skill of surface wind forecasts. Citation: Bromwich, D. H., F. O. Otieno, K. M. Hines, K. W. Manning, and E. Shilo (2013), Comprehensive evaluation of polar weather research and forecasting model performance in the Antarctic, J. Geophys. Res. Atmos., 118, 274-292, doi:10.1029/2012JD018139.</t>
  </si>
  <si>
    <t>[Bromwich, David H.; Otieno, Francis O.; Hines, Keith M.] Ohio State Univ, Byrd Polar Res Ctr, Polar Meteorol Grp, Columbus, OH 43210 USA; [Bromwich, David H.] Ohio State Univ, Dept Geog, Atmospher Sci Program, Columbus, OH 43210 USA; [Manning, Kevin W.] Natl Ctr Atmospher Res, Boulder, CO 80307 USA; [Shilo, Elad] Israeli Meteorol Serv, Bet Dagan, Israel</t>
  </si>
  <si>
    <t>University System of Ohio; Ohio State University; University System of Ohio; Ohio State University; National Center Atmospheric Research (NCAR) - USA</t>
  </si>
  <si>
    <t>Bromwich, DH (corresponding author), Ohio State Univ, Byrd Polar Res Ctr, Polar Meteorol Grp, 1090 Carmack Rd, Columbus, OH 43210 USA.</t>
  </si>
  <si>
    <t>bromwich.1@osu.edu45</t>
  </si>
  <si>
    <t>NASA [NNX08AN57G]; AMPS grants [NSF ANT-1135171, NSF OPP-0838967, NSF ANT-1049089]; NSF [ANT-0838834]; NASA [NNX08AN57G, 96983] Funding Source: Federal RePORTER; Directorate For Geosciences; Office of Polar Programs (OPP) [1048989, 0838967] Funding Source: National Science Foundation; Directorate For Geosciences; Office of Polar Programs (OPP) [1135171, 1049089] Funding Source: National Science Foundation</t>
  </si>
  <si>
    <t>NASA(National Aeronautics &amp; Space Administration (NASA)); AMPS grants; NSF(National Science Foundation (NSF)); NASA(National Aeronautics &amp; Space Administration (NASA)); Directorate For Geosciences; Office of Polar Programs (OPP)(National Science Foundation (NSF)NSF - Directorate for Geosciences (GEO)); Directorate For Geosciences; Office of Polar Programs (OPP)(National Science Foundation (NSF)NSF - Directorate for Geosciences (GEO))</t>
  </si>
  <si>
    <t>This work was funded by NASA grant NNX08AN57G and AMPS grants NSF ANT-1135171, NSF OPP-0838967, and NSF ANT-1049089. The authors appreciate the support of the Antarctic Meteorological Research Center for the providing the AWS data (Matthew Lazzara and Elena Willmot, NSF grant ANT-0838834). Aaron Wilson provided highly appreciated and valuable discussions from his insight from working with Polar WRF in the Arctic.</t>
  </si>
  <si>
    <t>10.1029/2012JD018139</t>
  </si>
  <si>
    <t>WOS:000317838100003</t>
  </si>
  <si>
    <t>Bracegirdle, TJ; Shuckburgh, E; Sallee, JB; Wang, ZM; Meijers, AJS; Bruneau, N; Phillips, T; Wilcox, LJ</t>
  </si>
  <si>
    <t>Bracegirdle, Thomas J.; Shuckburgh, Emily; Sallee, Jean-Baptiste; Wang, Zhaomin; Meijers, Andrew J. S.; Bruneau, Nicolas; Phillips, Tony; Wilcox, Laura J.</t>
  </si>
  <si>
    <t>Assessment of surface winds over the Atlantic, Indian, and Pacific Ocean sectors of the Southern Ocean in CMIP5 models: historical bias, forcing response, and state dependence</t>
  </si>
  <si>
    <t>HEMISPHERE ATMOSPHERIC CIRCULATION; ANNULAR MODE; SEA-ICE; TEMPERATURE; VARIABILITY; STRESS</t>
  </si>
  <si>
    <t>An assessment of the fifth Coupled Models Intercomparison Project (CMIP5) models' simulation of the near-surface westerly wind jet position and strength over the Atlantic, Indian and Pacific sectors of the Southern Ocean is presented. Compared with reanalysis climatologies there is an equatorward bias of 3.3 degrees (inter-model standard deviation of +/- 1.9 degrees) in the ensemble mean position of the zonal mean jet. The ensemble mean strength is biased slightly too weak, with the largest biases over the Pacific sector (-1.4 +/- 1.2 m/s, -19%). An analysis of atmosphere-only (AMIP) experiments indicates that 28% of the zonal mean position bias comes from coupling of the ocean/ice models to the atmosphere. The response to future emissions scenarios (RCP4.5 and RCP8.5) is characterized by two phases: (i) the period of most rapid ozone recovery (2000-2049) during which there is insignificant change in summer; and (ii) the period 2050-2098 during which RCP4.5 simulations show no significant change but RCP8.5 simulations show poleward shifts (0.33, 0.18 and 0.27 degrees/decade over the Atlantic, Indian and Pacific sectors, respectively), and increases in strength (0.07, 0.08 and 0.15 m/s/decade, respectively). The models with larger equatorward position biases generally show larger poleward shifts (i. e. state dependence). This inter-model relationship is strongest over the Pacific sector (r = -0.91) and weakest over the Atlantic sector (r = -0.39). An assessment of jet structure shows that over the Atlantic sector jet shift is not clearly linked to indices of jet structure whereas over the Pacific sector the distance between the sub-polar and sub-tropical westerly jets appears to be important. Citation: Bracegirdle, T. J., E. Shuckburgh, J.-B. Sallee, Z. Wang, A. J. S. Meijers, N. Bruneau, T. Phillips, and L. J. Wilcox (2013), Assessment of surface winds over the Atlantic, Indian, and Pacific Ocean sectors of the Southern Ocean in CMIP5 models: historical bias, forcing response, and state dependence, J. Geophys. Res. Atmos., 118, 547 562, doi:10.1002/jgrd.50153.</t>
  </si>
  <si>
    <t>[Bracegirdle, Thomas J.; Shuckburgh, Emily; Sallee, Jean-Baptiste; Meijers, Andrew J. S.; Bruneau, Nicolas; Phillips, Tony] British Antarctic Survey, Cambridge CB3 0ET, England; [Wang, Zhaomin] Nanjing Univ Informat Sci &amp; Technol, Sch Marine Sci, Nanjing, Jiangsu, Peoples R China; [Wilcox, Laura J.] Univ Reading, Dept Meteorol, NCAS Climate, Reading RG6 2AH, Berks, England</t>
  </si>
  <si>
    <t>UK Research &amp; Innovation (UKRI); Natural Environment Research Council (NERC); NERC British Antarctic Survey; Nanjing University of Information Science &amp; Technology; University of Reading; UK Research &amp; Innovation (UKRI); Natural Environment Research Council (NERC); NERC National Centre for Atmospheric Science</t>
  </si>
  <si>
    <t>Bracegirdle, TJ (corresponding author), British Antarctic Survey, Madingley Rd, Cambridge CB3 0ET, England.</t>
  </si>
  <si>
    <t>tjbra@bas.ac.uk</t>
  </si>
  <si>
    <t>Bruneau, Nicolas/AAS-8232-2021; Bracegirdle, Tom/AAD-6060-2020; SALLEE, Jean baptiste/HDO-5355-2022; Wilcox, Laura/F-3394-2013; SALLEE, Jean baptiste/A-5837-2010</t>
  </si>
  <si>
    <t>Bruneau, Nicolas/0000-0002-9017-1000; Wilcox, Laura/0000-0001-5691-1493; SALLEE, Jean baptiste/0000-0002-6109-5176; Shuckburgh, Emily/0000-0001-9206-3444; Bracegirdle, Thomas/0000-0002-8868-4739</t>
  </si>
  <si>
    <t>UK Natural Environment Research Council [NE/J005339/1]; NERC [bas0100023, bas0100028, NE/J005339/1] Funding Source: UKRI; Natural Environment Research Council [NE/J005339/1, bas0100023, bas0100028, ncas10009]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</si>
  <si>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</si>
  <si>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The UK Natural Environment Research Council (grant reference number NE/J005339/1). Three anonymous reviewers are thanked for their comments and suggestions, which helped to significantly improve the manuscript. We acknowledge the World Climate Research Programme's Working Group on Coupled Modelling, which is responsible for CMIP, and we thank the climate modeling groups for producing and making available their model output (listed in Table 1 of this paper). For CMIP the U. S. Department of Energy's Program for Climate Model Diagnosis and Intercomparison provides coordinating support and led development of software infrastructure in partnership with the Global Organization for Earth System Science Portals. The European Centre for Medium Range Weather Forecasting are thanked for providing the ERA-40 and ERA-Interim datasets. The Global Modeling and Assimilation Office (GMAO) and the GES DISC are acknowledged for the dissemination of the MERRA dataset. The CFSR data was retrieved from the Research Data Archive, which is managed by the Data Support Section of the Computational and Information Systems Laboratory at the National Center for Atmospheric Research in Boulder, Colorado.</t>
  </si>
  <si>
    <t>10.1002/jgrd.50153</t>
  </si>
  <si>
    <t>Bronze, Green Accepted</t>
  </si>
  <si>
    <t>WOS:000317838100022</t>
  </si>
  <si>
    <t>Young, PJ; Butler, AH; Calvo, N; Haimberger, L; Kushner, PJ; Marsh, DR; Randel, WJ; Rosenlof, KH</t>
  </si>
  <si>
    <t>Young, Paul J.; Butler, Amy H.; Calvo, Natalia; Haimberger, Leopold; Kushner, Paul J.; Marsh, Daniel R.; Randel, William J.; Rosenlof, Karen H.</t>
  </si>
  <si>
    <t>Agreement in late twentieth century Southern Hemisphere stratospheric temperature trends in observations and CCMVal-2, CMIP3, and CMIP5 models</t>
  </si>
  <si>
    <t>BREWER-DOBSON CIRCULATION; OZONE DEPLETION; VARIABILITY; RECORDS; IMPACT; ERA; MSU</t>
  </si>
  <si>
    <t>We present a comparison of temperature trends using different satellite and radiosonde observations and climate (GCM) and chemistry-climate model (CCM) outputs, focusing on the role of photochemical ozone depletion in the Antarctic lower stratosphere during the second half of the twentieth century. Ozone-induced stratospheric cooling peaks during November at an altitude of approximately 100 hPa in radiosonde observations, with 1969 to 1998 trends in the range of -3.8 to -4.7 K/dec. This stratospheric cooling trend is more than 50% greater than the previously estimated value of -2.4 K/dec, which suggested that the CCMs were overestimating the stratospheric cooling, and that the less complex GCMs forced by prescribed ozone were matching observations better. Corresponding ensemble mean model trends are -3.8K/dec for the CCMs, -3.5K/dec for the CMIP5 GCMs, and -2.7K/dec for the CMIP3 GCMs. Accounting for various sources of uncertainty-including sampling uncertainty, measurement error, model spread, and trend confidence intervals-observations and CCM and GCM ensembles are consistent in this new analysis. This consistency does not apply to each individual that makes up the GCM and CCM ensembles, and some do not show significant ozone-induced cooling. Nonetheless, analysis of the joint ozone and temperature trends in the CCMs suggests that the modeled cooling/ozone-depletion relationship is within the range of observations. Overall, this study emphasizes the need to use a wide range of observations for model validation as well as sufficient accounting of uncertainty in both models and measurements.</t>
  </si>
  <si>
    <t>[Young, Paul J.] Univ Colorado, Cooperat Inst Res Environm Sci, Boulder, CO 80309 USA; [Young, Paul J.; Rosenlof, Karen H.] NOAA Earth Syst Res Lab, Div Chem Sci, Boulder, CO USA; [Young, Paul J.] Univ Lancaster, Lancaster Environm Ctr, Lancaster, England; [Butler, Amy H.] NOAA Climate Predict Ctr, College Pk, MD USA; [Calvo, Natalia] Univ Complutense Madrid, Dept Fis Tierra 2, Madrid, Spain; [Calvo, Natalia; Marsh, Daniel R.; Randel, William J.] Natl Ctr Atmospher Res, Boulder, CO 80307 USA; [Calvo, Natalia] Natl Ctr Atmospher Res, Adv Study Program, Boulder, CO 80307 USA; [Haimberger, Leopold] Univ Vienna, Dept Meteorol &amp; Geophys, Vienna, Austria; [Kushner, Paul J.] Univ Toronto, Dept Phys, Toronto, ON, Canada</t>
  </si>
  <si>
    <t>University of Colorado System; University of Colorado Boulder; National Oceanic Atmospheric Admin (NOAA) - USA; Lancaster University; National Oceanic Atmospheric Admin (NOAA) - USA; Complutense University of Madrid; National Center Atmospheric Research (NCAR) - USA; National Center Atmospheric Research (NCAR) - USA; University of Vienna; University of Toronto</t>
  </si>
  <si>
    <t>Young, PJ (corresponding author), Univ Lancaster, Lancaster Environm Ctr, Lancaster, England.</t>
  </si>
  <si>
    <t>paul.j.young@lancaster.ac.uk</t>
  </si>
  <si>
    <t>Young, Paul J/E-8739-2010; Butler, Amy H/K-6190-2012; Marsh, Daniel/A-8406-2008; Kushner, Paul J/H-6716-2016; Randel, William J/K-3267-2016; Rosenlof, Karen H/B-5652-2008</t>
  </si>
  <si>
    <t>Butler, Amy H/0000-0002-3632-0925; Marsh, Daniel/0000-0001-6699-494X; Rosenlof, Karen H/0000-0002-0903-8270; CALVO FERNANDEZ, NATALIA/0000-0001-6213-1864</t>
  </si>
  <si>
    <t>National Center for Atmospheric Research; National Science Foundation; Austrian Science Funds (FWF) [P21772-N22]; Austrian Science Fund (FWF) [P21772] Funding Source: Austrian Science Fund (FWF); Austrian Science Fund (FWF) [P 21772] Funding Source: researchfish; Natural Environment Research Council [ceh010010] Funding Source: researchfish</t>
  </si>
  <si>
    <t>National Center for Atmospheric Research; National Science Foundation(National Science Foundation (NSF)); Austrian Science Funds (FWF)(Austrian Science Fund (FWF)); Austrian Science Fund (FWF)(Austrian Science Fund (FWF)); Austrian Science Fund (FWF)(Austrian Science Fund (FWF)); Natural Environment Research Council(UK Research &amp; Innovation (UKRI)Natural Environment Research Council (NERC))</t>
  </si>
  <si>
    <t>We thank Greg Bodeker, Nathan Gillett, Susan Solomon, and Dave Thompson for discussion and useful input. We thank Steve Sherwood and the Met Office for the provision of the IUK (www.ccrc.unsw.edu.au/staff/profiles/sherwood/radproj/index.html) and HadAT2 (www.metoffice.gov.uk/hadobs) radiosonde data sets, respectively. We acknowledge the World Climate Research Programme's (WCRP) Working Group on Coupled Modelling, which is responsible for CMIP, and we thank the climate modeling groups (as listed in Tables S2 and S3 of this paper) for producing and making available their model output. For CMIP, the U.S. Department of Energy's Program for Climate Model Diagnosis and Intercomparison provides coordinating support and led the development of software infrastructure in partnership with the Global Organization for Earth System Science Portals. We acknowledge the Chemistry-Climate Model Validation Activity of WCRP's Stratospheric Processes and their Role in Climate project, and the participating model groups (as listed in Table S4 of this paper), for organizing and coordinating the CCMVal-2 activity, and the British Atmospheric Data Centre for collecting and archiving the model output. Natalia Calvo was partially supported by the Advanced Study Program from the National Center for Atmospheric Research. The National Center for Atmospheric Research is operated by the University Corporation for Atmospheric Research under sponsorship of the National Science Foundation. Leopold Haimberger was supported by the Austrian Science Funds (FWF) project P21772-N22. We thank Alexey Karpechko, Darryn Waugh, and an anonymous reviewer for their comments on an earlier version of the manuscript.</t>
  </si>
  <si>
    <t>10.1002/jgrd.50126</t>
  </si>
  <si>
    <t>WOS:000317838100026</t>
  </si>
  <si>
    <t>Johnson, SB; Won, YJ; Harvey, JBJ; Vrijenhoek, RC</t>
  </si>
  <si>
    <t>Johnson, Shannon B.; Won, Yong-Jin; Harvey, Julio B. J.; Vrijenhoek, Robert C.</t>
  </si>
  <si>
    <t>A hybrid zone between Bathymodiolus mussel lineages from eastern Pacific hydrothermal vents</t>
  </si>
  <si>
    <t>BMC EVOLUTIONARY BIOLOGY</t>
  </si>
  <si>
    <t>Bathymodiolus antarcticus n. sp; Hybridization; Recombination; Linkage disequilibrium; Deep-sea; Hydrothermal vent; Bathymodiolus thermophilus</t>
  </si>
  <si>
    <t>DEEP-SEA MUSSELS; LARVAL DISPERSAL; HAPLOTYPE RECONSTRUCTION; LINKAGE DISEQUILIBRIUM; POPULATION-STRUCTURE; RIFTIA-PACHYPTILA; GENETIC DIVERSITY; BAYESIAN METHODS; MYTILIDAE; BIVALVIA</t>
  </si>
  <si>
    <t>Background: The inhabitants of deep-sea hydrothermal vents occupy ephemeral island-like habitats distributed sporadically along tectonic spreading-centers, back-arc basins, and volcanically active seamounts. The majority of vent taxa undergo a pelagic larval phase, and thus varying degrees of geographical subdivision, ranging from no impedance of dispersal to complete isolation, often exist among taxa that span common geomorphological boundaries. Two lineages of Bathymodiolus mussels segregate on either side of the Easter Microplate, a boundary that separates the East Pacific Rise from spreading centers connected to the Pacific-Antarctic Ridge. Results: A recent sample from the northwest flank of the Easter Microplate contained an admixture of northern and southern mitochondrial haplotypes and corresponding alleles at five nuclear gene loci. Genotypic frequencies in this sample did not fit random mating expectation. Significant heterozygote deficiencies at nuclear loci and gametic disequilibria between loci suggested that this transitional region might be a 'Tension Zone' maintained by immigration of parental types and possibly hybrid unfitness. An analysis of recombination history in the nuclear genes suggests a prolonged history of parapatric contact between the two mussel lineages. We hereby elevate the southern lineage to species status as Bathymodiolus antarcticus n. sp. and restrict the use of Bathymodiolus thermophilus to the northern lineage. Conclusions: Because B. thermophilus s.s. exhibits no evidence for subdivision or isolation-by-distance across its 4000 km range along the EPR axis and Galapagos Rift, partial isolation of B. antarcticus n. sp. requires explanation. The time needed to produce the observed degree of mitochondrial differentiation is consistent with the age of the Easter Microplate (2.5 to 5.3 million years). The complex geomorphology of the Easter Microplate region forces strong cross-axis currents that might disrupt self-recruitment of mussels by removing planktotrophic larvae from the ridge axis. Furthermore, frequent local extinction events in this tectonically dynamic region might produce a demographic sink rather than a source for dispersing mussel larvae. Historical changes in tectonic rates and current patterns appear to permit intermittent contact and introgression between the two species.</t>
  </si>
  <si>
    <t>[Johnson, Shannon B.; Harvey, Julio B. J.; Vrijenhoek, Robert C.] Monterey Bay Aquarium Res Inst, Moss Landing, CA 95039 USA; [Won, Yong-Jin] Ewha Womans Univ, Div EcoSci, Seoul 120750, South Korea</t>
  </si>
  <si>
    <t>Monterey Bay Aquarium Research Institute; Ewha Womans University</t>
  </si>
  <si>
    <t>Johnson, SB (corresponding author), Monterey Bay Aquarium Res Inst, Moss Landing, CA 95039 USA.</t>
  </si>
  <si>
    <t>sjohnson@mbari.org</t>
  </si>
  <si>
    <t>Harvey, Julio/W-3411-2019</t>
  </si>
  <si>
    <t>NSF [OCE-9910799, OCE-0241613]; David and Lucile Packard Foundation; National Research Foundation of Korea by the Korean Government [NRF-2011-013-C00063]</t>
  </si>
  <si>
    <t>NSF(National Science Foundation (NSF)); David and Lucile Packard Foundation(The David &amp; Lucile Packard Foundation); National Research Foundation of Korea by the Korean Government(National Research Foundation of Korea)</t>
  </si>
  <si>
    <t>The project was conducted with the expert help of captains, crews and pilots assigned to the R/V Atlantis, R/V Atlantis II, and research submersible Alvin (Woods Hole Oceanographic Institute). We thank Dr. Richard A. Lutz (Rutgers University) for contributing the N9 samples and participating in numerous oceanographic expeditions. W. Joe Jones, Phil Hoos, C. Robbie Young, and E. Anderson contributed to sampling, sequencing, and statistical analyses. Funding was provided by NSF grants OCE-9910799 and OCE-0241613 (to RCV), the David and Lucile Packard Foundation (to MBARI) and the National Research Foundation of Korea Grant funded by the Korean Government NRF-2011-013-C00063 (to YJW).</t>
  </si>
  <si>
    <t>BMC</t>
  </si>
  <si>
    <t>CAMPUS, 4 CRINAN ST, LONDON N1 9XW, ENGLAND</t>
  </si>
  <si>
    <t>1471-2148</t>
  </si>
  <si>
    <t>BMC EVOL BIOL</t>
  </si>
  <si>
    <t>BMC Evol. Biol.</t>
  </si>
  <si>
    <t>JAN 24</t>
  </si>
  <si>
    <t>10.1186/1471-2148-13-21</t>
  </si>
  <si>
    <t>Evolutionary Biology; Genetics &amp; Heredity</t>
  </si>
  <si>
    <t>088CJ</t>
  </si>
  <si>
    <t>Green Published, gold</t>
  </si>
  <si>
    <t>WOS:000314811100001</t>
  </si>
  <si>
    <t>Hoffman, JI; Thorne, MAS; Trathan, PN; Forcada, J</t>
  </si>
  <si>
    <t>Hoffman, Joseph I.; Thorne, Michael A. S.; Trathan, Philip N.; Forcada, Jaume</t>
  </si>
  <si>
    <t>Transcriptome of the dead: characterisation of immune genes and marker development from necropsy samples in a free-ranging marine mammal</t>
  </si>
  <si>
    <t>BMC GENOMICS</t>
  </si>
  <si>
    <t>Transcriptome; Genomics; Non-model organism; Post mortem; Immune gene; Major Histocompatibility Complex (MHC); Microsatellite; Single Nucleotide Polymorphism (SNP); Marine mammal; Antarctic fur seal; Arctocephalus gazella; Pinniped</t>
  </si>
  <si>
    <t>ANTARCTIC FUR-SEAL; ARCTOCEPHALUS-GAZELLA; CANINE SIZE; SEQUENCE; HETEROZYGOSITY; SUCCESS; GUIDE; RATES; MHC</t>
  </si>
  <si>
    <t>Background: Transcriptomes are powerful resources, providing a window on the expressed portion of the genome that can be generated rapidly and at low cost for virtually any organism. However, because many genes have tissue-specific expression patterns, developing a complete transcriptome usually requires a 'discovery pool' of individuals to be sacrificed in order to harvest mRNA from as many different types of tissue as possible. This hinders transcriptome development in large, charismatic and endangered species, many of which stand the most to gain from such approaches. To circumvent this problem in a model pinniped species, we 454 sequenced cDNA from testis, heart, spleen, intestine, kidney and lung tissues obtained from nine adult male Antarctic fur seals (Arctocephalus gazella) that died of natural causes at Bird Island, South Georgia. Results: After applying stringent quality control criteria based on length and annotation, we obtained 12,397 contigs which, in combination with 454 data previously obtained from skin, gave a total of 23,096 unique contigs. Homology was found to 77.0% of dog (Canis lupus familiaris) transcripts, suggesting that the combined assembly represents a substantial proportion of this species' transcriptome. Moreover, only 0.5% of transcripts revealed sequence similarity to bacteria, implying minimal contamination, and the percentage of transcripts involved in cell death was low at 2.6%. Transcripts with immune-related annotations were almost five-fold enriched relative to skin and represented 13.2% of all spleen-specific contigs. By reference to the dog, we also identified transcripts revealing homology to five class I, ten class II and three class III genes of the Major Histocompatibility Complex and derived the putative genomic distribution of 17,121 contigs, 2,119 in silico mined microsatellites and 9,382 single nucleotide polymorphisms. Conclusions: Our findings suggest that transcriptome development based on samples collected post mortem may greatly facilitate genomic studies, not only of marine mammals but also more generally of species that are of conservation concern.</t>
  </si>
  <si>
    <t>[Hoffman, Joseph I.] Univ Bielefeld, Dept Anim Behav, D-33501 Bielefeld, Germany; [Thorne, Michael A. S.; Trathan, Philip N.; Forcada, Jaume] British Antarctic Survey, NERC, Cambridge CB3 0ET, England</t>
  </si>
  <si>
    <t>University of Bielefeld; UK Research &amp; Innovation (UKRI); Natural Environment Research Council (NERC); NERC British Antarctic Survey</t>
  </si>
  <si>
    <t>Hoffman, JI (corresponding author), Univ Bielefeld, Dept Anim Behav, Postfach 100131, D-33501 Bielefeld, Germany.</t>
  </si>
  <si>
    <t>joseph.hoffman@uni-bielefeld.de</t>
  </si>
  <si>
    <t>Forcada, Jaume/GYU-0677-2022; Hoffman, Joseph/K-7725-2012</t>
  </si>
  <si>
    <t>Hoffman, Joseph/0000-0001-5895-8949; Thorne, Michael/0000-0001-7759-612X</t>
  </si>
  <si>
    <t>European Community [PCIG-GA-2011-303618]; NERC; Deutsche Forschungsgemeinschaft; Bielefeld University; NERC [bas0100025] Funding Source: UKRI; Natural Environment Research Council [bas0100025] Funding Source: researchfish</t>
  </si>
  <si>
    <t>European Community; NERC(UK Research &amp; Innovation (UKRI)Natural Environment Research Council (NERC)); Deutsche Forschungsgemeinschaft(German Research Foundation (DFG)); Bielefeld University; NERC(UK Research &amp; Innovation (UKRI)Natural Environment Research Council (NERC)); Natural Environment Research Council(UK Research &amp; Innovation (UKRI)Natural Environment Research Council (NERC))</t>
  </si>
  <si>
    <t>We would like to acknowledge library preparation and 454 sequencing performed by Shilo Dickens of the DNA sequencing facility of the Department of Biochemistry, University of Cambridge. We are also grateful to Juliane Zelwies for assistance preparing Figure 6. Fieldwork was approved by BAS and samples were collected and retained under permits issued by the Department for Environment, Food and Rural Affairs (DEFRA) and in accordance with the Convention on International Trade in Endangered Species of Wild Fauna and Flora (CITES). This work contributes to the British Antarctic Survey (BAS) Ecosystems (Polar Science for Planet Earth) programme. The research was supported by a Marie Curie FP7-Reintegration-Grant (PCIG-GA-2011-303618) within the 7th European Community Framework Programme, together with NERC core funding to the British Antarctic Survey Ecosystems programme. We also acknowledge support of the publication fee by the Deutsche Forschungsgemeinschaft and the Open Access Publication Funds of Bielefeld University.</t>
  </si>
  <si>
    <t>1471-2164</t>
  </si>
  <si>
    <t>BMC Genomics</t>
  </si>
  <si>
    <t>10.1186/1471-2164-14-52</t>
  </si>
  <si>
    <t>Biotechnology &amp; Applied Microbiology; Genetics &amp; Heredity</t>
  </si>
  <si>
    <t>085RA</t>
  </si>
  <si>
    <t>Green Published, gold, Green Accepted</t>
  </si>
  <si>
    <t>WOS:000314630800001</t>
  </si>
  <si>
    <t>Dahl-Jensen, D; Albert, MR; Aldahan, A; Azuma, N; Balslev-Clausen, D; Baumgartner, M; Berggren, AM; Bigler, M; Binder, T; Blunier, T; Bourgeois, JC; Brook, EJ; Buchardt, SL; Buizert, C; Capron, E; Chappellaz, J; Chung, J; Clausen, HB; Cvijanovic, I; Davies, SM; Ditlevsen, P; Eicher, O; Fischer, H; Fisher, DA; Fleet, LG; Gfeller, G; Gkinis, V; Gogineni, S; Goto-Azuma, K; Grinsted, A; Gudlaugsdottir, H; Guillevic, M; Hansen, SB; Hansson, M; Hirabayashi, M; Hong, S; Hur, SD; Huybrechts, P; Hvidberg, CS; Iizuka, Y; Jenk, T; Johnsen, SJ; Jones, TR; Jouzel, J; Karlsson, NB; Kawamura, K; Keegan, K; Kettner, E; Kipfstuhl, S; Kjær, HA; Koutnik, M; Kuramoto, T; Köhler, P; Laepple, T; Landais, A; Langen, PL; Larsen, LB; Leuenberger, D; Leuenberger, M; Leuschen, C; Li, J; Lipenkov, V; Martinerie, P; Maselli, OJ; Masson-Delmotte, V; McConnell, JR; Miller, H; Mini, O; Miyamoto, A; Montagnat-Rentier, M; Mulvaney, R; Muscheler, R; Orsi, AJ; Paden, J; Panton, C; Pattyn, F; Petit, JR; Pol, K; Popp, T; Possnert, G; Prié, F; Prokopiou, M; Quiquet, A; Rasmussen, SO; Raynaud, D; Ren, J; Reutenauer, C; Ritz, C; Röckmann, T; Rosen, JL; Rubino, M; Rybak, O; Samyn, D; Sapart, CJ; Schilt, A; Schmidt, AMZ; Schwander, J; Schüpbach, S; Seierstad, I; Severinghaus, JP; Sheldon, S; Simonsen, SB; Sjolte, J; Solgaard, AM; Sowers, T; Sperlich, P; Steen-Larsen, HC; Steffen, K; Steffensen, JP; Steinhage, D; Stocker, TF; Stowasser, C; Sturevik, AS; Sturges, WT; Sveinbjörnsdottir, A; Svensson, A; Tison, JL; Uetake, J; Vallelonga, P; van de Wal, RSW; van der Wel, G; Vaughn, BH; Vinther, B; Waddington, E; Wegner, A; Weikusat, I; White, JWC; Wilhelms, F; Winstrup, M; Witrant, E; Wolff, EW; Xiao, C; Zheng, J</t>
  </si>
  <si>
    <t>Dahl-Jensen, D.; Albert, M. R.; Aldahan, A.; Azuma, N.; Balslev-Clausen, D.; Baumgartner, M.; Berggren, A. -M.; Bigler, M.; Binder, T.; Blunier, T.; Bourgeois, J. C.; Brook, E. J.; Buchardt, S. L.; Buizert, C.; Capron, E.; Chappellaz, J.; Chung, J.; Clausen, H. B.; Cvijanovic, I.; Davies, S. M.; Ditlevsen, P.; Eicher, O.; Fischer, H.; Fisher, D. A.; Fleet, L. G.; Gfeller, G.; Gkinis, V.; Gogineni, S.; Goto-Azuma, K.; Grinsted, A.; Gudlaugsdottir, H.; Guillevic, M.; Hansen, S. B.; Hansson, M.; Hirabayashi, M.; Hong, S.; Hur, S. D.; Huybrechts, P.; Hvidberg, C. S.; Iizuka, Y.; Jenk, T.; Johnsen, S. J.; Jones, T. R.; Jouzel, J.; Karlsson, N. B.; Kawamura, K.; Keegan, K.; Kettner, E.; Kipfstuhl, S.; Kjaer, H. A.; Koutnik, M.; Kuramoto, T.; Koehler, P.; Laepple, T.; Landais, A.; Langen, P. L.; Larsen, L. B.; Leuenberger, D.; Leuenberger, M.; Leuschen, C.; Li, J.; Lipenkov, V.; Martinerie, P.; Maselli, O. J.; Masson-Delmotte, V.; McConnell, J. R.; Miller, H.; Mini, O.; Miyamoto, A.; Montagnat-Rentier, M.; Mulvaney, R.; Muscheler, R.; Orsi, A. J.; Paden, J.; Panton, C.; Pattyn, F.; Petit, J. -R.; Pol, K.; Popp, T.; Possnert, G.; Prie, F.; Prokopiou, M.; Quiquet, A.; Rasmussen, S. O.; Raynaud, D.; Ren, J.; Reutenauer, C.; Ritz, C.; Rockmann, T.; Rosen, J. L.; Rubino, M.; Rybak, O.; Samyn, D.; Sapart, C. J.; Schilt, A.; Schmidt, A. M. Z.; Schwander, J.; Schuepbach, S.; Seierstad, I.; Severinghaus, J. P.; Sheldon, S.; Simonsen, S. B.; Sjolte, J.; Solgaard, A. M.; Sowers, T.; Sperlich, P.; Steen-Larsen, H. C.; Steffen, K.; Steffensen, J. P.; Steinhage, D.; Stocker, T. F.; Stowasser, C.; Sturevik, A. S.; Sturges, W. T.; Sveinbjornsdottir, A.; Svensson, A.; Tison, J. -L.; Uetake, J.; Vallelonga, P.; van de Wal, R. S. W.; van der Wel, G.; Vaughn, B. H.; Vinther, B.; Waddington, E.; Wegner, A.; Weikusat, I.; White, J. W. C.; Wilhelms, F.; Winstrup, M.; Witrant, E.; Wolff, E. W.; Xiao, C.; Zheng, J.</t>
  </si>
  <si>
    <t>NEEM Community</t>
  </si>
  <si>
    <t>Eemian interglacial reconstructed from a Greenland folded ice core</t>
  </si>
  <si>
    <t>NATURE</t>
  </si>
  <si>
    <t>ANTARCTIC ICE; AIR CONTENT; SEA-LEVEL; CLIMATE; RECORD; TEMPERATURE; SHEET; GRIP; VARIABILITY; DELTA-O-18</t>
  </si>
  <si>
    <t>Efforts to extract a Greenland ice core with a complete record of the Eemian interglacial (130,000 to 115,000 years ago) have until now been unsuccessful. The response of the Greenland ice sheet to the warmer-than-present climate of the Eemian has thus remained unclear. Here we present the new North Greenland Eemian Ice Drilling ('NEEM') ice core and show only a modest ice-sheet response to the strong warming in the early Eemian. We reconstructed the Eemian record from folded ice using globally homogeneous parameters known from dated Greenland and Antarctic ice-core records. On the basis of water stable isotopes, NEEM surface temperatures after the onset of the Eemian (126,000 years ago) peaked at 8 +/- 4 degrees Celsius above the mean of the past millennium, followed by a gradual cooling that was probably driven by the decreasing summer insolation. Between 128,000 and 122,000 years ago, the thickness of the northwest Greenland ice sheet decreased by 400 +/- 250 metres, reaching surface elevations 122,000 years ago of 130 +/- 300 metres lower than the present. Extensive surface melt occurred at the NEEM site during the Eemian, a phenomenon witnessed when melt layers formed again at NEEM during the exceptional heat of July 2012. With additional warming, surface melt might become more common in the future.</t>
  </si>
  <si>
    <t>[Dahl-Jensen, D.; Balslev-Clausen, D.; Blunier, T.; Buchardt, S. L.; Buizert, C.; Clausen, H. B.; Cvijanovic, I.; Ditlevsen, P.; Gkinis, V.; Grinsted, A.; Guillevic, M.; Hansen, S. B.; Hvidberg, C. S.; Jenk, T.; Johnsen, S. J.; Karlsson, N. B.; Kettner, E.; Kjaer, H. A.; Langen, P. L.; Larsen, L. B.; Panton, C.; Popp, T.; Rasmussen, S. O.; Reutenauer, C.; Rubino, M.; Schmidt, A. M. Z.; Seierstad, I.; Sheldon, S.; Simonsen, S. B.; Sjolte, J.; Solgaard, A. M.; Sperlich, P.; Steffensen, J. P.; Stowasser, C.; Svensson, A.; Vallelonga, P.; Vinther, B.; Winstrup, M.] Univ Copenhagen, Niels Bohr Inst, Ctr Ice &amp; Climate, DK-2100 Copenhagen K, Denmark; [Albert, M. R.; Keegan, K.] Dartmouth Coll, Thayer Sch Engn, Hanover, NH 03755 USA; [Aldahan, A.; Berggren, A. -M.; Samyn, D.; Sturevik, A. S.] Uppsala Univ, Dept Earth Sci, S-75236 Uppsala, Sweden; [Azuma, N.; Samyn, D.] Nagaoka Univ Technol, Dept Mech Engn, Nagaoka, Niigata 9402188, Japan; [Baumgartner, M.; Bigler, M.; Eicher, O.; Fischer, H.; Gfeller, G.; Leuenberger, D.; Leuenberger, M.; Mini, O.; Schilt, A.; Schwander, J.; Schuepbach, S.; Stocker, T. F.; van der Wel, G.] Univ Bern, Inst Phys, CH-3012 Bern, Switzerland; [Baumgartner, M.; Bigler, M.; Eicher, O.; Fischer, H.; Gfeller, G.; Leuenberger, D.; Leuenberger, M.; Mini, O.; Schilt, A.; Schwander, J.; Schuepbach, S.; Stocker, T. F.; van der Wel, G.] Univ Bern, Oeschger Ctr Climate Change Res, CH-3012 Bern, Switzerland; [Binder, T.] Heidelberg Univ, IWR, D-69115 Heidelberg, Germany; [Bourgeois, J. C.; Fisher, D. A.; Zheng, J.] Geol Survey Canada, Nat Resources Canada, Ottawa, ON K1A 0E8, Canada; [Brook, E. J.; Buizert, C.; Rosen, J. L.; Schilt, A.] Oregon State Univ, Coll Earth Ocean &amp; Atmospher Sci, Corvallis, OR 97331 USA; [Capron, E.; Guillevic, M.; Jouzel, J.; Landais, A.; Masson-Delmotte, V.; Pol, K.; Prie, F.] CEA CNRS UVSQ, CEA Saclay, Lab Sci Climat &amp; Environm, IPSL, F-91191 Gif Sur Yvette, France; [Capron, E.; Fleet, L. G.; Mulvaney, R.; Pol, K.; Wolff, E. W.] British Antarctic Survey, Cambridge CB3 0ET, England; [Chappellaz, J.; Martinerie, P.; Montagnat-Rentier, M.; Petit, J. -R.; Quiquet, A.; Raynaud, D.; Ritz, C.] UJF Grenoble 1, CNRS, LGGE, F-38402 St Martin Dheres, France; [Chung, J.; Hur, S. D.] Korea Polar Res Inst, Inchon 406840, South Korea; [Davies, S. M.] Swansea Univ, Coll Sci, Dept Geog, Swansea SA2 8PP, W Glam, Wales; [Gkinis, V.; Jones, T. R.; Vaughn, B. H.; White, J. W. C.] Univ Colorado, INSTAAR, Boulder, CO 80309 USA; [Gogineni, S.; Leuschen, C.; Li, J.; Paden, J.] Univ Kansas, CReSIS, Lawrence, KS 66045 USA; [Goto-Azuma, K.; Hirabayashi, M.; Kawamura, K.; Kuramoto, T.; Uetake, J.] Natl Inst Polar Res, Tachikawa, Tokyo 1908518, Japan; [Gudlaugsdottir, H.; Sveinbjornsdottir, A.] Univ Iceland, Inst Earth &amp; Sci, IS-107 Reykjavik, Iceland; [Hansson, M.; Iizuka, Y.] Stockholm Univ, Dept Phys Geog &amp; Quaternary Geol, S-10691 Stockholm, Sweden; [Hong, S.; Steen-Larsen, H. C.] Inha Univ, Dept Ocean Sci, Inchon 402751, South Korea; [Huybrechts, P.; Rybak, O.] Vrije Univ Brussel, Dept Geog, B-1050 Brussels, Belgium; [Kuramoto, T.] Shinshu Univ, Inst Mt Sci, Matsumoto, Nagano 3908621, Japan; [Kipfstuhl, S.; Koehler, P.; Laepple, T.; Miller, H.; Steinhage, D.; Wegner, A.; Weikusat, I.; Wilhelms, F.] Alfred Wegener Inst Polar &amp; Marine Res, D-27515 Bremerhaven, Germany; [Koutnik, M.; Waddington, E.] Univ Washington, Dept Earth &amp; Space Sci, Seattle, WA 98195 USA; [Lipenkov, V.] Arctic &amp; Antarctic Res Inst, St Petersburg 199397, Russia; [Maselli, O. J.; McConnell, J. R.] Nevada Syst Higher Educ, Desert Res Inst, Reno, NV 89512 USA; [Iizuka, Y.; Miyamoto, A.] Hokkaido Univ, Inst Low Temp Sci, Sapporo, Hokkaido 0600819, Japan; [Muscheler, R.; Sjolte, J.] Lund Univ, Dept Geol, SE-22362 Lund, Sweden; [Orsi, A. J.; Severinghaus, J. P.] Univ Calif San Diego, Scripps Inst Oceanog, La Jolla, CA 92093 USA; [Pattyn, F.; Tison, J. -L.] Univ Libre Bruxelles, Lab Glaciol, B-1050 Brussels, Belgium; [Possnert, G.] Uppsala Univ, Tandem Lab, S-75120 Uppsala, Sweden; [Prokopiou, M.; Rockmann, T.; Sapart, C. J.; van de Wal, R. S. W.] Univ Utrecht, Inst Marine &amp; Atmospher Res Utrecht IMAU, NL-3584 CC Utrecht, Netherlands; [Ren, J.; Xiao, C.] Chinese Acad Sci, Cold &amp; Arid Reg Environm &amp; Engn Res Inst, State Key Lab Cryospher Sci, Lanzhou 730000, Peoples R China; [Rubino, M.] CSIRO Marine &amp; Atmospher Res, Ctr Australian Weather &amp; Climate Res, Aspendale, Vic 3195, Australia; [Sowers, T.] Penn State Univ, Earth &amp; Environm Syst Inst, University Pk, PA 16802 USA; [Steffen, K.] Univ Colorado, CIRES, Boulder, CO 80309 USA; [Sturges, W. T.] Univ E Anglia, Norwich NR4 7TJ, Norfolk, England; [Witrant, E.] UJF Grenoble 1, Grenoble Image Parole Signal Automat GIPSA Lab, CNRS, UMR 5216, F-38402 St Martin Dheres, France; [Xiao, C.] Chinese Acad Meteorol Sci, China Inst Climate Syst, Beijing 100081, Peoples R China</t>
  </si>
  <si>
    <t>University of Copenhagen; Niels Bohr Institute; Dartmouth College; Uppsala University; Nagaoka University of Technology; University of Bern; University of Bern; Ruprecht Karls University Heidelberg; Natural Resources Canada; Lands &amp; Minerals Sector - Natural Resources Canada; Geological Survey of Canada; Oregon State University; Universite Paris Cite; CEA; Centre National de la Recherche Scientifique (CNRS); Universite Paris Saclay; UK Research &amp; Innovation (UKRI); Natural Environment Research Council (NERC); NERC British Antarctic Survey; Communaute Universite Grenoble Alpes; Universite Grenoble Alpes (UGA); Centre National de la Recherche Scientifique (CNRS); Korea Institute of Ocean Science &amp; Technology (KIOST); Korea Polar Research Institute (KOPRI); Swansea University; University of Colorado System; University of Colorado Boulder; University of Kansas; Research Organization of Information &amp; Systems (ROIS); National Institute of Polar Research (NIPR) - Japan; University of Iceland; Stockholm University; Inha University; Vrije Universiteit Brussel; Shinshu University; Helmholtz Association; Alfred Wegener Institute, Helmholtz Centre for Polar &amp; Marine Research; University of Washington; University of Washington Seattle; Arctic &amp; Antarctic Research Institute; Nevada System of Higher Education (NSHE); Desert Research Institute NSHE; Hokkaido University; Lund University; University of California System; University of California San Diego; Scripps Institution of Oceanography; Universite Libre de Bruxelles; Uppsala University; Utrecht University; Chinese Academy of Sciences; Cold &amp; Arid Regions Environmental &amp; Engineering Research Institute, CAS; Commonwealth Scientific &amp; Industrial Research Organisation (CSIRO); Pennsylvania Commonwealth System of Higher Education (PCSHE); Pennsylvania State University; Pennsylvania State University - University Park; University of Colorado System; University of Colorado Boulder; University of East Anglia; Communaute Universite Grenoble Alpes; Institut National Polytechnique de Grenoble; Universite Grenoble Alpes (UGA); Centre National de la Recherche Scientifique (CNRS); China Meteorological Administration; Chinese Academy of Meteorological Sciences (CAMS)</t>
  </si>
  <si>
    <t>Dahl-Jensen, D (corresponding author), Univ Copenhagen, Niels Bohr Inst, Ctr Ice &amp; Climate, Juliane Maries Vej 30, DK-2100 Copenhagen K, Denmark.</t>
  </si>
  <si>
    <t>ddj@gfy.ku.dk</t>
  </si>
  <si>
    <t>Svensson, Anders/A-2643-2010; Köhler, Peter/F-7293-2010; Wilhelms, Frank/KEI-8426-2024; van de wal, roderik/D-1705-2011; Stocker, Thomas F/B-1273-2013; Dahl-Jensen, Dorthe/AAO-6951-2020; Hvidberg, Christine S./E-8934-2015; White, James W.C./A-7845-2009; Gkinis, Vasileios/E-8185-2011; Vaughn, Bruce/AAO-8867-2020; Rybak, Oleg/B-7308-2014; clausen, henrik/AAD-8016-2021; Brook, Edward/AAB-7807-2021; raynaud, dominique/ABG-4718-2020; Solgaard, Anne/H-2042-2018; Chappellaz, Jérôme A./A-4872-2011; Capron, Emilie/ITU-2672-2023; Simonsen, Sebastian Bjerregaard/F-4791-2013; Pattyn, Frank/AAA-9640-2019; Sjolte, Jesper/N-7833-2019; Steffen, Konrad/C-6027-2013; Grinsted, Aslak/J-9273-2012; Rubino, Mauro/Q-5578-2016; Steffensen, Jorgen Peder/JFS-7831-2023; Masson-Delmotte, Valerie L/G-1995-2011; Maselli, Olivia/A-6687-2013; Quiquet, Aurélien/P-6180-2014; Rasmussen, Sune/B-5560-2008; Panton, Christian/M-6045-2014; Uetake, Jun/V-4853-2018; Sperlich, Peter/B-4646-2018; Karlsson, Nanna Bjørnholt/G-4621-2018; Langen, Peter L/AAR-1120-2021; Rybak, Oleg/AAQ-8467-2020; Cvijanovic, Ivana/KBB-2963-2024; Wolff, Eric W/D-7925-2014; Rasmussen, Sune Olander/AAA-3190-2021; Leuenberger, Markus C/K-9655-2016; Sjolte, Jesper/O-2942-2016; Bigler, Matthias/HTT-3872-2023; Kjær, Helle Astrid/HGC-7941-2022; Martinerie, Patricia/N-5731-2017; Raynaud, Dominique/H-9626-2016; Kawamura, Kenji/C-7660-2011; Davies, Siwan/E-6915-2011; Jenk, Theo/D-5777-2017; Fischer, Hubertus/A-1211-2014; Weikusat, Ilka/E-8826-2015; Rockmann, Thomas/F-4479-2015; Tison, Jean-Louis/F-4065-2015; Mulvaney, Robert/K-3929-2012; Winstrup, Mai/M-5844-2014; Vallelonga, Paul/I-9650-2016; Laepple, Thomas/M-8783-2015; Blunier, Thomas/M-4609-2014; Huybrechts, Philippe/J-5278-2013; Iizuka, Yoshinori/D-9112-2012; Lipenkov, Vladimir/Q-8262-2016; Steen-Larsen, Hans Christian/F-9927-2013; Karlsson, Nanna B./M-4519-2014</t>
  </si>
  <si>
    <t>Svensson, Anders/0000-0002-4364-6085; Köhler, Peter/0000-0003-0904-8484; Wilhelms, Frank/0000-0001-7688-3135; van de wal, roderik/0000-0003-2543-3892; Dahl-Jensen, Dorthe/0000-0002-1474-1948; Hvidberg, Christine S./0000-0002-9665-1339; Gkinis, Vasileios/0000-0002-5910-1549; Rybak, Oleg/0000-0003-3923-7163; Solgaard, Anne/0000-0002-8693-620X; Simonsen, Sebastian Bjerregaard/0000-0001-9569-1294; Pattyn, Frank/0000-0003-4805-5636; Sjolte, Jesper/0000-0003-0870-5331; Grinsted, Aslak/0000-0003-1634-6009; Steffensen, Jorgen Peder/0000-0002-5516-1093; Masson-Delmotte, Valerie L/0000-0001-8296-381X; Quiquet, Aurélien/0000-0001-6207-3043; Panton, Christian/0000-0003-4438-271X; Langen, Peter L/0000-0003-2185-012X; Rybak, Oleg/0000-0002-7234-0544; Cvijanovic, Ivana/0000-0002-1738-7745; Wolff, Eric W/0000-0002-5914-8531; Rasmussen, Sune Olander/0000-0002-4177-3611; Leuenberger, Markus C/0000-0003-4299-6793; Sjolte, Jesper/0000-0003-0870-5331; Bigler, Matthias/0000-0003-0184-4013; Kjær, Helle Astrid/0000-0002-3781-9509; Martinerie, Patricia/0000-0002-6820-2296; Kawamura, Kenji/0000-0003-1163-700X; Davies, Siwan/0000-0003-0999-7233; Vinther, Bo/0000-0002-6078-771X; Keegan, Kaitlin/0000-0002-1241-2681; Jenk, Theo/0000-0001-6820-8615; Fischer, Hubertus/0000-0002-2787-4221; Schilt, Adrian/0000-0001-6312-7947; POL, Katy/0000-0002-3467-3698; VAUGHN, BRUCE/0000-0001-6503-957X; Weikusat, Ilka/0000-0002-3023-6036; Ritz, Catherine/0000-0003-0785-8571; Rockmann, Thomas/0000-0002-6688-8968; Tison, Jean-Louis/0000-0002-9758-3454; Guillevic, Mathieu/0000-0002-0081-785X; Mulvaney, Robert/0000-0002-5372-8148; Muscheler, Raimund/0000-0003-2772-3631; Sperlich, Peter/0000-0003-1455-0903; Winstrup, Mai/0000-0002-4794-4004; Vallelonga, Paul/0000-0003-1055-7235; Laepple, Thomas/0000-0001-8108-7520; Blunier, Thomas/0000-0002-6065-7747; Miller, Heinrich/0000-0003-1015-2828; Sapart, Celia Julia/0000-0003-0745-4825; Huybrechts, Philippe/0000-0003-1406-0525; Iizuka, Yoshinori/0000-0001-7241-6062; Lipenkov, Vladimir/0000-0003-4221-5440; Schupbach, Simon/0000-0003-3188-2635; Rubino, Mauro/0000-0002-8721-4508; Albert, Mary/0000-0001-7842-2359; Buizert, Christo/0000-0002-2227-1747; Steen-Larsen, Hans Christian/0000-0002-7202-5907; Karlsson, Nanna B./0000-0003-0423-8705; LANDAIS, Amaelle/0000-0002-5620-5465</t>
  </si>
  <si>
    <t>Belgium (FNRS-CFB); Belgium (FWO); Canada (NRCan/GSC); China (CAS); Denmark (FIST); France (IPEV); France (CNRS/INSU); France (CEA); France (ANR); Germany (AWI); Iceland (RannIs); Japan (NIPR); South Korea (KOPRI); The Netherlands (NWO/ALW); Sweden (VR); Switzerland (SNF); United Kingdom (NERC); USA (US NSF, Office of Polar Programs); EU; NERC [NE/F021194/1, bas0100024, NE/F020600/1] Funding Source: UKRI; Natural Environment Research Council [bas0100024, NE/F021194/1, NE/F020600/1] Funding Source: researchfish; Directorate For Geosciences; Office of Polar Programs (OPP) [0806387, 0806377, 0806407, 0909541] Funding Source: National Science Foundation; Office of Polar Programs (OPP); Directorate For Geosciences [0806414] Funding Source: National Science Foundation; Office Of The Director; Office Of Internatl Science &amp;Engineering [0968391] Funding Source: National Science Foundation; Grants-in-Aid for Scientific Research [22540426, 21221002, 23681001, 22221002, 21671001] Funding Source: KAKEN</t>
  </si>
  <si>
    <t>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South Korea (KOPRI)(Korea Polar Research Institute of Marine Research Placement (KOPRI)); The Netherlands (NWO/ALW)(Netherlands Organization for Scientific Research (NWO)Netherlands Government); Sweden (VR)(Swedish Research Council); Switzerland (SNF); United Kingdom (NERC)(UK Research &amp; Innovation (UKRI)Natural Environment Research Council (NERC)); USA (US NSF, Office of Polar Programs); EU(European Union (EU));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 Office Of The Director; Office Of Internatl Science &amp;Engineering(National Science Foundation (NSF)NSF - Office of the Director (OD)); Grants-in-Aid for Scientific Research(Ministry of Education, Culture, Sports, Science and Technology, Japan (MEXT)Japan Society for the Promotion of ScienceGrants-in-Aid for Scientific Research (KAKENHI))</t>
  </si>
  <si>
    <t>We thank the many persons involved in logistics, drill developments and drilling, and ice-core processing and analysis in the field and in our laboratories. NEEM is directed and organized by the Centre of Ice and Climate at the Niels Bohr Institute and US NSF, Office of Polar Programs. It is supported by funding agencies and institutions in Belgium (FNRS-CFB and FWO), Canada (NRCan/GSC), China (CAS), Denmark (FIST), France (IPEV, CNRS/INSU, CEA and ANR), Germany (AWI), Iceland (RannIs), Japan (NIPR), South Korea (KOPRI), The Netherlands (NWO/ALW), Sweden (VR), Switzerland (SNF), the United Kingdom (NERC) and the USA (US NSF, Office of Polar Programs) and the EU Seventh Framework programmes Past4Future and WaterundertheIce. NASA is acknowledged for the OIB 2011 programme.</t>
  </si>
  <si>
    <t>NATURE PUBLISHING GROUP</t>
  </si>
  <si>
    <t>MACMILLAN BUILDING, 4 CRINAN ST, LONDON N1 9XW, ENGLAND</t>
  </si>
  <si>
    <t>0028-0836</t>
  </si>
  <si>
    <t>1476-4687</t>
  </si>
  <si>
    <t>Nature</t>
  </si>
  <si>
    <t>10.1038/nature11789</t>
  </si>
  <si>
    <t>075GF</t>
  </si>
  <si>
    <t>WOS:000313871400029</t>
  </si>
  <si>
    <t>Butler, ECV; O'Sullivan, JE; Watson, RJ; Bowie, AR; Remenyi, TA; Lannuzel, D</t>
  </si>
  <si>
    <t>Butler, Edward C. V.; O'Sullivan, Jeanette E.; Watson, Roslyn J.; Bowie, Andrew R.; Remenyi, Tomas A.; Lannuzel, Delphine</t>
  </si>
  <si>
    <t>Trace metals Cd, Co, Cu, Ni, and Zn in waters of the subantarctic and Polar Frontal Zones south of Tasmania during the 'SAZ-Sense' project</t>
  </si>
  <si>
    <t>MARINE CHEMISTRY</t>
  </si>
  <si>
    <t>Chemical oceanography; Marine biogeochemistry; Micronutrients; Cadmium; Cobalt; Copper; Nickel; Zinc; Southern Ocean</t>
  </si>
  <si>
    <t>AUSTRALIAN SECTOR; SURFACE WATERS; OCEAN; IRON; PHYTOPLANKTON; CADMIUM; SECTION; PB; FE; DISTRIBUTIONS</t>
  </si>
  <si>
    <t>Trace metal micronutrients regulate primary production in oceanic surface waters, particularly those characterised as 'high nutrient, low chlorophyll', such as the Subantarctic Zone (SAZ). Our goal was to evaluate the distribution and biogeochemistry of Cd, Co, Cu, Ni and Zn in the upper 1000 m of this zone to the south of Australia during the SAZ-Sense Project (Jan-Feb 2007). 13 depth profiles were sampled for dissolved, labile metal measurements through subtropical and SAZ waters - west and east of Tasmania - and southward into the Polar Frontal Zone. We determined Cd from detection limit &lt;4 pM to 900 pM, Co 5-43 pM, Cu 0.22-1.79 nM, Ni 2.51-731 nM and Zn &lt;022-7.9. Throughout the study area, Cd, Cu and Ni correlated closely with the macronutrient phosphorus, but their depletion (relative to winter levels) in surface waters differed: Cd (64-&gt;96%), Cu (2-35%), Ni (7-20%). The profile south of the Polar Front contrasted markedly with all others, having the lowest depletions in surface waters. Another discordancy was some anomalously high Cu concentrations in surface waters close to Tasmania. Co behaved as a recycled (nutrient) element correlating with P and Chl a in the top 200 m of the water column, but deeper it was different with a distinct subsurface peak. The characteristics of this peak suggested lateral supply of dissolved, labile Co from polar surface waters to lower-latitude ocean depths via Antarctic Intermediate Waters. Zn also typified a recycled micronutrient It was loosely correlated with the macronutrient silicon-more strongly to the south and in the Polar Frontal Zone (PFZ). In the vicinity of the Subtropical Front to the east of Tasmania, dissolved Zn was decoupled from other micro- and macro-nutrients. Its irregular distribution suggested this region's dynamic eddy field and possibly variable supply and a phytoplankton community dominated by non-diatom species as influential factors. Distributions of Cd, Cu, Ni and Co were much more uniform in the vicinity of the Subtropical Front (only dissolved Fe data from SAZ-Sense exemplified similar patchiness in distribution as Zn), distinguished solely by being either side of the Front, in subtropical or subantarctic waters. These new data for Cd, Co, Cu, Ni and Zn improve scant coverage for them in the Australian sector of the Southern Ocean, and provide a basis for linking their distribution to regional primary productivity and variations in phytoplankton community structure. Crown Copyright (C) 2012 Published by Elsevier B.V. All rights reserved.</t>
  </si>
  <si>
    <t>[Butler, Edward C. V.; O'Sullivan, Jeanette E.; Watson, Roslyn J.] CSIRO Wealth Oceans Natl Res Flagship, Hobart, Tas 7001, Australia; Ctr Australian Weather &amp; Climate Res, Hobart, Tas 7001, Australia; [Butler, Edward C. V.; Bowie, Andrew R.; Remenyi, Tomas A.; Lannuzel, Delphine] Univ Tasmania, Antarct Climate &amp; Ecosyst CRC, Hobart, Tas 7001, Australia; [Bowie, Andrew R.; Remenyi, Tomas A.; Lannuzel, Delphine] Univ Tasmania, Inst Marine &amp; Antarct Studies, Hobart, Tas 7001, Australia</t>
  </si>
  <si>
    <t>Commonwealth Scientific &amp; Industrial Research Organisation (CSIRO); Commonwealth Scientific &amp; Industrial Research Organisation (CSIRO); University of Tasmania; University of Tasmania</t>
  </si>
  <si>
    <t>Butler, ECV (corresponding author), Australian Inst Marine Sci, Arafura Timor Res Facil, POB 41775, Casuarina, Northern Territ 0811, Australia.</t>
  </si>
  <si>
    <t>E.Butler@aims.gov.au</t>
  </si>
  <si>
    <t>Watson, Roslyn J./JVN-9055-2024; Bowie, Andrew/C-8677-2013; lannuzel, delphine/J-7937-2014</t>
  </si>
  <si>
    <t>Remenyi, Tomas/0000-0002-4145-9323; Butler, Edward/0000-0002-6660-3985; Bowie, Andrew/0000-0002-5144-7799; lannuzel, delphine/0000-0001-6154-1837</t>
  </si>
  <si>
    <t>Australian Government Cooperative Research Centres Programme through the Antarctic Climate and Ecosystems CRC (ACE CRC); Australian Antarctic Science [AAS 2720, AAS 2602]</t>
  </si>
  <si>
    <t>Australian Government Cooperative Research Centres Programme through the Antarctic Climate and Ecosystems CRC (ACE CRC)(Australian GovernmentDepartment of Industry, Innovation and ScienceCooperative Research Centres (CRC) Programme); Australian Antarctic Science</t>
  </si>
  <si>
    <t>This research was supported by the Australian Government Cooperative Research Centres Programme through the Antarctic Climate and Ecosystems CRC (ACE CRC), by Australian Antarctic Science grants AAS 2720 and AAS 2602, and it was formally part of the International Polar Year-GEOTRACES project. We are grateful for the splendid assistance of the captain, officers, bosun and crew of RSV Aurora Australis. Brian Griffiths is thanked for many things-his voyage planning, leadership at sea, as well as the basis of Fig. S3. Philip Boyd and NIWA are acknowledged for the loan of the autonomous trace metal rosette and Niskin bottles. We also thank Thibault Wagener, Christel Hassler, Veronique Schoemann, Isabelle Dumont and Florence Masson for help with operations of the TM rosette, Mark Rosenberg for ADCP records, and with the CTD team, for temperature, salinity and DO data. Neale Johnstone, Alicia Navidad and Suellen Cook expertly carried out shipboard analyses for macronutrients, and calibration measurements for dissolved oxygen and salinity. We are grateful to Alan Poole and Aaron Spurr for their generous and very capable, seagoing technical support. Assistance with data interpretation has been provided by Lindsay Pender (ADCP data analysis), and Diana Davies maintains the SAZ-Sense website (www.cmar.csiro.au/datacentre/sazsense). We also acknowledge comments from Christel Hassler, two anonymous referees and an associate editor that improved our original manuscript.</t>
  </si>
  <si>
    <t>0304-4203</t>
  </si>
  <si>
    <t>1872-7581</t>
  </si>
  <si>
    <t>MAR CHEM</t>
  </si>
  <si>
    <t>Mar. Chem.</t>
  </si>
  <si>
    <t>JAN 20</t>
  </si>
  <si>
    <t>10.1016/j.marchem.2012.10.005</t>
  </si>
  <si>
    <t>Chemistry, Multidisciplinary; Oceanography</t>
  </si>
  <si>
    <t>Chemistry; Oceanography</t>
  </si>
  <si>
    <t>083CZ</t>
  </si>
  <si>
    <t>WOS:000314441600007</t>
  </si>
  <si>
    <t>Lucieer, V; Hill, NA; Barrett, NS; Nichol, S</t>
  </si>
  <si>
    <t>Lucieer, Vanessa; Hill, Nicole A.; Barrett, Neville S.; Nichol, Scott</t>
  </si>
  <si>
    <t>Do marine substrates 'look' and 'sound' the same? Supervised classification of multibeam acoustic data using autonomous underwater vehicle images</t>
  </si>
  <si>
    <t>ESTUARINE COASTAL AND SHELF SCIENCE</t>
  </si>
  <si>
    <t>multibeam acoustic data; autonomous underwater vehicles; substrate prediction; image classification</t>
  </si>
  <si>
    <t>BENTHIC HABITAT; SCOTIAN SHELF; BATHYMETRY; SURROGATES; TEXTURE; SCALE; SEGMENTATION; COMMUNITIES; ASSEMBLAGES; PHOTOGRAPHY</t>
  </si>
  <si>
    <t>In this study we outline the techniques used to transform multibeam acoustic data into spatial layers that can be used for predictive habitat modelling. The results allow us to identify multibeam attributes which may act as potential surrogates for environmental variables that influence biodiversity and define which variables may be reliable for predicting the distribution of species in temperate waters. We explore a method for analysing the spatially coincident multibeam bathymetric and backscatter data from shallow coastal waters to generate spatial data products that relate to the classes derived from fine-scale visual imagery obtained using an autonomous underwater vehicle (AUV). Classifications of the multibeam data are performed for substrate, rugosity and sponge cover. Overall classification accuracies for the classes associated with substratum, rugosity and sponge structure were acceptable for biodiversity assessment applications. Accuracies were highest for rugosity classes at 65%, followed by substratum classes at 64% and then sponge structure classes at 57%. Random forest classifiers at a segmentation scale of 30 performed best in classifying substratum and rugosity, while K-nearest neighbour classifiers performed best for sponge structure classes, with no difference in accuracy between scale 30 and 60. Incorporating backscatter variables using segmentation improved the overall accuracy achieved by the best performing model by between 1% (rugosity) and 9% (substratum) above using topographic variables only in the grid-based analyses. Results suggest that image-based backscatter classification show considerable promise for the interpretation of multibeam sonar data for the production of substrate maps. A particular outcome of this research is to provide appropriate and sufficiently fine-scale physical covariates from the multibeam acoustic data to adequately inform models predicting the distribution of biodiversity on benthic reef habitats. Crown Copyright (c) 2012 Published by Elsevier Ltd. All rights reserved.</t>
  </si>
  <si>
    <t>[Lucieer, Vanessa; Hill, Nicole A.; Barrett, Neville S.] Univ Tasmania, Inst Marine &amp; Antarctic Studies, Hobart, Tas 7001, Australia; [Nichol, Scott] Geosci Australia, Marine &amp; Coastal Grp, Canberra, ACT 2601, Australia</t>
  </si>
  <si>
    <t>University of Tasmania; Geoscience Australia</t>
  </si>
  <si>
    <t>Lucieer, V (corresponding author), Univ Tasmania, Inst Marine &amp; Antarctic Studies, Private Bag 49, Hobart, Tas 7001, Australia.</t>
  </si>
  <si>
    <t>vanessa.lucieer@utas.edu.au</t>
  </si>
  <si>
    <t>Hill, Nicole/AAI-7323-2021; Barrett, Neville/J-7593-2014; Lucieer, Vanessa/D-1697-2009</t>
  </si>
  <si>
    <t>Hill, Nicole/0000-0001-9329-6717; Barrett, Neville/0000-0002-6167-1356; Lucieer, Vanessa/0000-0001-7531-5750</t>
  </si>
  <si>
    <t>Commonwealth Environment Research Facilities (CERF) program; Australian Government</t>
  </si>
  <si>
    <t>Commonwealth Environment Research Facilities (CERF) program; Australian Government(Australian Government)</t>
  </si>
  <si>
    <t>This work has been funded through the Commonwealth Environment Research Facilities (CERF) program, an Australian Government initiative supporting world class, public-good research. The CERF Marine Biodiversity Hub is a collaborative partnership between the University of Tasmania, CSIRO Wealth from Oceans Flagship, Geoscience Australia, Australian Institute of Marine Science and Museum Victoria. We would like to thank Steffan Williams, the Australian Centre for Field Robotics (ACFR) and the Integrated Marine Observing System (IMOS) for access to and running the AUV Sirius; Lisa Meyer, Pauline Vouroit, Jo Dowdney and Justin Hulls for scoring images. The authors would also like to acknowledge the reviewers for their valuable comments which improved this manuscript.</t>
  </si>
  <si>
    <t>0272-7714</t>
  </si>
  <si>
    <t>1096-0015</t>
  </si>
  <si>
    <t>ESTUAR COAST SHELF S</t>
  </si>
  <si>
    <t>Estuar. Coast. Shelf Sci.</t>
  </si>
  <si>
    <t>10.1016/j.ecss.2012.11.001</t>
  </si>
  <si>
    <t>095GV</t>
  </si>
  <si>
    <t>WOS:000315323600010</t>
  </si>
  <si>
    <t>Evans, W; Hales, B; Strutton, PG</t>
  </si>
  <si>
    <t>Evans, Wiley; Hales, Burke; Strutton, Peter G.</t>
  </si>
  <si>
    <t>pCO2 distributions and air-water CO2 fluxes in the Columbia River estuary</t>
  </si>
  <si>
    <t>carbon dioxide partial pressure; air-water carbon dioxide exchange; Revelle factor; Columbia River estuary; river-dominated estuary; coastal upwelling</t>
  </si>
  <si>
    <t>CARBON-DIOXIDE; PARTIAL-PRESSURE; COASTAL OCEAN; SEASONAL-VARIATION; ORGANIC-CARBON; EXCHANGE; SYSTEM; ACIDIFICATION; METABOLISM; NUTRIENTS</t>
  </si>
  <si>
    <t>Sources of time and space variability in the distributions of surface water carbon dioxide partial pressure (PCO2) and air-water CO2 flux were quantified in the Columbia River estuary (CRE) during five cruises in spring, summer and autumn 2007/08. The CRE is an upwelling margin river-dominated mesotidal system that is an estuary class not represented in global flux compilations. Data from the CRE show instances of pCO(2) under and oversaturation with respect to the atmosphere during every season in association with tidal, wind, biological and storm-driven sources of variability. On average the CRE is a sink for atmospheric CO2 during spring and a source during summer and autumn, with large positive air-water CO2 fluxes during the snowmelt freshet coinciding with the functional transition in the estuary. It is hypothesized here that interannual variability in size of the snowmelt freshet largely influences the extent of springtime CO2 uptake in the CRE, and subsequently the magnitude of net annual CO2 emission from the estuary. Data collected during an autumn storm show that large fluxes can drop quickly, even in the presence of high gas transfer velocities, because of rapid CO2 exchange with the atmosphere in this weakly buffered system. Combining seasonal observations of CO2 exchange with an assumption of winter conditions, we estimate that the net annual emission from the CRE is approximately 1 mol C m(-2) yr(-1). The air-water CO2 fluxes reported here are the first from an upwelling margin river-dominated mesotidal estuary, and the estimate of net annual exchange is substantially lower than those from other tidal and/or large river systems represented in global flux compilations. (c) 2012 Elsevier Ltd. All rights reserved.</t>
  </si>
  <si>
    <t>[Evans, Wiley; Hales, Burke] Oregon State Univ, Coll Ocean &amp; Atmospher Sci, Corvallis, OR 97331 USA; [Strutton, Peter G.] Univ Tasmania, Inst Marine &amp; Antarctic Studies, Hobart, Tas, Australia</t>
  </si>
  <si>
    <t>Oregon State University; University of Tasmania</t>
  </si>
  <si>
    <t>Evans, W (corresponding author), Univ Alaska Fairbanks, Sch Fisheries &amp; Ocean Sci, Ocean Acidificat Res Ctr, Fairbanks, AK 99775 USA.</t>
  </si>
  <si>
    <t>wiley.evans@alaska.edu</t>
  </si>
  <si>
    <t>Evans, Wiley/U-8250-2018; Strutton, Peter/C-4466-2011</t>
  </si>
  <si>
    <t>Evans, Wiley/0000-0002-5450-0903; Strutton, Peter/0000-0002-2395-9471</t>
  </si>
  <si>
    <t>NSF Chemical Oceanography award [OCE-0752576]</t>
  </si>
  <si>
    <t>NSF Chemical Oceanography award(National Science Foundation (NSF)NSF - Directorate for Geosciences (GEO))</t>
  </si>
  <si>
    <t>We thank the captain and crew of the Oregon State University R/V Wecoma. We are very grateful for Dale Hubbard's help and guidance with pCO2 system training during the cruises presented here. We also thank the Center for Coastal Margin Observation and Prediction (CMOP) for allowing our participation in these cruises. We thank Bill Peterson for providing the extracted chlorophyll data used to calibrate the fluorometer. We thank Dan Murphy for running the pCO2 system during the November 2007 storm. We thank Charles Seaton, and CMOP, for providing the CRE bathymetry data. The comments from two anonymous reviewers greatly improved this manuscript. This work was supported by NSF Chemical Oceanography award OCE-0752576.</t>
  </si>
  <si>
    <t>10.1016/j.ecss.2012.12.003</t>
  </si>
  <si>
    <t>WOS:000315323600025</t>
  </si>
  <si>
    <t>Durand, A; Chase, Z; Remenyi, T; Quéroué, F</t>
  </si>
  <si>
    <t>Durand, Axel; Chase, Zanna; Remenyi, Tomas; Queroue, Fabien</t>
  </si>
  <si>
    <t>Microplate-reader method for the rapid analysis of copper in natural waters with chemiluminescence detection</t>
  </si>
  <si>
    <t>FRONTIERS IN MICROBIOLOGY</t>
  </si>
  <si>
    <t>microplate-reader; copper detection; chemiluminescence; 1,10-phenanthroline; seawater</t>
  </si>
  <si>
    <t>FLOW-INJECTION ANALYSIS; STRIPPING VOLTAMMETRY; SEAWATER; COMPLEXATION; SPECIATION; COASTAL; CU; 1,10-PHENANTHROLINE; DISTRIBUTIONS; TOXICITY</t>
  </si>
  <si>
    <t>We have developed a method for the determination of copper in natural waters at nanomolar levels. The use of a microplate-reader minimizes sample processing time (similar to 25 s per sample), reagent consumption (similar to 120 mu L per sample), and sample volume (similar to 700 mu L). Copper is detected by cherniluminescence. This technique is based on the formation of a complex between copper and 1,10-phenanthroline and the subsequent emission of light during the oxidation of the complex by hydrogen peroxide. Samples are acidified to pH 1.7 and then introduced directly into a 24-well plate. Reagents are added during data acquisition via two reagent injectors. When trace metal clean protocols are employed, the reproducibility is generally less than 7% on blanks and the detection limit is 0.7 nM for seawater and 0.4 nM for freshwater. More than 100 samples per hour can be analyzed with this technique, which is simple, robust, and amenable to at-sea analysis. Seawater samples from Storm Bay in Tasmania illustrate the utility of the method for environmental science. Indeed other trace metals for which optical detection methods exist (e.g., chemiluminescence, fluorescence, and absorbance) could be adapted to the microplate-reader.</t>
  </si>
  <si>
    <t>[Durand, Axel; Chase, Zanna; Remenyi, Tomas; Queroue, Fabien] Univ Tasmania, Inst Marine &amp; Antarctic Studies, Hobart, Tas, Australia; [Durand, Axel; Remenyi, Tomas] Univ Tasmania, Antarctic Climate &amp; Ecosyst Cooperat Res Ctr, Hobart, Tas, Australia; [Remenyi, Tomas] Univ Tasmania, Sch Chem, Australian Ctr Res Separat Sci, Hobart, Tas, Australia; [Queroue, Fabien] Univ Europeenne Bretagne, Rennes, France; [Queroue, Fabien] Univ Brest, CNRS, IRD, UMR LEMAR IUEM 6539, Plouzane, France</t>
  </si>
  <si>
    <t>University of Tasmania; Antarctic Climate &amp; Ecosystems Cooperative Research Centre (ACE CRC); University of Tasmania; University of Tasmania; Universite de Bretagne Occidentale; Universite de Bretagne Occidentale; Centre National de la Recherche Scientifique (CNRS); Ifremer; Institut de Recherche pour le Developpement (IRD)</t>
  </si>
  <si>
    <t>Durand, A (corresponding author), Univ Tasmania, Inst Marine &amp; Antarctic Studies Sandy Bay, Cnr Alexander St &amp; Grosvenor St, Sandy Bay, Tas, Australia.</t>
  </si>
  <si>
    <t>pod.axe@wanadoo.fr</t>
  </si>
  <si>
    <t>; Chase, Zanna/E-9232-2013</t>
  </si>
  <si>
    <t>Remenyi, Tomas/0000-0002-4145-9323; Chase, Zanna/0000-0001-5060-779X</t>
  </si>
  <si>
    <t>FRONTIERS MEDIA SA</t>
  </si>
  <si>
    <t>LAUSANNE</t>
  </si>
  <si>
    <t>AVENUE DU TRIBUNAL FEDERAL 34, LAUSANNE, CH-1015, SWITZERLAND</t>
  </si>
  <si>
    <t>1664-302X</t>
  </si>
  <si>
    <t>FRONT MICROBIOL</t>
  </si>
  <si>
    <t>Front. Microbiol.</t>
  </si>
  <si>
    <t>JAN 17</t>
  </si>
  <si>
    <t>10.3389/fmicb.2012.00437</t>
  </si>
  <si>
    <t>AA2TM</t>
  </si>
  <si>
    <t>Green Published, Green Accepted, gold</t>
  </si>
  <si>
    <t>WOS:000330947000001</t>
  </si>
  <si>
    <t>Rengifo-Herrera, C; Ortega-Mora, LM; Gómez-Bautista, M; García-Peña, FJ; García-Párraga, D; Pedraza-Díaz, S</t>
  </si>
  <si>
    <t>Rengifo-Herrera, Claudia; Miguel Ortega-Mora, Luis; Gomez-Bautista, Mercedes; Javier Garcia-Pena, Francisco; Garcia-Parraga, Daniel; Pedraza-Diaz, Susana</t>
  </si>
  <si>
    <t>Detection of a novel genotype of Cryptosporidium in Antarctic pinnipeds</t>
  </si>
  <si>
    <t>VETERINARY PARASITOLOGY</t>
  </si>
  <si>
    <t>Cryptosporidium; Giardia; Pinnipeds; Antarctica</t>
  </si>
  <si>
    <t>SP APICOMPLEXA CRYPTOSPORIDIIDAE; PENGUINS PYGOSCELIS-PAPUA; SEALS PHOCA-HISPIDA; GIARDIA-DUODENALIS; RINGED SEALS; MOLECULAR CHARACTERIZATION; GENETIC-CHARACTERIZATION; SPP. OOCYSTS; IDENTIFICATION; PREVALENCE</t>
  </si>
  <si>
    <t>A study was conducted to investigate the presence of Cryptosporidium and Giardia in Antarctic marine mammals. A total of 270 faecal samples from different species of pinnipeds from different locations in the South Shetland Islands and Antarctic Peninsula were analysed by immunofluorescence microscopy and PCR. Cryptosporidium was detected by PCR in three samples from Southern elephant seals (Mirounga leonina) and 2 Weddell seals (Leptonychotes weddellii). However, no oocysts were observed in any of the samples by immunofluorescence microscopy. Molecular characterisation of the isolates, using the 18S rDNA, the HSP70 and the COWP loci, revealed the presence of a Cryptosporidium sp., previously reported from an Antarctic Southern elephant seal, in the elephant seals and a novel genotype in Weddell seals. Giardia could not be detected in any of the samples analysed. (C) 2012 Elsevier B.V. All rights reserved.</t>
  </si>
  <si>
    <t>[Rengifo-Herrera, Claudia; Miguel Ortega-Mora, Luis; Gomez-Bautista, Mercedes; Pedraza-Diaz, Susana] Univ Complutense Madrid, Fac Vet Sci, Dept Anim Hlth, SALUVET, E-28040 Madrid, Spain; [Javier Garcia-Pena, Francisco] Minist Medio Ambiente &amp; Medio Rural &amp; Marino, Lab Cent Vet Algete, Algete 28110, Spain; [Garcia-Parraga, Daniel] Ciudad Artes &amp; Ciencia, Oceanog, Valencia 46013, Spain</t>
  </si>
  <si>
    <t>Complutense University of Madrid</t>
  </si>
  <si>
    <t>Pedraza-Díaz, S (corresponding author), Univ Complutense Madrid, Fac Vet Sci, Dept Anim Hlth, SALUVET, Ciudad Univ S-N, E-28040 Madrid, Spain.</t>
  </si>
  <si>
    <t>spedraza@vet.ucm.es</t>
  </si>
  <si>
    <t>GOMEZ-BAUTISTA, MERCEDES/AAA-1315-2019; Pedraza-Diaz, Susana/HGB-3199-2022; Rengifo-Herrera, Claudia C/F-7621-2014; Ortega-Mora, Luis Miguel/AFT-0684-2022; Pedraza-Diaz, Susana/F-3988-2018</t>
  </si>
  <si>
    <t>Ortega-Mora, Luis Miguel/0000-0002-4986-6783; Pedraza-Diaz, Susana/0000-0001-9401-6473; Garcia-Pena, Francisco Javier/0000-0002-2899-2860; Garcia Parraga, Daniel/0000-0002-3335-5831</t>
  </si>
  <si>
    <t>Spanish Ministry of Science and Innovation [CTM2008-00570]; SeaWorld &amp; Bush Gardens Conservation Fund; IFARHU-SENACYT; University of Panama</t>
  </si>
  <si>
    <t>Spanish Ministry of Science and Innovation(Spanish Government); SeaWorld &amp; Bush Gardens Conservation Fund; IFARHU-SENACYT; University of Panama</t>
  </si>
  <si>
    <t>This work was funded by the Spanish Ministry of Science and Innovation (CTM2008-00570) and the SeaWorld &amp; Bush Gardens Conservation Fund. CRH is funded by the IFARHU-SENACYT and the University of Panama.</t>
  </si>
  <si>
    <t>0304-4017</t>
  </si>
  <si>
    <t>1873-2550</t>
  </si>
  <si>
    <t>VET PARASITOL</t>
  </si>
  <si>
    <t>Vet. Parasitol.</t>
  </si>
  <si>
    <t>JAN 16</t>
  </si>
  <si>
    <t>1-2</t>
  </si>
  <si>
    <t>10.1016/j.vetpar.2012.08.021</t>
  </si>
  <si>
    <t>Parasitology; Veterinary Sciences</t>
  </si>
  <si>
    <t>054PF</t>
  </si>
  <si>
    <t>WOS:000312355000017</t>
  </si>
  <si>
    <t>Karan, R; Capes, MD; DasSarma, P; DasSarma, S</t>
  </si>
  <si>
    <t>Karan, Ram; Capes, Melinda D.; DasSarma, Priya; DasSarma, Shiladitya</t>
  </si>
  <si>
    <t>Cloning, overexpression, purification, and characterization of a polyextremophilic β-galactosidase from the Antarctic haloarchaeon Halorubrum lacusprofundi</t>
  </si>
  <si>
    <t>BMC BIOTECHNOLOGY</t>
  </si>
  <si>
    <t>Polyextremophiles; Extremozymes; Protein stability; Halophiles; Psychrophiles; Biofuels</t>
  </si>
  <si>
    <t>MOLECULAR CHARACTERIZATION; ORGANIC-SOLVENTS; DATABASE; ENZYMES; PROTEIN; HALOPHILES; ADAPTATION; SEQUENCE; SYSTEMS; PLASMID</t>
  </si>
  <si>
    <t>Background: Halorubrum lacusprofundi is a cold-adapted halophilic archaeon isolated from Deep Lake, a perennially cold and hypersaline lake in Antarctica. Its genome sequencing project was recently completed, providing access to many genes predicted to encode polyextremophilic enzymes active in both extremely high salinity and cold temperatures. Results: Analysis of the genome sequence of H. lacusprofundi showed a gene cluster for carbohydrate utilization containing a glycoside hydrolase family 42 beta-galactosidase gene, named bga. In order to study the biochemical properties of the beta-galactosidase enzyme, the bga gene was PCR amplified, cloned, and expressed in the genetically tractable haloarchaeon Halobacterium sp. NRC-1 under the control of a cold shock protein (cspD2) gene promoter. The recombinant beta-galactosidase protein was produced at 20-fold higher levels compared to H. lacusprofundi, purified using gel filtration and hydrophobic interaction chromatography, and identified by SDS-PAGE, LC-MS/MS, and ONPG hydrolysis activity. The purified enzyme was found to be active over a wide temperature range (-5 to 60 degrees C) with an optimum of 50 degrees C, and 10% of its maximum activity at 4 degrees C. The enzyme also exhibited extremely halophilic character, with maximal activity in either 4 M NaCl or KCl. The polyextremophilic beta-galactosidase was also stable and active in 10-20% alcohol-aqueous solutions, containing methanol, ethanol, n-butanol, or isoamyl alcohol. Conclusion: The H. lacusprofundi beta-galactosidase is a polyextremophilic enzyme active in high salt concentrations and low and high temperature. The enzyme is also active in aqueous-organic mixed solvents, with potential applications in synthetic chemistry. H. lacuprofundi proteins represent a significant biotechnology resource and for developing insights into enzyme catalysis under water limiting conditions. This study provides a system for better understanding how H. lacusprofundi is successful in a perennially cold, hypersaline environment, with relevance to astrobiology.</t>
  </si>
  <si>
    <t>[DasSarma, Shiladitya] Univ Maryland, Dept Microbiol &amp; Immunol, Sch Med, Baltimore, MD 21202 USA; Univ Syst Maryland, Inst Marine &amp; Environm Technol, Baltimore, MD 21202 USA</t>
  </si>
  <si>
    <t>University System of Maryland; University of Maryland Baltimore; University System of Maryland; University of Maryland Baltimore; University of Maryland Center for Environmental Science; Institute of Marine &amp; Environmental Technology</t>
  </si>
  <si>
    <t>DasSarma, S (corresponding author), Univ Maryland, Dept Microbiol &amp; Immunol, Sch Med, 701 E Pratt St, Baltimore, MD 21202 USA.</t>
  </si>
  <si>
    <t>sdassarma@som.umaryland.edu</t>
  </si>
  <si>
    <t>DasSarma, Shiladitya/0000-0003-4162-2810; Karan, Ram/0000-0003-3867-7482</t>
  </si>
  <si>
    <t>National Aeronautics and Space Administration [NNX10AP47G]; ASM International Fellowship for Asia</t>
  </si>
  <si>
    <t>National Aeronautics and Space Administration(National Aeronautics &amp; Space Administration (NASA)); ASM International Fellowship for Asia</t>
  </si>
  <si>
    <t>This work was funded by the National Aeronautics and Space Administration grant NNX10AP47G. RK was partially supported by an ASM International Fellowship for Asia.</t>
  </si>
  <si>
    <t>1472-6750</t>
  </si>
  <si>
    <t>BMC BIOTECHNOL</t>
  </si>
  <si>
    <t>BMC Biotechnol.</t>
  </si>
  <si>
    <t>10.1186/1472-6750-13-3</t>
  </si>
  <si>
    <t>Biotechnology &amp; Applied Microbiology</t>
  </si>
  <si>
    <t>081RX</t>
  </si>
  <si>
    <t>gold, Green Published</t>
  </si>
  <si>
    <t>WOS:000314341100001</t>
  </si>
  <si>
    <t>Lovenduski, NS; Long, MC; Gent, PR; Lindsay, K</t>
  </si>
  <si>
    <t>Lovenduski, Nicole S.; Long, Matthew C.; Gent, Peter R.; Lindsay, Keith</t>
  </si>
  <si>
    <t>Multi-decadal trends in the advection and mixing of natural carbon in the Southern Ocean</t>
  </si>
  <si>
    <t>ANTARCTIC CIRCUMPOLAR CURRENT; CLIMATE</t>
  </si>
  <si>
    <t>Multi-decadal trends in the advection, mixing, and air-sea flux of natural carbon dioxide (CO2) in the Southern Ocean are investigated using output from a hindcast simulation of a non-eddy-resolving ocean model. Particular emphasis is placed on the model's improved eddy-induced advection parameterization. From 1958 to 2007, the model predicts a significant increase in the outgassing of natural CO2 from the Southern Ocean, congruent with a positive trend in the wind speed over this period. The natural CO2 flux trend is largely driven by enhanced Eulerian-mean advection and diapycnal mixing of dissolved inorganic carbon (DIC) into the Southern Ocean surface. The natural CO2 flux trend would be larger, if not for an increase in the eddy-induced advection of DIC out of the Southern Ocean surface, caused by the multi-decadal increase in the model's eddy-induced advection coefficient. Citation: Lovenduski, N. S., M. C. Long, P. R. Gent, and K. Lindsay (2013), Multi-decadal trends in the advection and mixing of natural carbon in the Southern Ocean, Geophys. Res. Lett., 40, 139-142, doi:10.1029/2012GL054483.</t>
  </si>
  <si>
    <t>[Lovenduski, Nicole S.] Univ Colorado, Dept Atmospher &amp; Ocean Sci, Boulder, CO 80309 USA; [Lovenduski, Nicole S.] Univ Colorado, Inst Arctic &amp; Alpine Res, Boulder, CO 80309 USA; [Long, Matthew C.; Gent, Peter R.; Lindsay, Keith] Natl Ctr Atmospher Res, Climate &amp; Global Dynam Div, Boulder, CO 80307 USA</t>
  </si>
  <si>
    <t>University of Colorado System; University of Colorado Boulder; University of Colorado System; University of Colorado Boulder; National Center Atmospheric Research (NCAR) - USA</t>
  </si>
  <si>
    <t>Lovenduski, NS (corresponding author), Univ Colorado, Dept Atmospher &amp; Ocean Sci, Campus Box 450, Boulder, CO 80309 USA.</t>
  </si>
  <si>
    <t>nicole.lovenduski@colorado.edu</t>
  </si>
  <si>
    <t>Long, Matthew C/H-4632-2016; Gent, Peter/HGB-9457-2022; Lovenduski, Nicole/V-4014-2019</t>
  </si>
  <si>
    <t>Lovenduski, Nicole/0000-0001-5893-1009; Lindsay, Keith/0000-0002-3672-1665; Long, Matthew/0000-0003-1273-2957</t>
  </si>
  <si>
    <t>NOAA [NA12OAR4310058]; NSF [OCE-1155240]; National Science Foundation; Division Of Ocean Sciences; Directorate For Geosciences [1048926, 1155240] Funding Source: National Science Foundation</t>
  </si>
  <si>
    <t>NOAA(National Oceanic Atmospheric Admin (NOAA) - USA); NSF(National Science Foundation (NSF)); National Science Foundation(National Science Foundation (NSF)); Division Of Ocean Sciences; Directorate For Geosciences(National Science Foundation (NSF)NSF - Directorate for Geosciences (GEO))</t>
  </si>
  <si>
    <t>NSL is grateful for support from NOAA (NA12OAR4310058) and NSF (OCE-1155240). NCAR is sponsored by the National Science Foundation. Computational facilities have been provided by the Climate Simulation Laboratory, which is managed by CISL at NCAR.</t>
  </si>
  <si>
    <t>10.1029/2012GL054483</t>
  </si>
  <si>
    <t>129GF</t>
  </si>
  <si>
    <t>WOS:000317826300026</t>
  </si>
  <si>
    <t>Crame, JA</t>
  </si>
  <si>
    <t>Crame, J. Alistair</t>
  </si>
  <si>
    <t>Early Cenozoic Differentiation of Polar Marine Faunas</t>
  </si>
  <si>
    <t>TAXONOMIC DIVERSITY GRADIENTS; CLIMATE-CHANGE; LATITUDINAL GRADIENT; BIODIVERSITY; SEA; GASTROPODS; EVOLUTION; PATTERNS; PALEOGEOGRAPHY; SEASONALITY</t>
  </si>
  <si>
    <t>The widespread assumption that the origin of polar marine faunas is linked to the onset of major global cooling in the Late Eocene - Early Oligocene is being increasingly challenged. The Antarctic fossil record in particular is suggesting that some modern Southern Ocean taxa may have Early Eocene or even Paleocene origins, i.e. well within the Early Cenozoic greenhouse world. A global analysis of one of the largest marine clades at the present day, the Neogastropoda, indicates that not only is there a decrease in the number of species from the tropics to the poles but also a decrease in the evenness of their distribution. A small number of neogastropod families with predominantly generalist trophic strategies at both poles points to the key role of seasonality in structuring the highest latitude marine assemblages. A distinct latitudinal gradient in seasonality is temperature-invariant and would have operated through periods of global warmth such as the Early Cenozoic. To test this concept a second global analysis was undertaken of earliest Cenozoic (Paleocene) neogastropods and this does indeed show a certain degree of faunal differentiation at both poles. The Buccinidae, s.l. is especially well developed at this time, and this is a major generalist taxon at the present day. There is an element of asymmetry associated with this development of Paleocene polar faunas in that those in the south are more strongly differentiated than their northern counterparts; this can in turn be linked to the already substantial isolation of the southern high latitudes. The key role of seasonality in the formation of polar marine faunas has implications for contemporary ecosystem structure and stability.</t>
  </si>
  <si>
    <t>British Antarctic Survey, NERC, Cambridge, England</t>
  </si>
  <si>
    <t>Crame, JA (corresponding author), British Antarctic Survey, NERC, Cambridge, England.</t>
  </si>
  <si>
    <t>jacr@bas.ac.uk</t>
  </si>
  <si>
    <t>Natural Environment Research Council; [NE/1005803/1]; Natural Environment Research Council [NE/I005803/1, NE/I00582X/2] Funding Source: researchfish; NERC [NE/I00582X/2, NE/I005803/1] Funding Source: UKRI</t>
  </si>
  <si>
    <t>Natural Environment Research Council(UK Research &amp; Innovation (UKRI)Natural Environment Research Council (NERC)); ; Natural Environment Research Council(UK Research &amp; Innovation (UKRI)Natural Environment Research Council (NERC)); NERC(UK Research &amp; Innovation (UKRI)Natural Environment Research Council (NERC))</t>
  </si>
  <si>
    <t>Financial support was received from from the Natural Environment Research Council to the BAS core programme Evolutionary history of the polar region'' and research grant NE/1005803/1. The funders had no role in study design, data collection and analysis, decision to publish, or preparation of the manuscript.</t>
  </si>
  <si>
    <t>e54139</t>
  </si>
  <si>
    <t>10.1371/journal.pone.0054139</t>
  </si>
  <si>
    <t>072OV</t>
  </si>
  <si>
    <t>Green Accepted, gold, Green Published, Green Submitted</t>
  </si>
  <si>
    <t>WOS:000313682700089</t>
  </si>
  <si>
    <t>Clerc, S; Buoncristiani, JF; Guiraud, M; Vennin, E; Desaubliaux, G; Portier, E</t>
  </si>
  <si>
    <t>Clerc, Sylvain; Buoncristiani, Jean-Francois; Guiraud, Michel; Vennin, Emmanuelle; Desaubliaux, Guy; Portier, Eric</t>
  </si>
  <si>
    <t>Subglacial to proglacial depositional environments in an Ordovician glacial tunnel valley, Alnif, Morocco</t>
  </si>
  <si>
    <t>PALAEOGEOGRAPHY PALAEOCLIMATOLOGY PALAEOECOLOGY</t>
  </si>
  <si>
    <t>Tunnel valley; Ordovician ice sheet; Subglacial environment; Proglacial environment; Morocco</t>
  </si>
  <si>
    <t>EASTERN ANTI-ATLAS; NORTH-SEA; ICE STREAM; QUATERNARY VALLEYS; GROUNDWATER-FLOW; LATE PLEISTOCENE; MURZUQ BASIN; SEDIMENTATION; TILL; MORPHOLOGY</t>
  </si>
  <si>
    <t>This paper presents the sedimentary analysis of an exceptional Ordovician glacial tunnel valley in the eastern part of the Anti-Atlas. The valley infill comprises two major glacial erosion surfaces (striated pavements) each overlain by a fining-upward glacial unit. These units are composed of five distinct fades associations, recording the evolution from subglacial to proglacial environments, and an additional sixth fades association, overtopping the tunnel valley infill, and associated with post-glacial environments. The tunnel valley infill also records a transitional environment between the subglacial and proglacial settings, which is compared with the Antarctic ice-sheet margin. These three environments are defined by the position of the grounding line and the coupling line. The new proposed depositional model also differs from usual Ordovician depositional models in which the main tunnel valley infill is interpreted as essentially proglacial outwash deposits, in a range of glaciomarine to glaciofluvial environments. Overall, a substantial part of the valley infill (similar to 50% of volume) was deposited in a subglacial setting. The sedimentary bodies could form potentially thick and laterally extended, although these were limited by the shape and extent of the subglacial accommodation space. Finally, the sedimentary record, when compared with regional analogues, also provides information for the palaeogeographic reconstruction of the Ordovician ice-sheet in this region. (c) 2012 Elsevier B.V. All rights reserved.</t>
  </si>
  <si>
    <t>[Clerc, Sylvain; Buoncristiani, Jean-Francois; Guiraud, Michel; Vennin, Emmanuelle] Univ Bourgogne, CNRS, UMR 6282, Lab Biogeosci, F-21000 Dijon, France; [Clerc, Sylvain; Desaubliaux, Guy; Portier, Eric] GDF Suez EPI, F-92930 Paris, France</t>
  </si>
  <si>
    <t>Universite de Bourgogne; Centre National de la Recherche Scientifique (CNRS); GDF Suez</t>
  </si>
  <si>
    <t>Clerc, S (corresponding author), Univ Bourgogne, CNRS, UMR 6282, Lab Biogeosci, 6 Bd Gabriel, F-21000 Dijon, France.</t>
  </si>
  <si>
    <t>sylvain.clerc@u-bourgogne.fr; jfbuon@u-bourgogne.fr; michel.guiraud@u-bourgogne.fr; emmanuelle.vennin@u-bourgogne.fr; guy.desaubliaux@gdfsuezep.com; eric.portier@gdfsuezep.com</t>
  </si>
  <si>
    <t>Buoncristiani, Jean francois/AAE-1964-2019</t>
  </si>
  <si>
    <t>Buoncristiani, Jean francois/0000-0001-5447-5640</t>
  </si>
  <si>
    <t>GDF Suez EPI; 'SEDS' (Systemes, Environnements et Dynamique Sedimentaire) research team in the Laboratoire Biogeosciences at the University of Burgundy [UMR/CNRS 6282]</t>
  </si>
  <si>
    <t>GDF Suez EPI; 'SEDS' (Systemes, Environnements et Dynamique Sedimentaire) research team in the Laboratoire Biogeosciences at the University of Burgundy</t>
  </si>
  <si>
    <t>The authors thank GDF Suez EPI for the funding of this study and for the permission to publish this work. The work is a contribution from the 'SEDS' (Systemes, Environnements et Dynamique Sedimentaire) research team in the Laboratoire Biogeosciences-UMR/CNRS 6282 at the University of Burgundy. The authors are also very grateful to Editor F. Surlyk, as well as reviewers J.-F. Ghienne and D.P. Le Heron for the guidance provided by their constructive review, which greatly improved the manuscript. We also take this opportunity to thank Carmela Chateau-Smith and Christopher Sutcliffe for language correction.</t>
  </si>
  <si>
    <t>0031-0182</t>
  </si>
  <si>
    <t>1872-616X</t>
  </si>
  <si>
    <t>PALAEOGEOGR PALAEOCL</t>
  </si>
  <si>
    <t>Paleogeogr. Paleoclimatol. Paleoecol.</t>
  </si>
  <si>
    <t>JAN 15</t>
  </si>
  <si>
    <t>10.1016/j.palaeo.2012.12.002</t>
  </si>
  <si>
    <t>Geography, Physical; Geosciences, Multidisciplinary; Paleontology</t>
  </si>
  <si>
    <t>Physical Geography; Geology; Paleontology</t>
  </si>
  <si>
    <t>101GB</t>
  </si>
  <si>
    <t>WOS:000315762100011</t>
  </si>
  <si>
    <t>Nyland, RE; Panter, KS; Rocchi, S; Di Vincenzo, G; Del Carlo, P; Tiepolo, M; Field, B; Gorsevski, P</t>
  </si>
  <si>
    <t>Nyland, R. E.; Panter, K. S.; Rocchi, S.; Di Vincenzo, G.; Del Carlo, P.; Tiepolo, M.; Field, B.; Gorsevski, P.</t>
  </si>
  <si>
    <t>Volcanic activity and its link to glaciation cycles: Single-grain age and geochemistry of Early to Middle Miocene volcanic glass from ANDRILL AND-2A core, Antarctica</t>
  </si>
  <si>
    <t>JOURNAL OF VOLCANOLOGY AND GEOTHERMAL RESEARCH</t>
  </si>
  <si>
    <t>Alkaline volcanism; Trace elements; Glass; 40Ar-39Ar dating; ANDRILL; Paleoenvironment</t>
  </si>
  <si>
    <t>DRY VALLEYS REGION; VICTORIA LAND; MCMURDO SOUND; MOUNT EREBUS; ROSS-ISLAND; ICE-SHEET; SEA-LEVEL; ERUPTIVE HISTORY; GEOCHRONOLOGY; PETROGENESIS</t>
  </si>
  <si>
    <t>In the frame of the ANtarctic DRILLing Program, volcanic glass fragments were collected from the AND-2A core between similar to 354 and 765 m below sea floor (mbsf) as accumulations (5-70 vol.%) within sediments. Here, we present the physical characteristics, age and geochemistry of the glass, which enable us to reconstruct Early to Middle Miocene volcanic activity in southern McMurdo Sound and, for the first time, document the response of volcanism to climate change in Antarctica. Glass-rich sediments include muddy-to-fine sandstone and stratified diamictite. Glass varies in color, size, vesicularity, crystal content, angularity, and degree of alteration. The mostly fresh glass exhibits delicate cuspate forms indicating deposition as primary ash fall. 40Ar-39Ar age determinations on individual glass grains are in good agreement with the depositional age model of the sediments (ca. 15.6 to 18.6 Ma), supporting for most of them a primary origin, however, some samples do contain older fragments that indicate glass recycling during times of enhanced glacial erosion. Most glasses are mafic (MgO=3 to 9 wt.%) and vary from hypersthene to nepheline normative with a restricted range in SiO2 (45.2 0.8 wt.%, 1 sigma) and trace element concentrations typical of the rift-related alkaline rocks in the Erebus Volcanic Province. The glass extends known composition of early phase Mount Morning activity (ca. 11-19 Ma), the only known Early to Middle Miocene source, to a more mafic end, revealing a previously unknown explosive, strongly alkaline, basaltic phase and the most primitive forms of both strongly alkaline (basanite to phonolite) and moderately alkaline (alkali basalt to trachyte) magma associations. The glass-rich sediments occur in glacimarine sequences that record 56 cycles of glacial advance and retreat. Volcanic response to glacial cyclicity is observed both physically and geochemically in AND-2A glass. Higher glass volumes in sediments correlate with ice minimum conditions between 300 and 800 mbsf Ratios of Ba to Hf, Nb, La and Zr in mafic glasses )&gt;= 5 wt.% MgO) show a systematic increase in mean values during intervals of ice retreat and decreasing values with ice expansion, suggesting tapping of magmas with variable incompatible to compatible trace element ratios. This may be related to changes in the stress state of the crust in response to rapid ice volume fluctuations over the volcano, which may influence magma chemistry by varying the duration and depth of magma storage. (C) 2012 Elsevier B.V. All rights reserved. In the frame of the ANtarctic DRILLing Program, volcanic glass fragments were collected from the AND-2A core between similar to 354 and 765 m below sea floor (mbsf) as accumulations (5-70 vol.%) within sediments. Here, we present the physical characteristics, age and geochemistry of the glass, which enable us to reconstruct Early to Middle Miocene volcanic activity in southern McMurdo Sound and, for the first time, document the response of volcanism to climate change in Antarctica. Glass-rich sediments include muddy-to-fine sandstone and stratified diamictite. Glass varies in color, size, vesicularity, crystal content, angularity, and degree of alteration. The mostly fresh glass exhibits delicate cuspate forms indicating deposition as primary ash fall. 40Ar-39Ar age determinations on individual glass grains are in good agreement with the depositional age model of the sediments (ca. 15.6 to 18.6 Ma), supporting for most of them a primary origin, however, some samples do contain older fragments that indicate glass recycling during times of enhanced glacial erosion. Most glasses are mafic (MgO=3 to 9 wt.%) and vary from hypersthene to nepheline normative with a restricted range in SiO2 (45.2 0.8 wt.%, 1 sigma) and trace element concentrations typical of the rift-related alkaline rocks in the Erebus Volcanic Province. The glass extends known composition of early phase Mount Morning activity (ca. 11-19 Ma), the only known Early to Middle Miocene source, to a more mafic end, revealing a previously unknown explosive, strongly alkaline, basaltic phase and the most primitive forms of both strongly alkaline (basanite to phonolite) and moderately alkaline (alkali basalt to trachyte) magma associations. The glass-rich sediments occur in glacimarine sequences that record 56 cycles of glacial advance and retreat. Volcanic response to glacial cyclicity is observed both physically and geochemically in AND-2A glass. Higher glass volumes in sediments correlate with ice minimum conditions between 300 and 800 mbsf Ratios of Ba to Hf, Nb, La and Zr in mafic glasses )&gt;= 5 wt.% MgO) show a systematic increase in mean values during intervals of ice retreat and decreasing values with ice expansion, suggesting tapping of magmas with variable incompatible to compatible trace element ratios. This may be related to changes in the stress state of the crust in response to rapid ice volume fluctuations over the volcano, which may influence magma chemistry by varying the duration and depth of magma storage. (C) 2012 Elsevier B.V. All rights reserved. In the frame of the ANtarctic DRILLing Program, volcanic glass fragments were collected from the AND-2A core between similar to 354 and 765 m below sea floor (mbsf) as accumulations (5-70 vol.%) within sediments. Here, we present the physical characteristics, age and geochemistry of the glass, which enable us to reconstruct Early to Middle Miocene volcanic activity in southern McMurdo Sound and, for the first time, document the response of volcanism to climate change in Antarctica. Glass-rich sediments include muddy-to-fine sandstone and stratified diamictite. Glass varies in color, size, vesicularity, crystal content, angularity, and degree of alteration. The mostly fresh glass exhibits delicate cuspate forms indicating deposition as primary ash fall. 40Ar-39Ar age determinations on individual glass grains are in good agreement with the depositional age model of the sediments (ca. 15.6 to 18.6 Ma), supporting for most of them a primary origin, however, some samples do contain older fragments that indicate glass recycling during times of enhanced glacial erosion. Most glasses are mafic (MgO=3 to 9 wt.%) and vary from hypersthene to nepheline normative with a restricted range in SiO2 (45.2 0.8 wt.%, 1 sigma) and trace element concentrations typical of the rift-related alkaline rocks in the Erebus Volcanic Province. The glass extends known composition of early phase Mount Morning activity (ca. 11-19 Ma), the only known Early to Middle Miocene source, to a more mafic end, revealing a previously unknown explosive, strongly alkaline, basaltic phase and the most primitive forms of both strongly alkaline (basanite to phonolite) and moderately alkaline (alkali basalt to trachyte) magma associations. The glass-rich sediments occur in glacimarine sequences that record 56 cycles of glacial advance and retreat. Volcanic response to glacial cyclicity is observed both physically and geochemically in AND-2A glass. Higher glass volumes in sediments correlate with ice minimum conditions between 300 and 800 mbsf Ratios of Ba to Hf, Nb, La and Zr in mafic glasses )&gt;= 5 wt.% MgO) show a systematic increase in mean values during intervals of ice retreat and decreasing values with ice expansion, suggesting tapping of magmas with variable incompatible to compatible trace element ratios. This may be related to changes in the stress state of the crust in response to rapid ice volume fluctuations over the volcano, which may influence magma chemistry by varying the duration and depth of magma storage. (C) 2012 Elsevier B.V. All rights reserved. In the frame of the ANtarctic DRILLing Program, volcanic glass fragments were collected from the AND-2A core between similar to 354 and 765 m below sea floor (mbsf) as accumulations (5-70 vol.%) within sediments. Here, we present the physical characteristics, age and geochemistry of the glass, which enable us to reconstruct Early to Middle Miocene volcanic activity in southern McMurdo Sound and, for the first time, document the response of volcanism to climate change in Antarctica. Glass-rich sediments include muddy-to-fine sandstone and stratified diamictite. Glass varies in color, size, vesicularity, crystal content, angularity, and degree of alteration. The mostly fresh glass exhibits delicate cuspate forms indicating deposition as primary ash fall. 40Ar-39Ar age determinations on individual glass grains are in good agreement with the depositional age model of the sediments (ca. 15.6 to 18.6 Ma), supporting for most of them a primary origin, however, some samples do contain older fragments that indicate glass recycling during times of enhanced glacial erosion. Most glasses are mafic (MgO=3 to 9 wt.%) and vary from hypersthene to nepheline normative with a restricted range in SiO2 (45.2 0.8 wt.%, 1 sigma) and trace element concentrations typical of the rift-related alkaline rocks in the Erebus Volcanic Province. The glass extends known composition of early phase Mount Morning activity (ca. 11-19 Ma), the only known Early to Middle Miocene source, to a more mafic end, revealing a previously unknown explosive, strongly alkaline, basaltic phase and the most primitive forms of both strongly alkaline (basanite to phonolite) and moderately alkaline (alkali basalt to trachyte) magma associations. The glass-rich sediments occur in glacimarine sequences that record 56 cycles of glacial advance and retreat. Volcanic response to glacial cyclicity is observed both physically and geochemically in AND-2A glass. Higher glass volumes in sediments correlate with ice minimum conditions between 300 and 800 mbsf Ratios of Ba to Hf, Nb, La and Zr in mafic glasses )&gt;= 5 wt.% MgO) show a systematic increase in mean values during intervals of ice retreat and decreasing values with ice expansion, suggesting tapping of magmas with variable incompatible to compatible trace element ratios. This may be related to changes in the stress state of the crust in response to rapid ice volume fluctuations over the volcano, which may influence magma chemistry by varying the duration and depth of magma storage. (C) 2012 Elsevier B.V. All rights reserved.</t>
  </si>
  <si>
    <t>[Nyland, R. E.; Panter, K. S.; Gorsevski, P.] Bowling Green State Univ, Bowling Green, OH 43402 USA; [Rocchi, S.] Univ Pisa, Dipartimento Sci Terra, I-56126 Pisa, Italy; [Di Vincenzo, G.] CNR, Ist Geosci &amp; Georisorse, I-56124 Pisa, Italy; [Del Carlo, P.] Ist Nazl Geofis &amp; Vulcanol, Sez Pisa, I-56126 Pisa, Italy; [Tiepolo, M.] CNR, Ist Geosci &amp; Georisorse, I-27100 Pavia, Italy; [Field, B.] GNS Sci, Lower Hutt, New Zealand</t>
  </si>
  <si>
    <t>University System of Ohio; Bowling Green State University; University of Pisa; Consiglio Nazionale delle Ricerche (CNR); Istituto di Geoscienze e Georisorse (IGG-CNR); Istituto Nazionale Geofisica e Vulcanologia (INGV); Consiglio Nazionale delle Ricerche (CNR); Istituto di Geoscienze e Georisorse (IGG-CNR); GNS Science - New Zealand</t>
  </si>
  <si>
    <t>Panter, KS (corresponding author), Bowling Green State Univ, Bowling Green, OH 43402 USA.</t>
  </si>
  <si>
    <t>kpanter@bgsu.edu</t>
  </si>
  <si>
    <t>Field, Brad D/F-1062-2011; Del Carlo, Paola/A-7442-2014; Del Carlo, Paola/AAH-1725-2019; Panter, Kurt S/B-4486-2010; Tiepolo, Massimo/I-5825-2017; Rocchi, Sergio/A-7752-2018</t>
  </si>
  <si>
    <t>Tiepolo, Massimo/0000-0001-7575-8105; Gorsevski, Pece/0000-0002-1993-5450; Del Carlo, Paola/0000-0001-5506-4579; Panter, Kurt S./0000-0002-0990-5880; Rocchi, Sergio/0000-0001-6868-1939; Field, Bradley/0000-0001-5254-6636; DI VINCENZO, GIANFRANCO/0000-0002-9669-9789</t>
  </si>
  <si>
    <t>National Science Foundation through ANDRILL U.S. Science Support Program [0342484, 25-0550-0001-151]; US National Science Foundation; NZ Foundation for Research Science and Technology; Royal Society of New Zealand Marsden Fund; Italian Antarctic Research Programme; German Research Foundation (DFG); Alfred Wegener Institute for Polar and Marine Research (Helmholtz Association of German Research Centres); Directorate For Geosciences; Office of Polar Programs (OPP) [0342484] Funding Source: National Science Foundation</t>
  </si>
  <si>
    <t>National Science Foundation through ANDRILL U.S. Science Support Program; US National Science Foundation(National Science Foundation (NSF)); NZ Foundation for Research Science and Technology(New Zealand Foundation for Research, Science and Technology); Royal Society of New Zealand Marsden Fund(Royal Society of New ZealandMarsden Fund (NZ)); Italian Antarctic Research Programme; German Research Foundation (DFG)(German Research Foundation (DFG)); Alfred Wegener Institute for Polar and Marine Research (Helmholtz Association of German Research Centres); Directorate For Geosciences; Office of Polar Programs (OPP)(National Science Foundation (NSF)NSF - Directorate for Geosciences (GEO))</t>
  </si>
  <si>
    <t>This work is, in part, the result of a Master's thesis (R. Nyland) supported by the National Science Foundation under Cooperative agreement No. 0342484, through sub-award 25-0550-0001-151 to K Panter from the ANDRILL U.S. Science Support Program. The ANDRILL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Enterprises Ltd. Scientific studies are jointly supported by the US National Science Foundation, NZ Foundation for Research Science and Technology, Royal Society of New Zealand Marsden Fund, the Italian Antarctic Research Programme, the German Research Foundation (DFG) and the Alfred Wegener Institute for Polar and Marine Research (Helmholtz Association of German Research Centres). Antarctica New Zealand supported the drilling team at Scott Base; Raytheon Polar Services supported the science team at McMurdo Station and the Crary Science and Engineering Laboratory. The ANDRILL Science Management Office at the University of Nebraska-Lincoln provided science planning and operational support. We would like to thank L Wilson and B. Edwards for constructive suggestions and comments that significantly improved this study.</t>
  </si>
  <si>
    <t>0377-0273</t>
  </si>
  <si>
    <t>1872-6097</t>
  </si>
  <si>
    <t>J VOLCANOL GEOTH RES</t>
  </si>
  <si>
    <t>J. Volcanol. Geotherm. Res.</t>
  </si>
  <si>
    <t>10.1016/j.jvolgeores.2012.11.008</t>
  </si>
  <si>
    <t>088SO</t>
  </si>
  <si>
    <t>WOS:000314857600010</t>
  </si>
  <si>
    <t>Yamamoto, A; Mitchell, JW; Yoshimura, K; Abe, K; Fuke, H; Haino, S; Hams, T; Hasegawa, M; Horikoshi, A; Itazaki, A; Kim, KC; Kumazawa, T; Kusumoto, A; Lee, MH; Makida, Y; Matsuda, S; Matsukawa, Y; Matsumoto, K; Moiseev, AA; Myers, Z; Nishimura, J; Nozaki, M; Orito, R; Ormes, JF; Sakai, K; Sasaki, M; Seo, ES; Shikaze, Y; Shinoda, R; Streitmatter, RE; Suzuki, J; Takasugi, Y; Takeuchi, K; Tanaka, K; Taniguchi, T; Thakur, N; Yamagami, T; Yoshida, T</t>
  </si>
  <si>
    <t>Yamamoto, A.; Mitchell, J. W.; Yoshimura, K.; Abe, K.; Fuke, H.; Haino, S.; Hams, T.; Hasegawa, M.; Horikoshi, A.; Itazaki, A.; Kim, K. C.; Kumazawa, T.; Kusumoto, A.; Lee, M. H.; Makida, Y.; Matsuda, S.; Matsukawa, Y.; Matsumoto, K.; Moiseev, A. A.; Myers, Z.; Nishimura, J.; Nozaki, M.; Orito, R.; Ormes, J. F.; Sakai, K.; Sasaki, M.; Seo, E. S.; Shikaze, Y.; Shinoda, R.; Streitmatter, R. E.; Suzuki, J.; Takasugi, Y.; Takeuchi, K.; Tanaka, K.; Taniguchi, T.; Thakur, N.; Yamagami, T.; Yoshida, T.</t>
  </si>
  <si>
    <t>BESS Collaboration</t>
  </si>
  <si>
    <t>Search for cosmic-ray antiproton origins and for cosmological antimatter with BESS</t>
  </si>
  <si>
    <t>ADVANCES IN SPACE RESEARCH</t>
  </si>
  <si>
    <t>Cosmic rays; Antiproton; Antimatter; Primordial black hole; Solar modulation; Solar BESS</t>
  </si>
  <si>
    <t>CURRENT SHEET; ANTIHELIUM; FLUX; PROGRESS; PROPAGATION; SPECTRUM; LIMIT</t>
  </si>
  <si>
    <t>The balloon-borne experiment with a superconducting spectrometer (BESS) has performed cosmic-ray observations as a US-Japan cooperative space science program, and has provided fundamental data on cosmic rays to study elementary particle phenomena in the early Universe. The BESS experiment has measured the energy spectra of cosmic-ray antiprotons to investigate signatures of possible exotic origins such as dark matter candidates or primordial black holes, and searched for heavier antinuclei that might reach Earth from antimatter domains formed in the early Universe. The apex of the BESS program was reached with the Antarctic flight of BESS-Polar II, during the 2007-2008 Austral Summer, that obtained over 4.7 billion cosmic-ray events from 24.5 days of observation. The flight took place at the expected solar minimum, when the sensitivity of the low-energy antiproton measurements to a primary source is greatest. Here, we report the scientific results, focusing on the long-duration flights of BESS-Polar I (2004) and BESS-Polar II (2007-2008). (c) 2011 COSPAR. Published by Elsevier Ltd. All rights reserved.</t>
  </si>
  <si>
    <t>[Yamamoto, A.; Yoshimura, K.; Haino, S.; Hasegawa, M.; Horikoshi, A.; Kumazawa, T.; Makida, Y.; Matsuda, S.; Matsumoto, K.; Nozaki, M.; Suzuki, J.; Tanaka, K.; Taniguchi, T.] High Energy Accelerator Res Org KEK, Tsukuba, Ibaraki 3050801, Japan; [Mitchell, J. W.; Hams, T.; Moiseev, A. A.; Myers, Z.; Sasaki, M.; Streitmatter, R. E.] NASA, Goddard Space Flight Ctr, Greenbelt, MD 20771 USA; [Abe, K.; Itazaki, A.; Kusumoto, A.; Matsukawa, Y.; Orito, R.; Shikaze, Y.; Takasugi, Y.; Takeuchi, K.] Kobe Univ, Kobe, Hyogo 6578501, Japan; [Fuke, H.; Yamagami, T.; Yoshida, T.] Japan Aerosp Explorat Agcy ISAS JAXA, Inst Space &amp; Astronaut Sci, Sagamihara, Kanagawa 2298510, Japan; [Kim, K. C.; Lee, M. H.; Seo, E. S.] Univ Maryland, IPST, College Pk, MD 20742 USA; [Nishimura, J.; Sakai, K.; Shinoda, R.] Univ Tokyo, Bunkyo Ku, Tokyo 1130033, Japan; [Ormes, J. F.; Thakur, N.] Univ Denver, Denver, CO 80208 USA; [Hams, T.] Univ Maryland Baltimore Cty, Baltimore, MD 21228 USA; [Sasaki, M.] Univ Maryland, College Pk, MD 20742 USA</t>
  </si>
  <si>
    <t>High Energy Accelerator Research Organization (KEK); National Aeronautics &amp; Space Administration (NASA); NASA Goddard Space Flight Center; Kobe University; Japan Aerospace Exploration Agency (JAXA); Institute of Space &amp; Astronautical Science (ISAS); University System of Maryland; University of Maryland College Park; University of Tokyo; University of Denver; University System of Maryland; University of Maryland Baltimore County; University System of Maryland; University of Maryland College Park</t>
  </si>
  <si>
    <t>Yamamoto, A (corresponding author), High Energy Accelerator Res Org KEK, Tsukuba, Ibaraki 3050801, Japan.</t>
  </si>
  <si>
    <t>akira.yamamoto@kek.jp</t>
  </si>
  <si>
    <t>Koji, Yoshimura/J-9154-2018; Haino, Sadakazu/AAP-8315-2021; , ES/AAN-2324-2020; Lee, Moo Hyun/AAK-4266-2020</t>
  </si>
  <si>
    <t>Lee, Moo Hyun/0000-0002-4082-1677; MAKIDA, Yasuhiro/0000-0003-3638-9970; Yoshida, Tetsuya/0000-0003-0553-0150; Seo, Eun-Suk/0000-0001-8682-805X; HASEGAWA, MASAYA/0000-0003-1443-1082; Nozaki, Mitsuaki/0000-0001-7834-9614</t>
  </si>
  <si>
    <t>National Science Foundation; Raytheon Polar Services Corporation; NASA Astrophysics Research and Analysis program in the U.S.; 'Kaken-hi' Grant in Aid, special promotion and fundamental research programs, MEXT, in Japan; Grants-in-Aid for Scientific Research [24684017, 22540322] Funding Source: KAKEN</t>
  </si>
  <si>
    <t>National Science Foundation(National Science Foundation (NSF)); Raytheon Polar Services Corporation; NASA Astrophysics Research and Analysis program in the U.S.; 'Kaken-hi' Grant in Aid, special promotion and fundamental research programs, MEXT, in Japan(Ministry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</si>
  <si>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authors thank NASA Headquarters, ISAS/JAXA, GSFC, and KEK for continuous support and encouragement in the US-Japan cooperative BESS program. The authors also thank the NASA Balloon Program Office and the NASA Columbia Scientific Balloon Facility for their highly professional support of BESS conventional and long-duration balloon flight operations, and the National Science Foundation and Raytheon Polar Services Corporation for their support of the United States Antarctic Program. BESS-Polar is supported by the NASA Astrophysics Research and Analysis program in the U.S., and by the 'Kaken-hi' Grant in Aid, special promotion and fundamental research programs, MEXT, in Japan.</t>
  </si>
  <si>
    <t>0273-1177</t>
  </si>
  <si>
    <t>1879-1948</t>
  </si>
  <si>
    <t>ADV SPACE RES</t>
  </si>
  <si>
    <t>Adv. Space Res.</t>
  </si>
  <si>
    <t>10.1016/j.asr.2011.07.012</t>
  </si>
  <si>
    <t>Engineering, Aerospace; Astronomy &amp; Astrophysics; Geosciences, Multidisciplinary; Meteorology &amp; Atmospheric Sciences</t>
  </si>
  <si>
    <t>Engineering; Astronomy &amp; Astrophysics; Geology; Meteorology &amp; Atmospheric Sciences</t>
  </si>
  <si>
    <t>083RM</t>
  </si>
  <si>
    <t>WOS:000314482900004</t>
  </si>
  <si>
    <t>DeYoung, T</t>
  </si>
  <si>
    <t>DeYoung, T.</t>
  </si>
  <si>
    <t>IceCube Collaboration</t>
  </si>
  <si>
    <t>The IceCube neutrino observatory: Status and initial results</t>
  </si>
  <si>
    <t>Neutrino astronomy; Galactic cosmic rays; Extragalactic cosmic rays</t>
  </si>
  <si>
    <t>ANISOTROPY; SEARCH</t>
  </si>
  <si>
    <t>The IceCube neutrino observatory, now completed with a total of 86 strings deployed, is the world's largest high energy neutrino telescope. The detector instruments a cubic kilometer of Antarctic ice as a Cherenkov medium for the detection of neutrinos produced when cosmic rays interact with matter or radiation fields either near their acceleration sites or in the Earth's atmosphere. The results of searches for neutrinos from astrophysical objects such as supernova remnants, active galactic nuclei, and gamma ray bursts, using data from the partially built detector, are presented. (c) 2011 COSPAR. Published by Elsevier Ltd. All rights reserved.</t>
  </si>
  <si>
    <t>[DeYoung, T.; IceCube Collaboration] Penn State Univ, Dept Phys, University Pk, PA 16802 USA</t>
  </si>
  <si>
    <t>DeYoung, T (corresponding author), Penn State Univ, Dept Phys, 104 Davey Lab, University Pk, PA 16802 USA.</t>
  </si>
  <si>
    <t>deyoung@phys.psu.edu</t>
  </si>
  <si>
    <t>DeYoung, Tyce/O-6895-2019; Diaz Velez, Juan Carlos/T-2788-2018</t>
  </si>
  <si>
    <t>DeYoung, Tyce/0000-0003-4873-3783; Diaz Velez, Juan Carlos/0000-0002-0087-0693</t>
  </si>
  <si>
    <t>U.S. National Science Foundation-Office of Polar Programs; U.S. National Science Foundation-Physics Division; University of Wisconsin Alumni Research Foundation; Grid Laboratory Of Wisconsin (GLOW) grid infrastructure at the University of Wisconsin-Madison; Open Science Grid (OSG) grid infrastructure; U.S. Department of Energy; National Energy Research Scientific Computing Center; Louisiana Optical Network Initiative (LONI) grid computing resources; National Science and Engineering Research Council of Canada; Swedish Research Council, Sweden; Swedish Polar Research Secretariat, Sweden; Swedish National Infrastructure for Computing (SNIC), Sweden; Knut and Alice Wallenberg Foundation, Sweden; German Ministry for Education and Research (BMBF), Germany; Deutsche Forschungsgemeinschaft (DFG), Germany; Research Department of Plasmas with Complex Interactions (Bochum), Germany; Fund for Scientific Research (FNRS-FWO); FWO Odysseus programme; Flanders Institute to encourage scientific and technological research in industry (IWT); Belgian Federal Science Policy Office (Belspo); University of Oxford, United Kingdom; Marsden Fund, New Zealand; Japan Society for Promotion of Science (JSPS); Swiss National Science Foundation (SNSF), Switzerland; EU Marie Curie OIF Program; Capes Foundation, Ministry of Education of Brazil</t>
  </si>
  <si>
    <t>U.S. National Science Foundation-Office of Polar Programs(National Science Foundation (NSF)); U.S. National Science Foundation-Physics Division(National Science Foundation (NSF)); University of Wisconsin Alumni Research Foundation; Grid Laboratory Of Wisconsin (GLOW) grid infrastructure at the University of Wisconsin-Madison; Open Science Grid (OSG) grid infrastructure; U.S. Department of Energy(United States Department of Energy (DOE)); National Energy Research Scientific Computing Center; Louisiana Optical Network Initiative (LONI) grid computing resources; National Science and Engineering Research Council of Canada(Natural Sciences and Engineering Research Council of Canada (NSERC)); Swedish Research Council, Sweden(Swedish Research Council); Swedish Polar Research Secretariat, Sweden; Swedish National Infrastructure for Computing (SNIC), Sweden; Knut and Alice Wallenberg Foundation, Sweden(Knut &amp; Alice Wallenberg Foundation); German Ministry for Education and Research (BMBF), Germany(Federal Ministry of Education &amp; Research (BMBF)); Deutsche Forschungsgemeinschaft (DFG), Germany(German Research Foundation (DFG)); Research Department of Plasmas with Complex Interactions (Bochum), Germany; Fund for Scientific Research (FNRS-FWO)(FWOFonds de la Recherche Scientifique - FNRS); FWO Odysseus programme; Flanders Institute to encourage scientific and technological research in industry (IWT)(Institute for the Promotion of Innovation by Science and Technology in Flanders (IWT)); Belgian Federal Science Policy Office (Belspo)(Belgian Federal Science Policy Office); University of Oxford, United Kingdom; Marsden Fund, New Zealand(Royal Society of New ZealandMarsden Fund (NZ)); Japan Society for Promotion of Science (JSPS)(Ministry of Education, Culture, Sports, Science and Technology, Japan (MEXT)Japan Society for the Promotion of Science); Swiss National Science Foundation (SNSF), Switzerland(Swiss National Science Foundation (SNSF)); EU Marie Curie OIF Program(European Union (EU)); Capes Foundation, Ministry of Education of Brazil(Coordenacao de Aperfeicoamento de Pessoal de Nivel Superior (CAPES))</t>
  </si>
  <si>
    <t>We acknowledge the support from the following agencies: U.S. National Science Foundation-Office of Polar Programs, U.S. National Science Foundation-Physics Division, University of Wisconsin Alumni Research Foundation, the Grid Laboratory Of Wisconsin (GLOW) grid infrastructure at the University of Wisconsin-Madison, the Open Science Grid (OSG) grid infrastructure; U.S. Department of Energy, and National Energy Research Scientific Computing Center, the Louisiana Optical Network Initiative (LONI) grid computing resources; National Science and Engineering Research Council of Canada; Swedish Research Council, Swedish Polar Research Secretariat, Swedish National Infrastructure for Computing (SNIC), and Knut and Alice Wallenberg Foundation, Sweden; German Ministry for Education and Research (BMBF), Deutsche Forschungsgemeinschaft (DFG), Research Department of Plasmas with Complex Interactions (Bochum), Germany; Fund for Scientific Research (FNRS-FWO), FWO Odysseus programme, Flanders Institute to encourage scientific and technological research in industry (IWT), Belgian Federal Science Policy Office (Belspo); University of Oxford, United Kingdom; Marsden Fund, New Zealand; Japan Society for Promotion of Science (JSPS); the Swiss National Science Foundation (SNSF), Switzerland; A. Gro acknowledges support by the EU Marie Curie OIF Program; J. P. Rodrigues acknowledges support by the Capes Foundation, Ministry of Education of Brazil.</t>
  </si>
  <si>
    <t>10.1016/j.asr.2011.05.011</t>
  </si>
  <si>
    <t>WOS:000314482900006</t>
  </si>
  <si>
    <t>Torrecillas, C; Berrocoso, M; Felpeto, A; Torrecillas, MD; Garcia, A</t>
  </si>
  <si>
    <t>Torrecillas, C.; Berrocoso, M.; Felpeto, A.; Torrecillas, M. D.; Garcia, A.</t>
  </si>
  <si>
    <t>Reconstructing palaeo-volcanic geometries using a Geodynamic Regression Model (GRM): Application to Deception Island volcano (South Shetland Islands, Antarctica)</t>
  </si>
  <si>
    <t>GEOMORPHOLOGY</t>
  </si>
  <si>
    <t>Palaeo-volcano; Palaeo-surface; Terrain reconstruction; Volcanic deformation; Digital elevation model</t>
  </si>
  <si>
    <t>EVOLUTION; HISTORY; ERUPTIONS</t>
  </si>
  <si>
    <t>This article describes a reconstruction made of the palaeo-volcanic edifice on Deception Island (South Shetland Islands, Antarctica) prior to the formation of its present caldera. Deception Island is an active Quaternary volcano located in the Bransfield Strait, between the South Shetland Islands and the Antarctic Peninsula. The morphology of the island has been influenced mainly by the volcanic activity but geodynamics and volcanic deformation have also contributed. A volcanic reconstruction method, the Geodynamic Regression Model (GRM), which includes a terrain deformation factor, is proposed. In the case of Deception Island, the directions of this deformation are NW-SE and NE-SW, and match both the observed deformation of the Bransfield Strait and the volcanic deformation monitored over the last 20 years in the island, using Global Navigation Satellite System (GNSS) techniques. Based on these data, possible volcanic deformation values of 5-15 mm/yr in these directions have been derived. A possible coastline derived from a current bathymetry is transformed, according to values for the chosen date, to obtain the palaeo-coastline of Deception Island of 100 k years ago. Topographic, geomorphologic, volcanological and geological data in a GIS system have been considered, for computation of the outside caldera slope, palaeo-coastline, palaeo-summit height and palaeo digital elevation model (DEM). The result is a 3D palaeo-geomorphological surface model of a volcano, reaching 640 m in height, with an increase of 4 km(3) in volume compared to the current edifice, covering 4 km(2) more surface area and the method reveals the previous existence of parasite volcanoes. Two photorealistic images of the island are obtained by superposition of textures extracted from a current Quick Bird satellite image also. This technique for reconstructing the terrain of an existing volcano could be useful for analysing the past and future geomorphology of this island and similar locations. (C) 2012 Elsevier B.V. All rights reserved.</t>
  </si>
  <si>
    <t>[Torrecillas, C.; Torrecillas, M. D.] Univ Seville, Escuela Tecn Super Ingenieros, Seville 41092, Spain; [Berrocoso, M.] Univ Cadiz, Fac Ciencias, Cadiz 11510, Spain; [Felpeto, A.] Spanish Geog Inst, Cent Geophys Observ, Madrid 28014, Spain; [Garcia, A.] Inst Geociencias CSIC UCM, Dept Volcanol, Madrid 28006, Spain</t>
  </si>
  <si>
    <t>University of Sevilla; Universidad de Cadiz; Complutense University of Madrid; Consejo Superior de Investigaciones Cientificas (CSIC); CSIC-UCM - Instituto de Geociencias (IGEO)</t>
  </si>
  <si>
    <t>Torrecillas, C (corresponding author), Escuela Tecn Super Ingen, Dept Ingn Graf, Av Descubrimientos S-N, Seville 41092, Spain.</t>
  </si>
  <si>
    <t>torrecillas@us.es; Manuel.berrocoso@uca.es; afelpeto@fomento.es; mtorrecillas@us.es; aliciag@mncn.csic.es</t>
  </si>
  <si>
    <t>Torrecillas, Cristina/D-9178-2011; Felpeto, Alicia/K-6687-2014; BERROCOSO, MANUEL/O-3818-2014</t>
  </si>
  <si>
    <t>Torrecillas, Cristina/0000-0002-3650-3174; Felpeto, Alicia/0000-0002-8152-7394; BERROCOSO, MANUEL/0000-0002-1878-9658</t>
  </si>
  <si>
    <t>Spanish Ministry of Education and Science as part of the National Antarctic Program; [REN2000.0551.C03.01/ANT]; [CGL2004.21547.E/ANT]; [CGL2004.20408.E/ANT]; [CGLl2005-07589-c03-01/ANT]; [CONGEODEC]; [CGL2004-21547-E]; [GEOTINANT]; [CTM2009-07251]</t>
  </si>
  <si>
    <t>Spanish Ministry of Education and Science as part of the National Antarctic Program; ; ; ; ; ; ; ;</t>
  </si>
  <si>
    <t>This geodetic research has been carried out with the support of the Spanish Ministry of Education and Science as part of the National Antarctic Program. To date, the following research projects have been awarded: Geodetic Studies on Deception Island: deformation models, geoid determination and Scientific Information System (REN2000.0551.C03.01/ANT); Geodetic Control of the volcanic activity of Deception Island (CGL2004.21547.E/ANT); Update of the Spanish Cartography for Deception Island (CGL2004.20408.E/ANT); Volcano-tectonic activity on Deception Island: geodetic, geophysical investigations and Remote Sensing on Deception Island and its surroundings (CGLl2005-07589-c03-01/ANT); Geodetic Control of the volcanic activity on Deception Island (CONGEODEC, CGL2004-21547-E); and Geodetic and geothermic investigations, time-frequency analysis and volcanic innovation in Antarctica (South Shetland Islands - Antarctic Peninsula) (GEOTINANT, CTM2009-07251). The authors thank Dr. Jose Manuel Marrero, for his comments on an earlier version of this manuscript, and are grateful to Professor Guido Ventura and an anonymous referee for their helpful comments and suggestions.</t>
  </si>
  <si>
    <t>0169-555X</t>
  </si>
  <si>
    <t>1872-695X</t>
  </si>
  <si>
    <t>Geomorphology</t>
  </si>
  <si>
    <t>10.1016/j.geomorph.2012.10.032</t>
  </si>
  <si>
    <t>081NL</t>
  </si>
  <si>
    <t>WOS:000314328800006</t>
  </si>
  <si>
    <t>Keeley, NB; Forrest, BM; Macleod, CK</t>
  </si>
  <si>
    <t>Keeley, Nigel B.; Forrest, Barrie M.; Macleod, Catriona K.</t>
  </si>
  <si>
    <t>Novel observations of benthic enrichment in contrasting flow regimes with implications for marine farm monitoring and management</t>
  </si>
  <si>
    <t>MARINE POLLUTION BULLETIN</t>
  </si>
  <si>
    <t>Salmon; Aquaculture; Environmental impact; Macrofauna; Sulfide; Pearson-Rosenberg model</t>
  </si>
  <si>
    <t>ORGANIC ENRICHMENT; ENVIRONMENTAL-IMPACT; ECOLOGICAL QUALITY; ATLANTIC SALMON; SEDIMENTS; INDEXES; MACROFAUNA; DISTRIBUTIONS; ASSEMBLAGES; INDICATORS</t>
  </si>
  <si>
    <t>We examine macrofaunal and physico-chemical responses to organic enrichment beneath salmon farms in contrasting flow environments, and reveal pronounced flow-related differences in the magnitude and spatial extent of effects. Total macrofaunal abundances at high flow sites were nearly an order of magnitude greater than at comparable low flow sites, representing a significant benthic biomass. These very high abundances occurred in conjunction with moderate-to-high species richness, and were evident in the absence of appreciable organic matter accumulation. Biological responses to increasing sulfide were variable; however a significant biological threshold was evident at 1500 mu M. Macrofaunal responses at high flow sites differed substantially from the Pearson-Rosenberg model. The atypical ecological conditions were attributed to (i) limited accumulation of fine sediments, (ii) maintenance of aerobic conditions in near-surface sediments, and (iii) an abundant food supply. Thus, enhanced resilience to organic waste at well-flushed sites appears related to both biological and physical processes. (C) 2012 Elsevier Ltd. All rights reserved.</t>
  </si>
  <si>
    <t>[Keeley, Nigel B.; Forrest, Barrie M.] Cawthron Inst, Nelson 7010, New Zealand; [Keeley, Nigel B.; Macleod, Catriona K.] Univ Tasmania, Tasmanian Aquaculture &amp; Fisheries Inst, Taroona, Tas, Australia</t>
  </si>
  <si>
    <t>Cawthron Institute; University of Tasmania</t>
  </si>
  <si>
    <t>Keeley, NB (corresponding author), Cawthron Inst, Nelson 7010, New Zealand.</t>
  </si>
  <si>
    <t>nigel.keeley@cawthron.org.nz</t>
  </si>
  <si>
    <t>Macleod, Catriona/J-7176-2014</t>
  </si>
  <si>
    <t>Macleod, Catriona/0000-0002-0539-6361</t>
  </si>
  <si>
    <t>Cawthron Institute (Nelson, New Zealand); Institute of Marine and Antarctic Sciences (IMAS), University of Tasmania</t>
  </si>
  <si>
    <t>This research was supported by the Cawthron Institute (Nelson, New Zealand) through internal investment funding (IF), with additional support from Institute of Marine and Antarctic Sciences (IMAS), University of Tasmania. We would also like to acknowledge the support of New Zealand King Salmon Company Ltd., who kindly made available much of the source data. Assessment of best professional judgement was provided by B. Forrest, P. Gillespie, G. Hopkins, R. Forrest, R. Dunmore and D. Taylor of Cawthron Institute (most of whom also assisted during the collection of some of the data), and by C. Macleod and C. Crawford from the University of Tasmania, Australia. Taxonomic analysis was undertaken by R. Asher, B. Nikkei and F. Gower, also of the Cawthron Institute.</t>
  </si>
  <si>
    <t>0025-326X</t>
  </si>
  <si>
    <t>1879-3363</t>
  </si>
  <si>
    <t>MAR POLLUT BULL</t>
  </si>
  <si>
    <t>Mar. Pollut. Bull.</t>
  </si>
  <si>
    <t>10.1016/j.marpolbul.2012.10.024</t>
  </si>
  <si>
    <t>Environmental Sciences; Marine &amp; Freshwater Biology</t>
  </si>
  <si>
    <t>Environmental Sciences &amp; Ecology; Marine &amp; Freshwater Biology</t>
  </si>
  <si>
    <t>098IT</t>
  </si>
  <si>
    <t>WOS:000315543500025</t>
  </si>
  <si>
    <t>Eriksson, C; Burton, H; Fitch, S; Schulz, M; van den Hoff, J</t>
  </si>
  <si>
    <t>Eriksson, Cecilia; Burton, Harry; Fitch, Stuart; Schulz, Martin; van den Hoff, John</t>
  </si>
  <si>
    <t>Daily accumulation rates of marine debris on sub-Antarctic island beaches</t>
  </si>
  <si>
    <t>Commercial fishing; Lepas sp.; Marine debris; Plastic; Southern Ocean</t>
  </si>
  <si>
    <t>PLASTIC DEBRIS; SEA-FLOOR; TEMPORAL TRENDS; LITTER; ARTIFACTS; ABUNDANCE</t>
  </si>
  <si>
    <t>The worlds' oceans contain a large but unknown amount of plastic debris. We made daily collections of marine debris stranded at two sub-Antarctic islands to establish (a) physical causes of strandings, and (b) a sampling protocol to better estimate the oceans' plastic loading. Accumulation rates at some beaches were dependent on tide and onshore winds. Most of the 6389 items collected were plastic (Macquarie 95%, Heard 94%) and discarded or lost fishing gear comprised 22% of those plastic items. Stalked barnacles (Lepas spp.) were a regular attachment on Macquarie debris but not at Heard Island. The daily accumulation rate of plastic debris on Macquarie Island was an order of magnitude higher than that estimated from monthly surveys during the same 4 months in the previous 5 years. This finding suggests that estimates of the oceans' plastic loading are an order of magnitude too low. (C) 2012 Elsevier Ltd. All rights reserved.</t>
  </si>
  <si>
    <t>[Burton, Harry; Fitch, Stuart; Schulz, Martin; van den Hoff, John] Australian Antarctic Div, Kingston, Tas 7050, Australia</t>
  </si>
  <si>
    <t>van den Hoff, J (corresponding author), Australian Antarctic Div, 203 Channel Highway, Kingston, Tas 7050, Australia.</t>
  </si>
  <si>
    <t>john_van@aad.gov.au</t>
  </si>
  <si>
    <t>10.1016/j.marpolbul.2012.08.026</t>
  </si>
  <si>
    <t>WOS:000315543500036</t>
  </si>
  <si>
    <t>Taylor, ML; Cairns, SD; Agnew, DJ; Rogers, AD</t>
  </si>
  <si>
    <t>Taylor, M. L.; Cairns, S. D.; Agnew, D. J.; Rogers, A. D.</t>
  </si>
  <si>
    <t>A revision of the genus Thouarella Gray, 1870 (Octocorallia: Primnoidae), including an illustrated dichotomous key, a new species description, and comments on Plumarella Gray, 1870 and Dasystenella, Versluys, 1906</t>
  </si>
  <si>
    <t>ZOOTAXA</t>
  </si>
  <si>
    <t>Cnidaria; taxonomic revision; sub-Antarctic; octocoral</t>
  </si>
  <si>
    <t>GORGONIANS COELENTERATA; PHYLOGENETIC ANALYSIS; SOUTHERN-OCEAN; ANTHOZOA; SEA; REPRODUCTION; CNIDARIA; ALCYONACEA; GORGONACEA; ORIGIN</t>
  </si>
  <si>
    <t>A comprehensive revision of the genus Thouarella is presented. Thirty-five holotypes of the 38 nominal Thouarella species, two varieties, and one form were examined. The number of original Thouarella species has been reduced to 25, mostly through synonymy or new genus combinations. In the process several new species have also been identified, one of which is described here as Thouarella parachilensis nov. sp. The genus is split into two groups based on polyp arrangement: Group 1 with isolated polyps and Group 2 with polyps in pairs or whorls. An illustrated dichotomous key and detailed character table of the 25 Thouarella species are presented alongside an up-to-date account of all species described in the 19th and 20th centuries and summaries of the few described from 2000 onwards. We propose that Thouarella longispinosa is synonymous with Dasystenella acanthina, T. versluysi with T. brucei, and, T. tenuisquamis, T. flabellata, and T. carinata are synonymous with T. laxa. Lastly, we propose that T. bayeri and T. undulata be placed in Plumarella and support recent suggestions that T. alternata, T. recta, T. superba, and T. diadema are also Plumarella.</t>
  </si>
  <si>
    <t>[Taylor, M. L.] Zool Soc London, Inst Zool, London NW1 4RY, England; [Taylor, M. L.; Agnew, D. J.] Univ London Imperial Coll Sci Technol &amp; Med, Dept Nat Sci, Ascot SL5 7PY, Berks, England; [Taylor, M. L.; Rogers, A. D.] Univ Oxford, Dept Zool, Oxford OX1 3PS, England; [Cairns, S. D.] Natl Museum Nat Hist, Dept Invertebrate Zool, Smithsonian Inst, Washington, DC 20560 USA; [Agnew, D. J.] Marine Resources Assessment Grp LtD, London, England</t>
  </si>
  <si>
    <t>Zoological Society of London; Imperial College London; University of Oxford; Smithsonian Institution; Smithsonian National Museum of Natural History</t>
  </si>
  <si>
    <t>Taylor, ML (corresponding author), Zool Soc London, Inst Zool, Regents Pk, London NW1 4RY, England.</t>
  </si>
  <si>
    <t>michelle.taylor@zoo.ox.ac.uk</t>
  </si>
  <si>
    <t>Taylor, Michelle/AAY-3864-2021; Taylor, Michelle/C-3918-2015</t>
  </si>
  <si>
    <t>Taylor, Michelle/0000-0001-7271-4385; Rogers, Alex David/0000-0002-4864-2980</t>
  </si>
  <si>
    <t>Smithsonian Fellowship; NERC CASE Studentship [NE/F00785X/1]; Marine Resources Assessment Group (MRAG) Ltd, London; NERC [NBAF010003] Funding Source: UKRI; Natural Environment Research Council [NBAF010003] Funding Source: researchfish</t>
  </si>
  <si>
    <t>Smithsonian Fellowship; NERC CASE Studentship(UK Research &amp; Innovation (UKRI)Natural Environment Research Council (NERC)); Marine Resources Assessment Group (MRAG) Ltd, London; NERC(UK Research &amp; Innovation (UKRI)Natural Environment Research Council (NERC)); Natural Environment Research Council(UK Research &amp; Innovation (UKRI)Natural Environment Research Council (NERC))</t>
  </si>
  <si>
    <t>This work was sponsored by a Smithsonian Fellowship and NERC CASE Studentship, NE/F00785X/1, in partnership with the Marine Resources Assessment Group (MRAG) Ltd, London. Many useful discussions were had by the first author with Dr Manfred Grasshoff and Rebeca Zapata-Guardiola, for which we are grateful. We would also like to thank the support of individuals at several museums and institutes without whose help in providing holotypes this paper would have been impossible: Andrew Cabrinovic, NHM; Aude Andouche, MNHMP; Elly Beglinger, ZUMA; Rei Ueshima, UMUT; Yukimitsu Imahara, Biological Institute on Kuroshio; Beata M. Pokryszko, MNHWU; Carsten Lueter, ZMB; Dr. Andreas Schmidt-Rhaesa, Zoological Museum, University of Hamburg. At the Smithsonian Institution, where the majority of this work was undertaken, we are indebted to Tim Coffer, Jennifer Hammock, Paul Greenhall and Scott Whittaker. Special thanks are again due to Rebeca Zapata-Guardiola for kindly allowing us to use some of her SEM images and photos; James Soda for preparing stubs and taking some SEM images; Diane Wyse for sclerite measurements and species identifications; and Jon Schleyer for specimen photographs. We reserve special mention and thanks for the late, great Dr F. M. Bayer, whose beautiful SEM images also grace these pages. And, of course, we appreciated the three anonymous reviewers' very useful comments which ultimately improved the manuscript.</t>
  </si>
  <si>
    <t>MAGNOLIA PRESS</t>
  </si>
  <si>
    <t>AUCKLAND</t>
  </si>
  <si>
    <t>PO BOX 41383, AUCKLAND, ST LUKES 1030, NEW ZEALAND</t>
  </si>
  <si>
    <t>1175-5326</t>
  </si>
  <si>
    <t>1175-5334</t>
  </si>
  <si>
    <t>Zootaxa</t>
  </si>
  <si>
    <t>JAN 14</t>
  </si>
  <si>
    <t>10.11646/zootaxa.3602.1.1</t>
  </si>
  <si>
    <t>Zoology</t>
  </si>
  <si>
    <t>074EO</t>
  </si>
  <si>
    <t>WOS:000313795900001</t>
  </si>
  <si>
    <t>Bershadskii, A</t>
  </si>
  <si>
    <t>Bershadskii, A.</t>
  </si>
  <si>
    <t>Nonlinear problems of complex natural systems: Sun and climate dynamics</t>
  </si>
  <si>
    <t>PHILOSOPHICAL TRANSACTIONS OF THE ROYAL SOCIETY A-MATHEMATICAL PHYSICAL AND ENGINEERING SCIENCES</t>
  </si>
  <si>
    <t>Sun; climate; nonlinear; resonance</t>
  </si>
  <si>
    <t>SOLAR-ACTIVITY; VARIABILITY; OCEAN; PLEISTOCENE; TURBULENCE; RESONANCE; CYCLES</t>
  </si>
  <si>
    <t>The universal role of the nonlinear one-third subharmonic resonance mechanism in generation of strong fluctuations in complex natural dynamical systems related to global climate is discussed using wavelet regression detrended data. The role of the oceanic Rossby waves in the year-scale global temperature fluctuations and the nonlinear resonance contribution to the El Nino phenomenon have been discussed in detail. The large fluctuations in the reconstructed temperature on millennial time scales (Antarctic ice core data for the past 400 000 years) are also shown to be dominated by the one-third subharmonic resonance, presumably related to the Earth's precession effect on the energy that the intertropical regions receive from the Sun. The effects of galactic turbulence on the temperature fluctuations are also discussed.</t>
  </si>
  <si>
    <t>ICAR, IL-91000 Jerusalem, Israel</t>
  </si>
  <si>
    <t>Bershadskii, A (corresponding author), ICAR, POB 31155, IL-91000 Jerusalem, Israel.</t>
  </si>
  <si>
    <t>bershads@gmail.com</t>
  </si>
  <si>
    <t>Division Of Physics; Direct For Mathematical &amp; Physical Scien [1136672] Funding Source: National Science Foundation</t>
  </si>
  <si>
    <t>Division Of Physics; Direct For Mathematical &amp; Physical Scien(National Science Foundation (NSF)NSF - Directorate for Mathematical &amp; Physical Sciences (MPS))</t>
  </si>
  <si>
    <t>ROYAL SOC</t>
  </si>
  <si>
    <t>6-9 CARLTON HOUSE TERRACE, LONDON SW1Y 5AG, ENGLAND</t>
  </si>
  <si>
    <t>1364-503X</t>
  </si>
  <si>
    <t>1471-2962</t>
  </si>
  <si>
    <t>PHILOS T R SOC A</t>
  </si>
  <si>
    <t>Philos. Trans. R. Soc. A-Math. Phys. Eng. Sci.</t>
  </si>
  <si>
    <t>JAN 13</t>
  </si>
  <si>
    <t>10.1098/rsta.2012.0168</t>
  </si>
  <si>
    <t>062XY</t>
  </si>
  <si>
    <t>WOS:000312959000002</t>
  </si>
  <si>
    <t>Chown, SL</t>
  </si>
  <si>
    <t>Chown, S. L.</t>
  </si>
  <si>
    <t>Antarctic Treaty System Past Not Predictive</t>
  </si>
  <si>
    <t>Letter</t>
  </si>
  <si>
    <t>Monash Univ, Sch Biol Sci, Clayton, Vic 3800, Australia</t>
  </si>
  <si>
    <t>Monash University</t>
  </si>
  <si>
    <t>Chown, SL (corresponding author), Monash Univ, Sch Biol Sci, Clayton, Vic 3800, Australia.</t>
  </si>
  <si>
    <t>steven.chown@monash.edu</t>
  </si>
  <si>
    <t>Chown, Steven/0000-0001-6069-5105</t>
  </si>
  <si>
    <t>JAN 11</t>
  </si>
  <si>
    <t>10.1126/science.339.6116.141-a</t>
  </si>
  <si>
    <t>067XI</t>
  </si>
  <si>
    <t>WOS:000313328200019</t>
  </si>
  <si>
    <t>Decelle, J; Martin, P; Paborstava, K; Pond, DW; Tarling, G; Mahé, F; de Vargas, C; Lampitt, R; Not, F</t>
  </si>
  <si>
    <t>Decelle, Johan; Martin, Patrick; Paborstava, Katsiaryna; Pond, David W.; Tarling, Geraint; Mahe, Frederic; de Vargas, Colomban; Lampitt, Richard; Not, Fabrice</t>
  </si>
  <si>
    <t>Diversity, Ecology and Biogeochemistry of Cyst-Forming Acantharia (Radiolaria) in the Oceans</t>
  </si>
  <si>
    <t>VERTICAL-DISTRIBUTION; COMMUNITY STRUCTURE; SEAWATER STRONTIUM; SURFACE WATERS; PARTICLE-FLUX; ABUNDANCE; PATTERNS; SEDIMENTATION; ENCYSTMENT; ATLANTIC</t>
  </si>
  <si>
    <t>Marine planktonic organisms that undertake active vertical migrations over their life cycle are important contributors to downward particle flux in the oceans. Acantharia, globally distributed heterotrophic protists that are unique in building skeletons of celestite (strontium sulfate), can produce reproductive cysts covered by a heavy mineral shell that sink rapidly from surface to deep waters. We combined phylogenetic and biogeochemical analyses to explore the ecological and biogeochemical significance of this reproductive strategy. Phylogenetic analysis of the 18S and 28S rRNA genes of different cyst morphotypes collected in different oceans indicated that cyst-forming Acantharia belong to three early diverging and essentially non symbiotic clades from the orders Chaunacanthida and Holacanthida. Environmental high-throughput V9 tag sequences and clone libraries of the 18S rRNA showed that the three clades are widely distributed in the Indian, Atlantic and Pacific Oceans at different latitudes, but appear prominent in regions of higher primary productivity. Moreover, sequences of cyst-forming Acantharia were distributed evenly in both the photic and mesopelagic zone, a vertical distribution that we attribute to their life cycle where flagellated swarmers are released in deep waters from sinking cysts. Bathypelagic sediment traps in the subantarctic and oligotrophic subtropical Atlantic Ocean showed that downward flux of Acantharia was only large at high-latitudes and during a phytoplankton bloom. Their contribution to the total monthly particulate organic matter flux can represent up to 3%. High organic carbon export in cold waters would be a putative nutritional source for juveniles ascending in the water column. This study improves our understanding of the life cycle and biogeochemical contribution of Acantharia, and brings new insights into a remarkable reproductive strategy in marine protists.</t>
  </si>
  <si>
    <t>[Decelle, Johan; Mahe, Frederic; de Vargas, Colomban; Not, Fabrice] Univ Paris 06, Stn Biol Roscoff, EPPO, CNRS,UMR 7144, Roscoff, France; [Martin, Patrick; Paborstava, Katsiaryna; Lampitt, Richard] Natl Oceanog Ctr, Southampton, Hants, England; [Pond, David W.; Tarling, Geraint] British Antarctic Survey, Cambridge CB3 0ET, England</t>
  </si>
  <si>
    <t>Centre National de la Recherche Scientifique (CNRS); CNRS - Institute of Ecology &amp; Environment (INEE); Sorbonne Universite; NERC National Oceanography Centre; UK Research &amp; Innovation (UKRI); Natural Environment Research Council (NERC); NERC British Antarctic Survey</t>
  </si>
  <si>
    <t>Decelle, J (corresponding author), Univ Paris 06, Stn Biol Roscoff, EPPO, CNRS,UMR 7144, Pl Georges Teissier, Roscoff, France.</t>
  </si>
  <si>
    <t>decelle@sb-roscoff.fr</t>
  </si>
  <si>
    <t>Royo-Llonch, Marta/AAA-2351-2019; Martin, Patrick/F-6263-2017; Mahé, Frédéric/AAR-8568-2021</t>
  </si>
  <si>
    <t>Royo-Llonch, Marta/0000-0003-2966-9093; Martin, Patrick/0000-0001-8008-5558; Mahé, Frédéric/0000-0002-2808-0984; de Vargas, Colomban/0000-0002-6476-6019; Decelle, Johan/0000-0002-4343-8358</t>
  </si>
  <si>
    <t>PhD fellowship DIPHOPE from the Region Bretagne [044763]; SYMFORAD project from the Region Bretagne; EGIDE program; French ANR [POSEIDON 09-BLAN-0348]; Natural Environment Research Council [bas0100025, noc010009] Funding Source: researchfish; NERC [bas0100025, noc010009] Funding Source: UKRI</t>
  </si>
  <si>
    <t>PhD fellowship DIPHOPE from the Region Bretagne; SYMFORAD project from the Region Bretagne; EGIDE program; French ANR(Agence Nationale de la Recherche (ANR)); Natural Environment Research Council(UK Research &amp; Innovation (UKRI)Natural Environment Research Council (NERC)); NERC(UK Research &amp; Innovation (UKRI)Natural Environment Research Council (NERC))</t>
  </si>
  <si>
    <t>This work was supported by the PhD fellowship DIPHOPE (044763) and SYMFORAD project from the Region Bretagne, as well as, the EGIDE program and the French ANR (POSEIDON 09-BLAN-0348). The funders had no role in study design, data collection and analysis, decision to publish, or preparation of the manuscript.</t>
  </si>
  <si>
    <t>e53598</t>
  </si>
  <si>
    <t>10.1371/journal.pone.0053598</t>
  </si>
  <si>
    <t>086RY</t>
  </si>
  <si>
    <t>Green Accepted, Green Published, gold, Green Submitted</t>
  </si>
  <si>
    <t>WOS:000314705800057</t>
  </si>
  <si>
    <t>Rogers, TL; Ciaglia, MB; Klinck, H; Southwell, C</t>
  </si>
  <si>
    <t>Rogers, Tracey L.; Ciaglia, Michaela B.; Klinck, Holger; Southwell, Colin</t>
  </si>
  <si>
    <t>Density Can Be Misleading for Low-Density Species: Benefits of Passive Acoustic Monitoring</t>
  </si>
  <si>
    <t>SPERM-WHALE ABUNDANCE; PACK-ICE SEALS; LEOPARD SEALS; HYDRURGA-LEPTONYX; PRYDZ BAY; RESPONSES; VOCALIZATIONS; PROBABILITY; DIVERSITY; BEHAVIOR</t>
  </si>
  <si>
    <t>Climate-induced changes may be more substantial within the marine environment, where following ecological change is logistically difficult, and typically expensive. As marine animals tend to produce stereotyped, long-range signals, they are ideal for repeatable surveying. In this study we illustrate the potential for calling rates to be used as a tool for determining habitat quality by using an Antarctic pack-ice seal, the leopard seal, as a model. With an understanding of the vocal behavior of a species, their seasonal and diurnal patterns, sex and age-related differences, an underwater passive-acoustic survey conducted alongside a visual survey in an arc of 4,225 km across the Davis Sea, Eastern Antarctica, showed that while acoustic and visual surveys identified similar regions as having high densities, the acoustic surveys surprisingly identified the opposite regions as being 'critical' habitats. Density surveys of species that cannot be differentiated into population classes may be misleading because overall density can be a negative indicator of habitat quality. Under special circumstances acoustics can offer enormous advantage over traditional techniques and open up monitoring to regions that are remote, difficult and expensive to work within, no longer restricting long-term community assessment to resource-wealthy communities. As climatic change affects a broad range of organisms across geographic boundaries we propose that capitalizing on the significant advances in passive acoustic technology, alongside physical acoustics and population modeling, can help in addressing ecological questions more broadly.</t>
  </si>
  <si>
    <t>[Rogers, Tracey L.; Ciaglia, Michaela B.] Univ New S Wales, Sch BEES, Evolut &amp; Ecol Res Ctr, Sydney, NSW, Australia; [Klinck, Holger] Oregon State Univ, Cooperat Inst Marine Resources Studies, Newport, OR USA; [Klinck, Holger] Oregon State Univ, Hatfield Marine Sci Ctr, Natl Ocean &amp; Atmospher Adm, Pacific Marine Environm Lab, Newport, OR 97365 USA; [Southwell, Colin] Australian Antarctic Div, Dept Sustainabil Environm Water Populat &amp; Communi, Kingston, Tas, Australia</t>
  </si>
  <si>
    <t>University of New South Wales Sydney; Oregon State University; Oregon State University; National Oceanic Atmospheric Admin (NOAA) - USA; Australian Antarctic Division</t>
  </si>
  <si>
    <t>Rogers, TL (corresponding author), Univ New S Wales, Sch BEES, Evolut &amp; Ecol Res Ctr, Sydney, NSW, Australia.</t>
  </si>
  <si>
    <t>tracey.rogers@unsw.edu.au</t>
  </si>
  <si>
    <t>Rogers, Tracey L/C-3419-2008; Klinck, Holger/X-5214-2019</t>
  </si>
  <si>
    <t>Klinck, Holger/0000-0003-1078-7268; Rogers, Tracey/0000-0002-7141-4177</t>
  </si>
  <si>
    <t>Antarctic Scientific Advisory Committee [ASAC 552, 1140]; Sea World Research and Rescue Foundation Inc.; Scott Foundation; U.S. Office of Naval Research [N00014-11-1-0606]</t>
  </si>
  <si>
    <t>Antarctic Scientific Advisory Committee; Sea World Research and Rescue Foundation Inc.; Scott Foundation; U.S. Office of Naval Research(Office of Naval Research)</t>
  </si>
  <si>
    <t>This study was supported financially by the Antarctic Scientific Advisory Committee (ASAC 552 and 1140), the Sea World Research and Rescue Foundation Inc., the Scott Foundation and the U.S. Office of Naval Research grant # N00014-11-1-0606 this is NOAA PMEL contribution # 3836. The funders had no role in study design, data collection and analysis, decision to publish, or preparation of the manuscript.</t>
  </si>
  <si>
    <t>JAN 9</t>
  </si>
  <si>
    <t>e52542</t>
  </si>
  <si>
    <t>10.1371/journal.pone.0052542</t>
  </si>
  <si>
    <t>070YR</t>
  </si>
  <si>
    <t>Green Published, Green Submitted, gold</t>
  </si>
  <si>
    <t>WOS:000313551500016</t>
  </si>
  <si>
    <t>Bestley, S; Jonsen, ID; Hindell, MA; Guinet, C; Charrassin, JB</t>
  </si>
  <si>
    <t>Bestley, Sophie; Jonsen, Ian D.; Hindell, Mark A.; Guinet, Christophe; Charrassin, Jean-Benoit</t>
  </si>
  <si>
    <t>Integrative modelling of animal movement: incorporating in situ habitat and behavioural information for a migratory marine predator</t>
  </si>
  <si>
    <t>PROCEEDINGS OF THE ROYAL SOCIETY B-BIOLOGICAL SCIENCES</t>
  </si>
  <si>
    <t>individual movement; animal telemetry; spatial ecology; state-space model; foraging behaviour; oceanographic drivers of movement</t>
  </si>
  <si>
    <t>STATE-SPACE MODELS; SOUTHERN ELEPHANT SEALS; TELEMETRY; DYNAMICS; SUCCESS; RATES; LONG</t>
  </si>
  <si>
    <t>A fundamental goal in animal ecology is to quantify how environmental (and other) factors influence individual movement, as this is key to understanding responsiveness of populations to future change. However, quantitative interpretation of individual-based telemetry data is hampered by the complexity of, and error within, these multi-dimensional data. Here, we present an integrative hierarchical Bayesian state-space modelling approach where, for the first time, the mechanistic process model for the movement state of animals directly incorporates both environmental and other behavioural information, and observation and process model parameters are estimated within a single model. When applied to a migratory marine predator, the southern elephant seal (Mirounga leonina), we find the switch from directed to resident movement state was associated with colder water temperatures, relatively short dive bottom time and rapid descent rates. The approach presented here can have widespread utility for quantifying movement-behaviour (diving or other)-environment relationships across species and systems.</t>
  </si>
  <si>
    <t>[Bestley, Sophie; Jonsen, Ian D.] Dalhousie Univ, Dept Biol, Halifax, NS B3H 4R2, Canada; [Bestley, Sophie; Hindell, Mark A.] Univ Tasmania, Inst Marine &amp; Antarctic Studies, Hobart, Tas 7001, Australia; [Guinet, Christophe] CEBC CNRS, Ctr Etud Biol Chize, F-79170 Chize, France; [Bestley, Sophie; Charrassin, Jean-Benoit] Museum Natl Hist Nat UPMC CNRS IRD, LOCEAN IPSL, F-75252 Paris, France</t>
  </si>
  <si>
    <t>Dalhousie University; University of Tasmania; Centre National de la Recherche Scientifique (CNRS); Museum National d'Histoire Naturelle (MNHN); Sorbonne Universite</t>
  </si>
  <si>
    <t>Bestley, S (corresponding author), Dalhousie Univ, Dept Biol, Halifax, NS B3H 4R2, Canada.</t>
  </si>
  <si>
    <t>sophie.bestley@dal.ca</t>
  </si>
  <si>
    <t>Bestley, Sophie/AAN-2483-2021; Hindell, Mark A/C-8368-2013; Guinet, Christophe/AAR-8457-2020; Bestley, Sophie/E-9521-2013; Hindell, Mark A/K-1131-2013</t>
  </si>
  <si>
    <t>Bestley, Sophie/0000-0001-9342-669X; Bestley, Sophie/0000-0001-9342-669X; Jonsen, Ian/0000-0001-5423-6076; Hindell, Mark/0000-0002-7823-7185</t>
  </si>
  <si>
    <t>Australian Integrated Marine Observing System; Terre-Ocean-Surface Continentale-Atmosphere-Centre National d'Etudes Spatiales; Groupe de Mission Mercator Coriolis; Total Fondation; Killam Post-doctoral Fellowship; Canadian Foundation for Innovation (CFI); Natural Sciences and Engineering Research Council (NSERC)</t>
  </si>
  <si>
    <t>Australian Integrated Marine Observing System; Terre-Ocean-Surface Continentale-Atmosphere-Centre National d'Etudes Spatiales(Centre National D'etudes Spatiales); Groupe de Mission Mercator Coriolis; Total Fondation; Killam Post-doctoral Fellowship; Canadian Foundation for Innovation (CFI)(Canada Foundation for Innovation); Natural Sciences and Engineering Research Council (NSERC)(Natural Sciences and Engineering Research Council of Canada (NSERC))</t>
  </si>
  <si>
    <t>Tag deployments were carried out under the international SEaOS (Southern Elephant Seals as Oceanographic Samplers) program (http://biology.st-andrews.ac.uk/seaos). The Australian component was funded by the Australian Integrated Marine Observing System, and deployed by C. G. and the 2009 French field team. The French component was conducted as part of l'Institut Polaire Francais Paul Emile Victor (IPEV, Prog. 109 resp. H. Weimerskirch) and further funded by Terre-Ocean-Surface Continentale-Atmosphere-Centre National d'Etudes Spatiales, the Groupe de Mission Mercator Coriolis and the Total Fondation. The IPEV ethics committee approved this study and all seals were cared for in accordance with IPEV guidelines. F. Roquet carried out the CTD data calibration. S. B. was supported by a Killam Post-doctoral Fellowship. I.D.J. was supported by Canadian Foundation for Innovation (CFI) and Natural Sciences and Engineering Research Council (NSERC) grants in support of the Ocean Tracking Network.</t>
  </si>
  <si>
    <t>0962-8452</t>
  </si>
  <si>
    <t>1471-2954</t>
  </si>
  <si>
    <t>P ROY SOC B-BIOL SCI</t>
  </si>
  <si>
    <t>Proc. R. Soc. B-Biol. Sci.</t>
  </si>
  <si>
    <t>JAN 7</t>
  </si>
  <si>
    <t>10.1098/rspb.2012.2262</t>
  </si>
  <si>
    <t>Biology; Ecology; Evolutionary Biology</t>
  </si>
  <si>
    <t>Life Sciences &amp; Biomedicine - Other Topics; Environmental Sciences &amp; Ecology; Evolutionary Biology</t>
  </si>
  <si>
    <t>048WE</t>
  </si>
  <si>
    <t>WOS:000311943100028</t>
  </si>
  <si>
    <t>Dean, B; Freeman, R; Kirk, H; Leonard, K; Phillips, RA; Perrins, CM; Guilford, T</t>
  </si>
  <si>
    <t>Dean, Ben; Freeman, Robin; Kirk, Holly; Leonard, Kerry; Phillips, Richard A.; Perrins, Chris M.; Guilford, Tim</t>
  </si>
  <si>
    <t>Behavioural mapping of a pelagic seabird: combining multiple sensors and a hidden Markov model reveals the distribution of at-sea behaviour</t>
  </si>
  <si>
    <t>JOURNAL OF THE ROYAL SOCIETY INTERFACE</t>
  </si>
  <si>
    <t>animal behaviour; animal movement; foraging; HMM; state-space model</t>
  </si>
  <si>
    <t>SHEARWATERS PUFFINUS-PUFFINUS; AREA-RESTRICTED SEARCH; TIDAL MIXING FRONT; WESTERN IRISH SEA; MANX SHEARWATERS; POSITIONAL ENTROPY; MARINE PREDATOR; GPS TRACKING; SHALLOW-SEA; ALBATROSSES</t>
  </si>
  <si>
    <t>The use of miniature data loggers is rapidly increasing our understanding of the movements and habitat preferences of pelagic seabirds. However, objectively interpreting behavioural information from the large volumes of highly detailed data collected by such devices can be challenging. We combined three biologging technologies-global positioning system (GPS), saltwater immersion and time-depth recorders-to build a detailed picture of the at-sea behaviour of the Manx shearwater (Puffinus puffinus) during the breeding season. We used a hidden Markov model to explore discrete states within the combined GPS and immersion data, and found that behaviour could be organized into three principal activities representing (i) sustained direct flight, (ii) sitting on the sea surface, and (iii) foraging, comprising tortuous flight interspersed with periods of immersion. The additional logger data verified that the foraging activity corresponded well to the occurrence of diving. Applying this approach to a large tracking dataset revealed that birds from two different colonies foraged in local waters that were exclusive, but overlapped in one key area: the Irish Sea Front (ISF). We show that the allocation of time to each activity differed between colonies, with birds breeding furthest from the ISF spending the greatest proportion of time engaged in direct flight and the smallest proportion of time engaged in foraging activity. This type of analysis has considerable potential for application in future biologging studies and in other taxa.</t>
  </si>
  <si>
    <t>[Dean, Ben; Kirk, Holly; Guilford, Tim] Univ Oxford, Dept Zool, Anim Behav Res Grp, Oxford OX1 3PS, England; [Perrins, Chris M.] Univ Oxford, Dept Zool, Edward Grey Inst Field Ornithol, Oxford OX1 3PS, England; [Freeman, Robin] UCL, CoMPLEX, London WC1E 6BT, England; [Freeman, Robin] Microsoft Res Ltd, Computat Ecol &amp; Environm Sci, Cambridge CB3 0FB, England; [Leonard, Kerry] Copeland Bird Observ, Bangor BT19 1RZ, Down, Wales; [Phillips, Richard A.] British Antarctic Survey, Nat Environm Res Council, Cambridge CB3 0ET, England</t>
  </si>
  <si>
    <t>University of Oxford; University of Oxford; University of London; University College London; Microsoft; UK Research &amp; Innovation (UKRI); Natural Environment Research Council (NERC); NERC British Antarctic Survey</t>
  </si>
  <si>
    <t>Dean, B (corresponding author), Univ Oxford, Dept Zool, Anim Behav Res Grp, Oxford OX1 3PS, England.</t>
  </si>
  <si>
    <t>ben.dean@zoo.ox.ac.uk; tim.guilford@zoo.ox.ac</t>
  </si>
  <si>
    <t>Freeman, Robin/JOZ-4393-2023; Kirk, Holly/HHC-6449-2022</t>
  </si>
  <si>
    <t>Freeman, Robin/0000-0002-0560-8942; Kirk, Holly/0000-0002-8724-3210</t>
  </si>
  <si>
    <t>Microsoft Research, Cambridge; UK Natural Environment Research Council; Northern Ireland Environment Agency; Natural Environment Research Council [bas0100025] Funding Source: researchfish; NERC [bas0100025] Funding Source: UKRI</t>
  </si>
  <si>
    <t>Microsoft Research, Cambridge(Microsoft); UK Natural Environment Research Council(UK Research &amp; Innovation (UKRI)Natural Environment Research Council (NERC)); Northern Ireland Environment Agency; Natural Environment Research Council(UK Research &amp; Innovation (UKRI)Natural Environment Research Council (NERC)); NERC(UK Research &amp; Innovation (UKRI)Natural Environment Research Council (NERC))</t>
  </si>
  <si>
    <t>We thank the Skomer and Skokholm Islands Advisory Council and the Copeland Bird Observatory for permission to work on the Islands. We also thank the staff and volunteers from Skomer and Copeland, especially Jo and David Millborrow, Chris Taylor, Dave Boyle, Neville McKee, George Henderson and Annette Fayet. This work was funded by Microsoft Research, Cambridge, the UK Natural Environment Research Council and the Northern Ireland Environment Agency.</t>
  </si>
  <si>
    <t>1742-5689</t>
  </si>
  <si>
    <t>1742-5662</t>
  </si>
  <si>
    <t>J R SOC INTERFACE</t>
  </si>
  <si>
    <t>J. R. Soc. Interface</t>
  </si>
  <si>
    <t>JAN 6</t>
  </si>
  <si>
    <t>10.1098/rsif.2012.0570</t>
  </si>
  <si>
    <t>048UT</t>
  </si>
  <si>
    <t>WOS:000311939400009</t>
  </si>
  <si>
    <t>Benoit-Bird, KJ; Battaile, BC; Heppell, SA; Hoover, B; Irons, D; Jones, N; Kuletz, KJ; Nordstrom, CA; Paredes, R; Suryan, RM; Waluk, CM; Trites, AW</t>
  </si>
  <si>
    <t>Benoit-Bird, Kelly J.; Battaile, Brian C.; Heppell, Scott A.; Hoover, Brian; Irons, David; Jones, Nathan; Kuletz, Kathy J.; Nordstrom, Chad A.; Paredes, Rosana; Suryan, Robert M.; Waluk, Chad M.; Trites, Andrew W.</t>
  </si>
  <si>
    <t>Prey Patch Patterns Predict Habitat Use by Top Marine Predators with Diverse Foraging Strategies</t>
  </si>
  <si>
    <t>SEALS CALLORHINUS-URSINUS; PRIBILOF ISLANDS; SPATIAL SCALE; FUR SEALS; ANTARCTIC KRILL; BERING-SEA; SEABIRDS; DENSITY; MODELS; FOOD</t>
  </si>
  <si>
    <t>Spatial coherence between predators and prey has rarely been observed in pelagic marine ecosystems. We used measures of the environment, prey abundance, prey quality, and prey distribution to explain the observed distributions of three co-occurring predator species breeding on islands in the southeastern Bering Sea: black-legged kittiwakes (Rissa tridactyla), thick-billed murres (Uria lomvia), and northern fur seals (Callorhinus ursinus). Predictions of statistical models were tested using movement patterns obtained from satellite-tracked individual animals. With the most commonly used measures to quantify prey distributions - areal biomass, density, and numerical abundance - we were unable to find a spatial relationship between predators and their prey. We instead found that habitat use by all three predators was predicted most strongly by prey patch characteristics such as depth and local density within spatial aggregations. Additional prey patch characteristics and physical habitat also contributed significantly to characterizing predator patterns. Our results indicate that the small-scale prey patch characteristics are critical to how predators perceive the quality of their food supply and the mechanisms they use to exploit it, regardless of time of day, sampling year, or source colony. The three focal predator species had different constraints and employed different foraging strategies - a shallow diver that makes trips of moderate distance (kittiwakes), a deep diver that makes trip of short distances (murres), and a deep diver that makes extensive trips (fur seals). However, all three were similarly linked by patchiness of prey rather than by the distribution of overall biomass. This supports the hypothesis that patchiness may be critical for understanding predator-prey relationships in pelagic marine systems more generally.</t>
  </si>
  <si>
    <t>[Benoit-Bird, Kelly J.; Waluk, Chad M.] Oregon State Univ, Coll Earth Ocean &amp; Atmospher Sci, Corvallis, OR 97331 USA; [Heppell, Scott A.; Paredes, Rosana; Suryan, Robert M.] Oregon State Univ, Dept Fisheries &amp; Wildlife, Corvallis, OR 97331 USA; [Battaile, Brian C.; Nordstrom, Chad A.; Trites, Andrew W.] Univ British Columbia, Marine Mammal Res Unit, Fisheries Ctr, Vancouver, BC V5Z 1M9, Canada; [Battaile, Brian C.; Nordstrom, Chad A.; Trites, Andrew W.] Univ British Columbia, Dept Zool, Vancouver, BC V5Z 1M9, Canada; [Hoover, Brian; Jones, Nathan] Univ Calif, Moss Landing Marine Labs, Moss Landing, CA USA; [Irons, David; Kuletz, Kathy J.] US Fish &amp; Wildlife Serv, Anchorage, AK USA</t>
  </si>
  <si>
    <t>Oregon State University; Oregon State University; University of British Columbia; University of British Columbia; Moss Landing Marine Laboratories; United States Department of the Interior; US Fish &amp; Wildlife Service</t>
  </si>
  <si>
    <t>Benoit-Bird, KJ (corresponding author), Oregon State Univ, Coll Earth Ocean &amp; Atmospher Sci, Corvallis, OR 97331 USA.</t>
  </si>
  <si>
    <t>kbenoit@coas.oregonstate.edu</t>
  </si>
  <si>
    <t>Trites, Andrew/K-5648-2012</t>
  </si>
  <si>
    <t>Benoit-Bird, Kelly J./0000-0002-5868-0390; Hoover, Brian/0000-0003-1603-6932; Trites, Andrew/0000-0003-0342-5322</t>
  </si>
  <si>
    <t>North Pacific Research Board</t>
  </si>
  <si>
    <t>Funding was provided by the North Pacific Research Board as part of the Bering Sea Project [http://bsierp.nprb.org/]. The funders facilitated indersciplinary partnerships as part of the program but had no role in the specifics of the study design, data collection and analysis, decision to publish, or preparation of the manuscript.</t>
  </si>
  <si>
    <t>JAN 3</t>
  </si>
  <si>
    <t>e53348</t>
  </si>
  <si>
    <t>10.1371/journal.pone.0053348</t>
  </si>
  <si>
    <t>070BE</t>
  </si>
  <si>
    <t>WOS:000313480000051</t>
  </si>
  <si>
    <t>Balco, G; Schaefer, JM</t>
  </si>
  <si>
    <t>Balco, Greg; Schaefer, Joerg M.</t>
  </si>
  <si>
    <t>LARISSA Grp</t>
  </si>
  <si>
    <t>Exposure-age record of Holocene ice sheet and ice shelf change in the northeast Antarctic Peninsula</t>
  </si>
  <si>
    <t>Larsen Ice Shelf; Weddell Sea; Deglaciation; Antarctic Peninsula; Cosmogenic-nuclide geochronology; Exposure dating</t>
  </si>
  <si>
    <t>BE-10 PRODUCTION-RATE; PRODUCTION-RATE CALIBRATION; JAMES-ROSS-ISLAND; MARIE-BYRD-LAND; GLACIAL HISTORY; DEGLACIATION; CONSTRAINTS; SOUTHERN; EROSION; RETREAT</t>
  </si>
  <si>
    <t>This paper describes glacial geologic observations and cosmogenic-nuclide exposure ages from ice-free areas adjacent to the Sjogren, Boydell, and Drygalski Glaciers of the northeast Antarctic Peninsula. These provide a record of Holocene glacier and ice shelf change in this region. Early Holocene ice surface elevation near the present coastline was locally at least 500 m above present sea level, but our observations do not constrain the maximum thickness of Last Glacial Maximum (LGM) ice or the time at which it was attained. The boundary between frozen-based and wet-based ice reached a maximum elevation of 100-150 m above present sea level. The ice surface elevation decreased from 300-500 m elevation to near present sea level between 9 ka and ca 4 ka. Below 160 m elevation, we observed a bimodal distribution of apparent exposure ages in which a population of glacially transported clasts with mid-Holocene exposure ages coexists with another that has exposure ages of 100-600 years. We consider the most likely explanation for this to be i) complete deglaciation of currently ice-free areas, which presumably required the absence of ice shelves, at 3.5-4.5 ka, followed by ii) subsequent ice shelf formation and grounding line advance after ca 1.4 ka, and iii) complete re-exposure of the sites after ice shelf breakup and glacier surface lowering in recent decades. This explanation is consistent with marine sedimentary records indicating that ice shelves in the Prince Gustav Channel and Larsen A embayment were absent in the middle to late Holocene and were re-established within the last 2000 years. (C) 2012 Elsevier Ltd. All rights reserved.</t>
  </si>
  <si>
    <t>[Balco, Greg] Berkeley Geochronol Ctr, Berkeley, CA 94709 USA; [Schaefer, Joerg M.] Columbia Univ, Lamont Doherty Earth Observ, Palisades, NY 10964 USA</t>
  </si>
  <si>
    <t>Berkeley Geochronolgy Center; Columbia University</t>
  </si>
  <si>
    <t>Balco, G (corresponding author), Berkeley Geochronol Ctr, 2455 Ridge Rd, Berkeley, CA 94709 USA.</t>
  </si>
  <si>
    <t>balcs@bgc.org</t>
  </si>
  <si>
    <t>De Batist, Marc/F-5722-2012; Lavoie, Caroline/J-5968-2013</t>
  </si>
  <si>
    <t>De Batist, Marc/0000-0002-1625-2080; Lavoie, Caroline/0000-0002-4477-1443</t>
  </si>
  <si>
    <t>U.S. National Science Foundation [ANT-0732467]</t>
  </si>
  <si>
    <t>U.S. National Science Foundation(National Science Foundation (NSF))</t>
  </si>
  <si>
    <t>This work could not have been accomplished without the skill and hard work of the following individuals: Captain Joe Borkowski and the crew of the Nathaniel B. Palmer; Chris Dean, Barry James, Randy Perrodin, and Jay Cox of PHI, Inc.; and the NBP10-01 shipboard science party. Dylan Rood was instrumental in carrying out the AMS analyses. This work is a part of the LARISSA project and was funded by the U.S. National Science Foundation under grant ANT-0732467 to Hamilton College. This is LDEO contribution 7625. GB thanks Rob Larter of the British Antarctic Survey for providing the gridded bathymetric data shown in Fig. 1. The staff of the U.S. Antarctic Resource Center assisted in locating historical air photography. Joanne Johnson and Bethan Davies provided helpful and comprehensive reviews. Finally, GB greatly appreciates the forbearance and good humor of pilot Barry James and reporter Doug Fox during an unscheduled three-day stop on James Ross Island.</t>
  </si>
  <si>
    <t>10.1016/j.quascirev.2012.10.022</t>
  </si>
  <si>
    <t>076YX</t>
  </si>
  <si>
    <t>WOS:000313996200009</t>
  </si>
  <si>
    <t>Sañé, E; Isla, E; Bárcena, MA; DeMaster, DJ</t>
  </si>
  <si>
    <t>Sane, Elisabet; Isla, Enrique; Angeles Barcena, Maria; DeMaster, David J.</t>
  </si>
  <si>
    <t>A Shift in the Biogenic Silica of Sediment in the Larsen B Continental Shelf, Off the Eastern Antarctic Peninsula, Resulting from Climate Change</t>
  </si>
  <si>
    <t>SOUTHERN-OCEAN; WEDDELL SEA; SURFACE SEDIMENTS; WESTERN BRANSFIELD; SPONGE SPICULES; ICE SHELF; COMMUNITIES; ACCUMULATION; ASSEMBLAGES; SAMPLES</t>
  </si>
  <si>
    <t>In 2002, section B of the Larsen ice shelf, off of the Eastern Antarctic Peninsula, collapsed and created the opportunity to study whether the changes at the sea surface left evidence in the sedimentary record. Biogenic silica is major constituent of Antarctic marine sediment, and its presence in the sediment column is associated with diatom production in the euphotic zone. The abundance of diatom valves and the number of sponge spicules in the biogenic silica was analyzed to determine how the origin of the biogenic silica in the upper layers of the sediment column responded to recent environmental changes. Diatom valves were present only in the upper 2 cm of sediment, which roughly corresponds to the period after the collapse of the ice shelf. In contrast, sponge spicules, a more robust form of biogenic silica, were also found below the upper 2 cm layer of the sediment column. Our results indicate that in this region most of the biogenic silica in the sedimentary record originated from sponge spicules rather than diatoms during the time when the sea surface was covered by the Larsen ice shelf. Since the collapse of the ice shelf, the development of phytoplankton blooms and the consequent influx of diatom debris to the seabed have shifted the biogenic silica record to one dominated by diatom debris, as occurs in most of the Antarctic marine sediment. This shift provides further evidence of the anthropogenic changes to the benthic habitats of the Antarctic and will improve the interpretation of the sedimentary record in Polar Regions where these events occur.</t>
  </si>
  <si>
    <t>[Sane, Elisabet; Isla, Enrique] Inst Marine Sci ICM CSIC, Dept Marine Geol, Barcelona, Spain; [Angeles Barcena, Maria] Univ Salamanca, Dept Geol &amp; Paleontol, E-37008 Salamanca, Spain; [DeMaster, David J.] N Carolina State Univ, Dept Marine Earth &amp; Atmospher Sci, Raleigh, NC 27695 USA</t>
  </si>
  <si>
    <t>Consejo Superior de Investigaciones Cientificas (CSIC); CSIC - Centro Mediterraneo de Investigaciones Marinas y Ambientales (CMIMA); CSIC - Instituto de Ciencias del Mar (ICM); University of Salamanca; North Carolina State University</t>
  </si>
  <si>
    <t>Sañé, E (corresponding author), Inst Marine Sci ICM CSIC, Dept Marine Geol, Barcelona, Spain.</t>
  </si>
  <si>
    <t>sane@icm.csic.es</t>
  </si>
  <si>
    <t>sane, elisabet/AAT-4775-2020; Barcena, María Angeles/D-5839-2011</t>
  </si>
  <si>
    <t>Barcena, María Angeles/0000-0001-8261-2286; Isla, Enrique/0000-0003-4959-6936; , elisabet/0000-0001-5719-5468</t>
  </si>
  <si>
    <t>Spanish Ministry of Science and Innovation, through the project CLIMANT [POL2006-06399]; FPU [AP 2005-5060]</t>
  </si>
  <si>
    <t>Spanish Ministry of Science and Innovation, through the project CLIMANT; FPU(Spanish Government)</t>
  </si>
  <si>
    <t>This study was supported by the Spanish Ministry of Science and Innovation, through the project CLIMANT (POL2006-06399) and the graduate program fellowship FPU AP 2005-5060. The funders had no role in study design, data collection and analysis, decision to publish, or preparation of the manuscript.</t>
  </si>
  <si>
    <t>JAN 2</t>
  </si>
  <si>
    <t>e52632</t>
  </si>
  <si>
    <t>10.1371/journal.pone.0052632</t>
  </si>
  <si>
    <t>067UP</t>
  </si>
  <si>
    <t>WOS:000313320900035</t>
  </si>
  <si>
    <t>Yu, PC; Sewell, MA; Matson, PG; Rivest, EB; Kapsenberg, L; Hofmann, GE</t>
  </si>
  <si>
    <t>Yu, Pauline C.; Sewell, Mary A.; Matson, Paul G.; Rivest, Emily B.; Kapsenberg, Lydia; Hofmann, Gretchen E.</t>
  </si>
  <si>
    <t>Growth Attenuation with Developmental Schedule Progression in Embryos and Early Larvae of Sterechinus neumayeri Raised under Elevated CO2</t>
  </si>
  <si>
    <t>REDUCED SEAWATER PH; OCEAN ACIDIFICATION; CLIMATE-CHANGE; ECHINODERM LARVAE; HATCHING ENZYME; MCMURDO SOUND; MG-CALCITE; IMPACT; PLASTICITY; INVERTEBRATES</t>
  </si>
  <si>
    <t>The Southern Ocean, a region that will be an ocean acidification hotspot in the near future, is home to a uniquely adapted fauna that includes a diversity of lightly-calcified invertebrates. We exposed the larvae of the echinoid Sterechinus neumayeri to environmental levels of CO2 in McMurdo Sound (control: 410 mu atm, Omega = 1.35) and mildly elevated pCO(2) levels, both near the level of the aragonite saturation horizon (510 matm pCO(2), Omega = 1.12), and to under-saturating conditions (730 matm, Omega = 0.82). Early embryological development was normal under these conditions with the exception of the hatching process, which was slightly delayed. Appearance of the initial calcium carbonate (CaCO3) spicule nuclei among the primary mesenchyme cells of the gastrulae was synchronous between control and elevated pCO(2) treatments. However, by prism (7 days after the initial appearance of the spicule nucleus), elongating arm rod spicules were already significantly shorter in the highest CO2 treatment. Unfed larvae in the 730 matm pCO(2) treatment remained significantly smaller than unfed control larvae at days 15-30, and larvae in the 510 mu atm treatment were significantly smaller at day 20. At day 30, the arm lengths were more differentiated between 730 mu atm and control CO2 treatments than were body lengths as components of total length. Arm length is the most plastic morphological aspect of the echinopluteus, and appears to exhibit the greatest response to high pCO(2)/low pH/low carbonate, even in the absence of food. Thus, while the effects of elevated pCO(2) representative of near future climate scenarios are proportionally minor on these early developmental stages, the longer term effects on these long-lived invertebrates is still unknown.</t>
  </si>
  <si>
    <t>[Yu, Pauline C.; Matson, Paul G.; Rivest, Emily B.; Kapsenberg, Lydia; Hofmann, Gretchen E.] Univ Calif Santa Barbara, Dept Ecol Evolut &amp; Marine Biol, Santa Barbara, CA 93106 USA; [Sewell, Mary A.] Univ Auckland, Sch Biol Sci, Auckland 1, New Zealand</t>
  </si>
  <si>
    <t>University of California System; University of California Santa Barbara; University of Auckland</t>
  </si>
  <si>
    <t>Yu, PC (corresponding author), Univ Calif Santa Barbara, Dept Ecol Evolut &amp; Marine Biol, Santa Barbara, CA 93106 USA.</t>
  </si>
  <si>
    <t>pauline.yu@lifesci.ucsb.edu</t>
  </si>
  <si>
    <t>Sewell, Mary A/C-9017-2009; Matson, Paul/AAB-9767-2019</t>
  </si>
  <si>
    <t>Sewell, Mary A/0000-0002-1595-7951; Matson, Paul/0000-0003-2105-7308; Kapsenberg, Lydia/0000-0002-7361-9061; Rivest, Emily/0000-0002-8570-8379</t>
  </si>
  <si>
    <t>U.S. Office of Polar Programs, Antarctic Division (NSF) [ANT-0944201]; U.S. National Science Foundation (NSF) Polar Programs Postdoctoral Fellowship (NSF-OPP) [1019340]; NSF Graduate Student Research Fellowships; Royal Society of New Zealand Marsden Fund; Office of Polar Programs (OPP); Directorate For Geosciences [1019340] Funding Source: National Science Foundation; Office of Polar Programs (OPP); Directorate For Geosciences [0944201] Funding Source: National Science Foundation</t>
  </si>
  <si>
    <t>U.S. Office of Polar Programs, Antarctic Division (NSF); U.S. National Science Foundation (NSF) Polar Programs Postdoctoral Fellowship (NSF-OPP)(National Science Foundation (NSF)); NSF Graduate Student Research Fellowships; Royal Society of New Zealand Marsden Fund(Royal Society of New ZealandMarsden Fund (NZ)); Office of Polar Programs (OPP); Directorate For Geosciences(National Science Foundation (NSF)NSF - Directorate for Geosciences (GEO)); Office of Polar Programs (OPP); Directorate For Geosciences(National Science Foundation (NSF)NSF - Directorate for Geosciences (GEO))</t>
  </si>
  <si>
    <t>This project was funded by the U.S. Office of Polar Programs, Antarctic Division (NSF grant ANT-0944201 to GEH) (http:/www.nsf.gov). PCY was supported by a U.S. National Science Foundation (NSF) Polar Programs Postdoctoral Fellowship (NSF-OPP Award 1019340); EBR and LK were supported by NSF Graduate Student Research Fellowships. MS was supported by the Royal Society of New Zealand Marsden Fund (http://www.royalsociety.org.nz/programmes/funds/marsden/). The funders had no role in study design, data collection and analysis, decision to publish, or preparation of the manuscript.</t>
  </si>
  <si>
    <t>e52448</t>
  </si>
  <si>
    <t>10.1371/journal.pone.0052448</t>
  </si>
  <si>
    <t>Green Submitted, gold, Green Published</t>
  </si>
  <si>
    <t>WOS:000313320900026</t>
  </si>
  <si>
    <t>C</t>
  </si>
  <si>
    <t>Smith, Z; Negnevitsky, M; Wang, XL; Michael, K</t>
  </si>
  <si>
    <t>IEEE</t>
  </si>
  <si>
    <t>Smith, Zane; Negnevitsky, Michael; Wang, Xiaolin; Michael, Kelvin</t>
  </si>
  <si>
    <t>Cold Climate Energy Production</t>
  </si>
  <si>
    <t>2013 AUSTRALASIAN UNIVERSITIES POWER ENGINEERING CONFERENCE (AUPEC)</t>
  </si>
  <si>
    <t>Australasian Universities Power Engineering Conference</t>
  </si>
  <si>
    <t>Proceedings Paper</t>
  </si>
  <si>
    <t>Australasian Universities Power Engineering Conference (AUPEC)</t>
  </si>
  <si>
    <t>SEP 29-OCT 03, 2013</t>
  </si>
  <si>
    <t>Hobart, AUSTRALIA</t>
  </si>
  <si>
    <t>cold climate regions; solar energy; wind energy; wind thermal energy</t>
  </si>
  <si>
    <t>SANAE-IV BASE; ANTARCTICA</t>
  </si>
  <si>
    <t>Utilization of wind and solar energy at permanent and temporary polar research stations is reviewed in light of the ongoing search for a diesel fuel replacement. Renewable energy sources are available that can help to reduce the need to transport and handle bulk fossil fuels in remote and extreme cold climate regions. Fundamental concepts that underpin these technologies are described, and some of the strategies devised to meet the physical and logistical challenges of cold climate operations are outlined. Factors that limit the penetration of intermittent renewable energy sources are discussed, and the evolution of wind-thermal devices is examined in the context of producing year-round heat and power.</t>
  </si>
  <si>
    <t>[Smith, Zane; Negnevitsky, Michael; Wang, Xiaolin] Univ Tasmania, Sch Engn, Hobart, Tas, Australia; [Michael, Kelvin] Univ Tasmania, Inst Marine &amp; Antarctic Studies, Hobart, Tas, Australia</t>
  </si>
  <si>
    <t>University of Tasmania; University of Tasmania</t>
  </si>
  <si>
    <t>Smith, Z (corresponding author), Univ Tasmania, Sch Engn, Hobart, Tas, Australia.</t>
  </si>
  <si>
    <t>Zane.Smith@utas.edu.au</t>
  </si>
  <si>
    <t>Michael, Kelvin/J-7217-2014; Negnevitsky, Michael/J-7243-2014</t>
  </si>
  <si>
    <t>Michael, Kelvin/0000-0002-5427-7393; Wang, Xiaolin/0000-0003-4293-7523; Negnevitsky, Michael/0000-0002-5130-419X</t>
  </si>
  <si>
    <t>345 E 47TH ST, NEW YORK, NY 10017 USA</t>
  </si>
  <si>
    <t>AUSTR UNIV POWER ENG</t>
  </si>
  <si>
    <t>Engineering, Electrical &amp; Electronic</t>
  </si>
  <si>
    <t>Conference Proceedings Citation Index - Science (CPCI-S)</t>
  </si>
  <si>
    <t>Engineering</t>
  </si>
  <si>
    <t>BB7ND</t>
  </si>
  <si>
    <t>WOS:000345773000028</t>
  </si>
  <si>
    <t>B</t>
  </si>
  <si>
    <t>Roberts, P; Dodds, K; van der Watt, LM</t>
  </si>
  <si>
    <t>Sorlin, S</t>
  </si>
  <si>
    <t>Roberts, Peder; Dodds, Klaus; van der Watt, Lize-Marie</t>
  </si>
  <si>
    <t>'But Why Do You Go There?' Norway and South Africa in the Antarctic during the 1950s</t>
  </si>
  <si>
    <t>SCIENCE, GEOPOLITICS AND CULTURE IN THE POLAR REGION: NORDEN BEYOND BORDERS</t>
  </si>
  <si>
    <t>Nordic Experience</t>
  </si>
  <si>
    <t>Article; Book Chapter</t>
  </si>
  <si>
    <t>INTERNATIONAL GEOPHYSICAL YEAR; MASCULINITY; SCIENCE; GENDER; POLAR</t>
  </si>
  <si>
    <t>[Roberts, Peder] Univ Strasbourg, Strasbourg, France; [Roberts, Peder] KTH Royal Inst Technol, Div Hist Sci Technol &amp; Environm, Stockholm, Sweden; [Dodds, Klaus] Univ London, London WC1E 7HU, England</t>
  </si>
  <si>
    <t>Universites de Strasbourg Etablissements Associes; Universite de Strasbourg; Royal Institute of Technology; University of London</t>
  </si>
  <si>
    <t>Roberts, P (corresponding author), KTH Royal Inst Technol, Div Hist Sci Technol &amp; Environm, Stockholm, Sweden.</t>
  </si>
  <si>
    <t>ASHGATE PUBLISHING LTD</t>
  </si>
  <si>
    <t>ALDERSHOT</t>
  </si>
  <si>
    <t>GOWER HOUSE, CROFT ROAD, ALDERSHOT GU11 3HR, ENGLAND</t>
  </si>
  <si>
    <t>978-1-4724-0970-6; 978-1-4724-0969-0</t>
  </si>
  <si>
    <t>NORD EXP</t>
  </si>
  <si>
    <t>Geography; International Relations</t>
  </si>
  <si>
    <t>Book Citation Index – Social Sciences &amp; Humanities (BKCI-SSH)</t>
  </si>
  <si>
    <t>BB2VQ</t>
  </si>
  <si>
    <t>WOS:000342417400005</t>
  </si>
  <si>
    <t>Karanovic, I; Tanaka, H</t>
  </si>
  <si>
    <t>Karanovic, Ivana; Tanaka, Hayato</t>
  </si>
  <si>
    <t>Ostracod genus Parapolycope (Crustacea): Diversity, distribution, and phylogeny, with description of the first representative from Korea</t>
  </si>
  <si>
    <t>ZOOLOGISCHER ANZEIGER</t>
  </si>
  <si>
    <t>Myodocopa; Polycopidae; New species; Systematics; Marine interstitial; Biogeography</t>
  </si>
  <si>
    <t>CLADOCOPINA; ATLANTIC; JAPAN</t>
  </si>
  <si>
    <t>Parapolycope Klie, 1936 belongs to the family Polycopidae, one of the ecologically most diverse and morphologically most primitive ostracod families. Due to the small size of animals, polycopids are poorly studied and unknown in many regions of the world. We describe a new species, Parapolycope koreana sp. nov., from marine beach interstitial in Gyeongsangnam-do, South Korea. This is the first representative of the genus, and the first named polycopid species from Korea. It is very closely related to several species from marine interstitial in Japan, but differs mainly in the shape and ornamentation of the shell and morphology of the male upper lip. A cladistic analysis of the genus Parapolycope is performed to test the phylogenetic relationships between species. Although Parapolycope presently encompasses 18 species, only 15 are included in the analysis, because Parapolycope seridentata (Hartmann, 1959), Parapolycope ramunchensis (Hartmann-Schroder and Hartmann, 1962), and Parapolycope minutissima (Hartmann, 1974) differ so much from other congeners that they should be excluded from the genus. The analysis is based on 27 morphological characters, with Parapolycopissa rossica (Chavtur, 1977) and Polycopiella microdentata Chavtur, 1979 as two outgroup taxa. In spite of the fact that descriptions of almost half of species included in the analysis are based on a limited set of morphological characters, the majority rule of the 15 equally parsimonious trees undoubtedly shows that there are at least two distinct lineages in the genus, defined by the number of claws on the female uropodal lamellae. A close relationship between the new species and the Japanese congeners is also strongly supported. We redescribe the type species of the genus, Parapolycope germanica Klie, 1936, based on the type material, and designate the lectotype and paralectotypes. A key for identification of Parapolycope species is provided, along with a map of their distribution. This is a cosmopolitan taxon, with the centre of diversity in the Northwest Pacific region. (C) 2013 Elsevier GmbH. All rights reserved.</t>
  </si>
  <si>
    <t>[Karanovic, Ivana] Hanyang Univ, Dept Life Sci, Seoul 133791, South Korea; [Karanovic, Ivana] Univ Tasmania, Inst Marine &amp; Antarctic Studies, Hobart, Tas 7001, Australia; [Tanaka, Hayato] Shizuoka Univ, Dept Environm &amp; Energy Syst, Suruga Ku, Shizuoka 4228529, Japan</t>
  </si>
  <si>
    <t>Hanyang University; University of Tasmania; Shizuoka University</t>
  </si>
  <si>
    <t>Karanovic, I (corresponding author), Hanyang Univ, Dept Life Sci, Seoul 133791, South Korea.</t>
  </si>
  <si>
    <t>ivana.karanovic@utas.edu.au; cladocopina@gmail.com</t>
  </si>
  <si>
    <t>Tanaka, Hayato/0000-0003-1237-8855</t>
  </si>
  <si>
    <t>National Institute of Biological Resources (NIBR); Ministry of Environment (MOE) of the Republic of Korea (NIBR) [2013-02-001]; Hanyang University [HY-2013-N]; Japan Society for the Promotion of Science [236212]</t>
  </si>
  <si>
    <t>National Institute of Biological Resources (NIBR); Ministry of Environment (MOE) of the Republic of Korea (NIBR); Hanyang University; Japan Society for the Promotion of Science(Ministry of Education, Culture, Sports, Science and Technology, Japan (MEXT)Japan Society for the Promotion of Science)</t>
  </si>
  <si>
    <t>This publication is supported by the grant from the National Institute of Biological Resources (NIBR), funded by the Ministry of Environment (MOE) of the Republic of Korea (NIBR No. 2013-02-001), a Research Fund of the Hanyang University (HY-2013-N), and the Research Fellowship for Young Scientists (No. 236212) from the Japan Society for the Promotion of Science.</t>
  </si>
  <si>
    <t>ELSEVIER GMBH, URBAN &amp; FISCHER VERLAG</t>
  </si>
  <si>
    <t>JENA</t>
  </si>
  <si>
    <t>OFFICE JENA, P O BOX 100537, 07705 JENA, GERMANY</t>
  </si>
  <si>
    <t>0044-5231</t>
  </si>
  <si>
    <t>ZOOL ANZ</t>
  </si>
  <si>
    <t>Zool. Anz.</t>
  </si>
  <si>
    <t>10.1016/j.jcz.2013.08.002</t>
  </si>
  <si>
    <t>267LG</t>
  </si>
  <si>
    <t>WOS:000328098600004</t>
  </si>
  <si>
    <t>Gabric, AJ; Qu, B; Rotstayn, L; Shephard, JM</t>
  </si>
  <si>
    <t>Gabric, Albert J.; Qu, Bo; Rotstayn, Leon; Shephard, Jill M.</t>
  </si>
  <si>
    <t>Global simulations of the impact on contemporary climate of a perturbation to the sea-to-air flux of dimethylsulfide</t>
  </si>
  <si>
    <t>AUSTRALIAN METEOROLOGICAL AND OCEANOGRAPHIC JOURNAL</t>
  </si>
  <si>
    <t>CLOUD CONDENSATION NUCLEI; SULFUR CYCLE; OCEANIC PHYTOPLANKTON; ATMOSPHERIC SULFUR; SOUTHERN-OCEAN; ARCTIC-OCEAN; AEROSOL; MODEL; SENSITIVITY; SULFIDE</t>
  </si>
  <si>
    <t>The sea-to-air flux of the biogenic sulfur (S) compound dimethylsulfide (DMS) is thought to constitute an important radiative impact on climate, especially in remote marine areas. Previous biogeochemical modelling analyses simulate medium to large changes in the sea-to-air flux of DMS in polar regions under warming scenarios. Here we assess the global radiative impact of such a prescribed change in DMS flux on contemporary climate using a low-resolution atmospheric general circulation model. This impact operates through the atmospheric oxidation of DMS to radiatively-active sulfate aerosols, which are known to both reflect incoming short-wave radiation and to affect the microphysical properties of clouds, for example, through an increase in cloud albedo. We use an atmospheric GCM with incorporated sulfur cycle, coupled to a mixed-layer ('q-flux') ocean, to estimate the climatic response to a prescribed meridionally-variable change in zonal DMS flux, as simulated in a previous modelling analysis. We compare baseline sulfur emissions (contemporary anthropogenic S and contemporary DMS sea-to-air flux), with contemporary anthropogenic S and a perturbed DMS flux. Our results indicate that the global mean DMS vertically integrated concentration increases by about 41 per cent. The relative increase in DMS annual emission is around 17 per cent in 70-80 degrees N, although the most significant increase is in 50-70 degrees S, up to 70 per cent. However, concentrations of atmospheric SO2 and SO42- increase by only about eight per cent. The oxidation of DMS by OH increases by about 20 per cent. Oxidation of SO2 to SO42 by H2O2 increases seven per cent. The oxidation of SO2 by O-3 increases around six per cent. Overall sulfur emissions increase globally by around 4.6 per cent. Global mean aerosol optical depth (AOD) increases by 3.5 per cent. Global mean surface temperature decreases by 0.6 K. There is a notable difference between the impacts in the southern and northern hemispheres. In general, most processes and chemical species related to the sulfur cycle show a larger increase in the southern hemisphere, except SO2 and the oxidation of DMS by NO3. The global mean direct radiative forcing due to the DMS change is -0.05 Wm(-2) with total forcing (direct + indirect effects) of -0.48 Wm(-2). This perturbation on DMS flux leads to a mean surface temperature decrease in the southern hemisphere of around 0.8 K, compared with a decrease of 0.4 K in the northern hemisphere.</t>
  </si>
  <si>
    <t>[Gabric, Albert J.] Griffith Univ, Sch Environm, Nathan, Qld 4111, Australia; [Qu, Bo] Nantong Univ, Dept Sci, Nantong, Jiangsu, Peoples R China; [Rotstayn, Leon] CSIRO, Marine &amp; Atmospher Res, Aspendale, Vic, Australia; [Rotstayn, Leon] CSIRO, Ctr Australian Weather &amp; Climate Res, Canberra, ACT, Australia; [Rotstayn, Leon] Bur Meteorol, Melbourne, Vic, Australia; [Shephard, Jill M.] Murdoch Univ, Fac Sci &amp; Engn, Sch Biol Sci &amp; Biotechnol, Murdoch, WA 6150, Australia</t>
  </si>
  <si>
    <t>Griffith University; Nantong University; Commonwealth Scientific &amp; Industrial Research Organisation (CSIRO); Commonwealth Scientific &amp; Industrial Research Organisation (CSIRO); Bureau of Meteorology - Australia; Murdoch University</t>
  </si>
  <si>
    <t>Gabric, AJ (corresponding author), Griffith Univ, Sch Environm, Nathan, Qld 4111, Australia.</t>
  </si>
  <si>
    <t>ajgabric@gmail.com</t>
  </si>
  <si>
    <t>Liu, Yangang/H-6154-2011; Gabric, Albert J/S-1551-2017; Qu, Bo/L-8096-2015</t>
  </si>
  <si>
    <t>Qu, Bo/0000-0003-2701-0631; Shephard, Jill/0000-0002-4418-9891</t>
  </si>
  <si>
    <t>ASAC Grant from the Australian Antarctic Division</t>
  </si>
  <si>
    <t>We are grateful for the efforts of colleagues who are responsible for the development of the CSIRO climate model. We also gratefully acknowledge the financial assistance of an ASAC Grant from the Australian Antarctic Division.</t>
  </si>
  <si>
    <t>AUSTRALIAN BUREAU METEOROLOGY</t>
  </si>
  <si>
    <t>MELBOURNE</t>
  </si>
  <si>
    <t>GPO BOX 1289, MELBOURNE, VIC 3001, AUSTRALIA</t>
  </si>
  <si>
    <t>1836-716X</t>
  </si>
  <si>
    <t>AUST METEOROL OCEAN</t>
  </si>
  <si>
    <t>Aust. Meteorol. Oceanogr. J.</t>
  </si>
  <si>
    <t>10.22499/2.6303.002</t>
  </si>
  <si>
    <t>AS0GY</t>
  </si>
  <si>
    <t>WOS:000343957200002</t>
  </si>
  <si>
    <t>Reid, PA; Tully, MB; Klekociuk, AR; Krummel, PB; Rhodes, SK</t>
  </si>
  <si>
    <t>Reid, Phillip A.; Tully, Matthew B.; Klekociuk, Andrew R.; Krummel, Paul B.; Rhodes, Stephen K.</t>
  </si>
  <si>
    <t>Seasonal climate summary southern hemisphere (spring 2012): Warmer and drier across much of Australia, along with a new southern hemisphere sea ice extent record</t>
  </si>
  <si>
    <t>MADDEN-JULIAN OSCILLATION; LA-NINA</t>
  </si>
  <si>
    <t>Atmospheric, oceanic and sea ice conditions in the southern hemisphere are reviewed for the austral spring of 2012, with emphasis given to the Pacific basin climate indicators and Australian rainfall and temperature patterns. The Pacific basin saw a return to neutral ENSO conditions, with slightly warmer than normal equatorial SSTs just east of the date line and neutral SOI and multivariate ENSO indices. The Australian rainfall pattern was indicative of a positive Indian Ocean Dipole, with much of South Australia and other eastern Australian States experiencing much drier than normal conditions. Much of Western Australia, however, had a wetter than normal spring. November 2012 saw much of Australia's east and south experience one of the most significant spring heatwaves on record which, together with the dry conditions, would leave this area of the continent vulnerable to summer bushfires. Particularly strong cyclonic activity in the Ross Sea and off Queen Maud Land saw southern hemisphere sea ice reach a new record extent in September 2012 of approximately 19.45 million km(2).</t>
  </si>
  <si>
    <t>[Reid, Phillip A.] CAWCR, Bur Meteorol, Melbourne, Vic 3001, Australia; [Tully, Matthew B.; Rhodes, Stephen K.] Bur Meteorol, Melbourne, Vic, Australia; [Klekociuk, Andrew R.] Australian Antarctic Div, Kingston, Tas, Australia; [Krummel, Paul B.] CSIRO, CAWCR, Canberra, ACT, Australia</t>
  </si>
  <si>
    <t>Bureau of Meteorology - Australia; Bureau of Meteorology - Australia; Australian Antarctic Division; Commonwealth Scientific &amp; Industrial Research Organisation (CSIRO)</t>
  </si>
  <si>
    <t>Reid, PA (corresponding author), CAWCR, Bur Meteorol, GPO Box 1289, Melbourne, Vic 3001, Australia.</t>
  </si>
  <si>
    <t>Tully, Matthew/AAG-1730-2020; Krummel, Paul B/A-4293-2013; Klekociuk, Andrew/A-4498-2015</t>
  </si>
  <si>
    <t>Tully, Matthew/0000-0002-6153-5610; Krummel, Paul B/0000-0002-4884-3678; Klekociuk, Andrew/0000-0003-3335-0034</t>
  </si>
  <si>
    <t>10.22499/2.6303.008</t>
  </si>
  <si>
    <t>WOS:000343957200008</t>
  </si>
  <si>
    <t>White, CJ; Fox-Hughes, P</t>
  </si>
  <si>
    <t>White, Christopher J.; Fox-Hughes, Paul</t>
  </si>
  <si>
    <t>Seasonal climate summary southern hemisphere (summer 2012-13): Australia's hottest summer on record and extreme east coast rainfall</t>
  </si>
  <si>
    <t>Southern hemisphere circulation patterns and associated anomalies for austral summer 2012-13 are reviewed, with an emphasis on Pacific Basin climate indicators and Australian rainfall and temperature. Summer 2012-13 was a neutral ENSO period but saw an active burst of the Madden-Julian oscillation in January and February. The summer saw record-breaking temperatures across the country, with a widespread and persistent heatwave in January affecting all States and Territories and contributing to the warmest summer on record for Australia as a whole. Summer rainfall was below average Australia-wide, however extreme rainfall from tropical cyclone Oswald caused widespread record flooding in eastern Queensland and New South Wales at the end of January. In contrast, rainfall was below average in central and northern regions, particularly in the Northern Territory, due to the late onset of a weak Australian monsoon.</t>
  </si>
  <si>
    <t>[White, Christopher J.] CAWCR, Bur Meteorol, Melbourne, Vic 3001, Australia; [White, Christopher J.] Univ Tasmania, Sch Engn, Hobart, Tas 7001, Australia; [White, Christopher J.] Univ Tasmania, ICT, Hobart, Tas 7001, Australia; [Fox-Hughes, Paul] Tasmania &amp; Antarct Reg, Bur Meteorol, Hobart, Tas, Australia; [Fox-Hughes, Paul] Antarctic Climate &amp; Ecosystems Cooperat Res Ctr, Hobart, Tas, Australia</t>
  </si>
  <si>
    <t>Bureau of Meteorology - Australia; University of Tasmania; University of Tasmania; Bureau of Meteorology - Australia</t>
  </si>
  <si>
    <t>White, CJ (corresponding author), CAWCR, Bur Meteorol, GPO Box 1289, Melbourne, Vic 3001, Australia.</t>
  </si>
  <si>
    <t>Fox-Hughes, Paul D/G-8731-2013</t>
  </si>
  <si>
    <t>10.22499/2.6303.009</t>
  </si>
  <si>
    <t>WOS:000343957200009</t>
  </si>
  <si>
    <t>S</t>
  </si>
  <si>
    <t>Guly, H</t>
  </si>
  <si>
    <t>Duffin, CJ; Moody, RTJ; GardnerThorpe, C</t>
  </si>
  <si>
    <t>Guly, Henry</t>
  </si>
  <si>
    <t>Medical geologists during the Heroic Age of Antarctic exploration</t>
  </si>
  <si>
    <t>HISTORY OF GEOLOGY AND MEDICINE</t>
  </si>
  <si>
    <t>Geological Society Special Publication</t>
  </si>
  <si>
    <t>Although the Heroic Age of Antarctic exploration is best remembered for races to the South Pole, the majority of expeditions at the time had scientific aims with geology as one of the important sciences to be studied. Almost all the expeditions carried a doctor, who was usually expected to contribute to the science of the expedition and was often appointed more for his non-medical skills than his medical ones. On the Scotia expedition, Dr J. Harvey Pirie was appointed as doctor, bacteriologist and geologist, and on the Discovery expedition, Dr Reginald Koettlitz was appointed as botanist, but had earlier spent three years as geologist in the Arctic. Ernest Gourdon, the geologist on both French expeditions, was a medical student at the time (although some sources speak of him a being medically qualified) and he obtained doctorates in both geology and medicine for his work in the Antarctic. Perhaps the most important geological discovery of the era was made by Dr Edward Wilson who was a zoologist and artist rather than a geologist, but had a wide interest in natural history. This paper describes these doctors and their contribution to geology on these expeditions.</t>
  </si>
  <si>
    <t>Shrubbery, Yelverton PL20 7QH, Devon, England</t>
  </si>
  <si>
    <t>Guly, H (corresponding author), Shrubbery, Bedford Rd, Yelverton PL20 7QH, Devon, England.</t>
  </si>
  <si>
    <t>hguly@aol.com</t>
  </si>
  <si>
    <t>GEOLOGICAL SOC PUBLISHING HOUSE</t>
  </si>
  <si>
    <t>BATH</t>
  </si>
  <si>
    <t>UNIT 7, BRASSMILL ENTERPRISE CTR, BRASSMILL LANE, BATH BA1 3JN, AVON, ENGLAND</t>
  </si>
  <si>
    <t>0305-8719</t>
  </si>
  <si>
    <t>978-1-86239-356-1</t>
  </si>
  <si>
    <t>GEOL SOC SPEC PUBL</t>
  </si>
  <si>
    <t>Geol. Soc. Spec. Publ.</t>
  </si>
  <si>
    <t>10.1144/SP375.2</t>
  </si>
  <si>
    <t>Geology; History &amp; Philosophy Of Science</t>
  </si>
  <si>
    <t>Book Citation Index – Social Sciences &amp; Humanities (BKCI-SSH); Book Citation Index – Science (BKCI-S)</t>
  </si>
  <si>
    <t>Geology; History &amp; Philosophy of Science</t>
  </si>
  <si>
    <t>BB3VT</t>
  </si>
  <si>
    <t>WOS:000343084200027</t>
  </si>
  <si>
    <t>Hambrey, MJ; Davies, BJ</t>
  </si>
  <si>
    <t>Hambrey, MJ; Barker, PF; Barrett, PJ; Bowman, V; Davies, B; Smellie, JL; Tranter, M</t>
  </si>
  <si>
    <t>Hambrey, Michael J.; Davies, Bethan J.</t>
  </si>
  <si>
    <t>Antarctic Palaeoenvironments and Earth-Surface Processes in context</t>
  </si>
  <si>
    <t>ANTARCTIC PALAEOENVIRONMENTS AND EARTH-SURFACE PROCESSES</t>
  </si>
  <si>
    <t>The 26 papers in this volume comprise those presented at the International Symposium on Antarctic Earth Sciences in Edinburgh in July 2011, as well as several invited review papers, on Antarctic geology and geomorphology. These papers demonstrate a remarkable diversity of Earth science interests in the Antarctic. It is evident that during recent decades there has been a marked change in emphasis from pre-Cenozoic geology to topics related to the 34 million years of directly documented Antarctic glacial history. Increasing emphasis is being placed on the documentation and understanding of the palaeorecord of ice-sheet growth and decay. Furthermore, Antarctic Earth history is providing us with important information about potential future trends, as the impact of global warming is increasingly felt on the continent and its ocean.</t>
  </si>
  <si>
    <t>[Hambrey, Michael J.; Davies, Bethan J.] Aberystwyth Univ, Inst Geog &amp; Earth Sci, Ctr Glaciol &amp; Climate Change Consortium Wales, Aberystwyth SY23 3DB, Ceredigion, Wales</t>
  </si>
  <si>
    <t>Aberystwyth University</t>
  </si>
  <si>
    <t>Hambrey, MJ (corresponding author), Aberystwyth Univ, Inst Geog &amp; Earth Sci, Ctr Glaciol &amp; Climate Change Consortium Wales, Aberystwyth SY23 3DB, Ceredigion, Wales.</t>
  </si>
  <si>
    <t>mjh@aber.ac.uk</t>
  </si>
  <si>
    <t>Davies, Bethan/0000-0002-8636-1813</t>
  </si>
  <si>
    <t>978-1-86239-363-9</t>
  </si>
  <si>
    <t>10.1144/SP381.27</t>
  </si>
  <si>
    <t>Geology; Geosciences, Multidisciplinary</t>
  </si>
  <si>
    <t>Book Citation Index – Science (BKCI-S)</t>
  </si>
  <si>
    <t>BB3UK</t>
  </si>
  <si>
    <t>WOS:000343054800002</t>
  </si>
  <si>
    <t>Antarctic Palaeoenvironments and Earth-Surface Processes</t>
  </si>
  <si>
    <t>Book</t>
  </si>
  <si>
    <t>Nyvlt, Daniel/J-6504-2019</t>
  </si>
  <si>
    <t>Nyvlt, Daniel/0000-0002-6876-490X</t>
  </si>
  <si>
    <t>WOS:000343054800029</t>
  </si>
  <si>
    <t>Elliot, DH</t>
  </si>
  <si>
    <t>Elliot, David H.</t>
  </si>
  <si>
    <t>The geological and tectonic evolution of the Transantarctic Mountains: a review</t>
  </si>
  <si>
    <t>NORTHERN VICTORIA-LAND; LARGE IGNEOUS PROVINCE; MARIE-BYRD-LAND; ANTARCTIC RIFT SYSTEM; MANTLE-PLUME ACTIVITY; SHRIMP ZIRCON AGES; U-PB GEOCHRONOLOGY; WEST-ANTARCTICA; NEW-ZEALAND; FISSION-TRACK</t>
  </si>
  <si>
    <t>The development of the Transantarctic Mountains was initiated with the rifting of Rodinia and the formation of a late Neoproterozoic passive continental margin. In Cambrian time this rift setting evolved into an active margin with batholith emplacement into deformed and lightly metamorphosed upper Neoproterozoic-Cambrian strata, creating the Ross Orogen. Denudation and erosion of the Ross Orogen led to the formation of the pre-Devonian Kukri Erosion Surface on which Devonian quartzose sandstones accumulated in a continental setting. Palaeozoic magmatic arcs were intermittently active along the distal Panthalassan margin. Intra-cratonic basins developed in Permian time, one of which evolved into a foreland basin clearly related to a Permo-Triassic magmatic arc. The Palaeozoic-early Mesozoic arcs can be traced into both Australasia and South America. In Early Jurassic time the margin migrated outboard simultaneously with the advent of proximal silicic volcanism, emplacement of the Ferrar Large Igneous Province and Gondwana break-up. These events marked the onset of plate margin reorganization, and with it the early uplift of the Transantarctic Mountains. During Cretaceous and later time episodic uplift of the Transantarctic Mountains was accompanied by formation of a major crustal and lithospheric boundary marking the edge of the East Antarctic craton and the regions of crustal attenuation in the Ross (West Antarctic Rift System) and Weddell embayments.</t>
  </si>
  <si>
    <t>[Elliot, David H.] Ohio State Univ, Byrd Polar Res Ctr, Columbus, OH 43210 USA; [Elliot, David H.] Ohio State Univ, Sch Earth Sci, Columbus, OH 43210 USA</t>
  </si>
  <si>
    <t>University System of Ohio; Ohio State University; University System of Ohio; Ohio State University</t>
  </si>
  <si>
    <t>Elliot, DH (corresponding author), Ohio State Univ, Byrd Polar Res Ctr, Columbus, OH 43210 USA.</t>
  </si>
  <si>
    <t>elliot.1@osu.edu</t>
  </si>
  <si>
    <t>Yakymchuk, Chris/H-1297-2013</t>
  </si>
  <si>
    <t>10.1144/SP381.14</t>
  </si>
  <si>
    <t>WOS:000343054800003</t>
  </si>
  <si>
    <t>Foley, DJ; Stump, E; van Soest, M; Whipple, KX; Hodges, KV</t>
  </si>
  <si>
    <t>Foley, D. J.; Stump, E.; van Soest, M.; Whipple, K. X.; Hodges, K. V.</t>
  </si>
  <si>
    <t>Differential Movement across Byrd Glacier, Antarctica, as indicated by Apatite (U-Th)/He thermochronology and geomorphological analysis</t>
  </si>
  <si>
    <t>NORTHERN VICTORIA-LAND; TRANSANTARCTIC MOUNTAINS; FISSION-TRACK; UPLIFT; GEOCHRONOLOGY; CONSTRAINTS; EVOLUTION</t>
  </si>
  <si>
    <t>The objectives of this study were to assess possible differential movement across an inferred fault beneath Byrd Glacier, and to measure the timing of unroofing in this portion of the Transantarctic Mountains. Apatites separated from rock samples collected from known elevations at various locations north and south of Byrd Glacier were dated using single crystal (U-Th)/He analysis. Results indicate a denudation rate of c. 0.04 mm a (-1) in the time range c. 140-40 Ma. Distinct age v. elevation plots from north and south of Byrd Glacier indicate an offset of c. 1 km across the glacier with south side up. A Landsat image of the Byrd Glacier area was overlain on an Aster Global Digital Elevation Model and spot elevations of the Kukri erosion surface to the north and south of Byrd Glacier were mapped. The difference in elevation of the erosion surface across Byrd Glacier also shows an offset of c. 1 km with south side up. Results support a model of relatively uniform cooling and unroofing of the region with later, post-40 Ma fault displacement that uplifted the south side of Byrd Glacier relative to the north.</t>
  </si>
  <si>
    <t>[Foley, D. J.; Stump, E.; van Soest, M.; Whipple, K. X.; Hodges, K. V.] Arizona State Univ, Sch Earth &amp; Space Explorat, Tempe, AZ 85287 USA</t>
  </si>
  <si>
    <t>Arizona State University; Arizona State University-Tempe</t>
  </si>
  <si>
    <t>Stump, E (corresponding author), Arizona State Univ, Sch Earth &amp; Space Explorat, Tempe, AZ 85287 USA.</t>
  </si>
  <si>
    <t>ed.stump@asu.edu</t>
  </si>
  <si>
    <t>Hodges, Kip/A-7992-2009</t>
  </si>
  <si>
    <t>Hodges, Kip/0000-0003-2805-8899</t>
  </si>
  <si>
    <t>10.1144/SP381.25</t>
  </si>
  <si>
    <t>WOS:000343054800004</t>
  </si>
  <si>
    <t>Bradshaw, MA</t>
  </si>
  <si>
    <t>Bradshaw, Margaret A.</t>
  </si>
  <si>
    <t>The Taylor Group (Beacon Supergroup): the Devonian sediments of Antarctica</t>
  </si>
  <si>
    <t>SOUTHERN VICTORIA-LAND; CENTRAL TRANSANTARCTIC MOUNTAINS; QUEEN MAUD RANGE; ROSS SEA REGION; MARIE BYRD LAND; OHIO RANGE; AZTEC SILTSTONE; HORLICK FORMATION; WEST ANTARCTICA; GLACIER AREA</t>
  </si>
  <si>
    <t>The Taylor Group, the lower division of the Beacon Supergroup, comprises mainly quartzose sandstones of Devonian age deposited after the development of the Kukri Erosion Surface across the Cambrian Ross orogen. Devonian sediments accumulated in a McMurdo Basin that now incorporates most of the Transantarctic Mountains, and a larger Ellsworth Basin that extends from West Antarctica into southern Africa. In southern Victoria Land (McMurdo Basin) the seven formations total around 1200 m in thickness. Sequence stratigraphy suggests five sedimentary cycles, the lower four of which may show shallow marine influence. Provenance studies indicate derivation solely from Ross Orogen sources. The Taylor Group in the central Transantarctic Mountains consists of two thin formations, only one of which is extensive. In the Ellsworth Basin, Taylor Group equivalents rest concordantly on thick piles of post-Ross Palaeozoic sediment. Shallow-water Devonian sediments in the Ohio Range contain a marine fauna linked with those of the Ellsworth Mountains, southern Africa, South America, New Zealand and Australia. A seaway probably existed along the Pacific edge of the East Antarctic craton, allowing these faunal links, and may also have communicated with the McMurdo Basin to drive the five sedimentary sequences.</t>
  </si>
  <si>
    <t>Univ Canterbury, Dept Geol Sci, Christchurch 8140, New Zealand</t>
  </si>
  <si>
    <t>University of Canterbury</t>
  </si>
  <si>
    <t>Bradshaw, MA (corresponding author), Univ Canterbury, Dept Geol Sci, Private Bag 4800, Christchurch 8140, New Zealand.</t>
  </si>
  <si>
    <t>margaret.bradshaw@canterbury.ac.nz</t>
  </si>
  <si>
    <t>10.1144/SP381.23</t>
  </si>
  <si>
    <t>WOS:000343054800006</t>
  </si>
  <si>
    <t>Reguero, MA; Tambussi, CP; Coria, RA; Marenssi, SA</t>
  </si>
  <si>
    <t>Reguero, Marcelo A.; Tambussi, Claudia P.; Coria, Rodolfo A.; Marenssi, Sergio A.</t>
  </si>
  <si>
    <t>Late Cretaceous dinosaurs from the James Ross Basin, West Antarctica</t>
  </si>
  <si>
    <t>SEYMOUR-ISLAND; MARAMBIO GROUP; FOSSIL LOON; STRATIGRAPHY; BIOGEOGRAPHY; THEROPOD; EVOLUTION; PATTERNS; CHONDRICHTHYES; SEDIMENTOLOGY</t>
  </si>
  <si>
    <t>The fossil record of terrestrial vertebrates from the Late Cretaceous of Antarctica is currently composed of non-avian and avian dinosaurs from the marine sediments of the James Ross Basin, Antarctic Peninsula (West Antarctica). Although two dinosaurian formational assemblages (Late Campanian/Early Maastrichtian and Late Maastrichtian) are known, the record is still scattered, and evolutionary scenarios are tentative. Ten non-avian dinosaurs have been reported from Coniacian to Maastrichtian deposits, along with possible sauropod footprints of Early Maastrichtian age from Snow Hill Island. Five avian dinosaurs have been recorded or described exclusively from the Maastrichtian. The presence of an advanced titanosaur with characteristic procoelous mid-caudal vertebrae in Snow Hill Island Formation at Santa Marta Cove implies that the group achieved a global distribution by the Late Campanian. The Late Campanian/Early Maastrichtian non-avian dinosaur (ankylosaurs, ornithopods and dromaeosaurid theropods) clades probably attained a near-cosmopolitan distribution before the Late Cretaceous, and some aspects of this hallmark 'Gondwanan' fauna may therefore reflect climate-driven provinciality, not vicariant evolution driven by continental fragmentation. Antarctic Late Cretaceous avian dinosaurs are rare. They are restricted to the Maastrichtian and consist of a cariamid?, gaviids, a charadriiform and the basal Anseriformes Vegavis, and provide the first strong evidence for a basal radiation of birds known to exist in the Cretaceous.</t>
  </si>
  <si>
    <t>[Reguero, Marcelo A.; Tambussi, Claudia P.] Museo La Plata, Div Paleontol Vertebrados, La Plata, Buenos Aires, Argentina; [Coria, Rodolfo A.] Univ Nacl Rio Negro, Sede Alto Valle Subsecretari Cultura Neuquen Muse, Plaza Huincul, Neuquen, Argentina; [Reguero, Marcelo A.; Marenssi, Sergio A.] Inst Antartico Argentino, Buenos Aires, DF, Argentina; [Reguero, Marcelo A.; Tambussi, Claudia P.; Coria, Rodolfo A.; Marenssi, Sergio A.] Consejo Nacl Invest Cient &amp; Tecn CONICET, Buenos Aires, DF, Argentina</t>
  </si>
  <si>
    <t>National University of La Plata; Museo La Plata; Instituto Antartico Argentino; Consejo Nacional de Investigaciones Cientificas y Tecnicas (CONICET)</t>
  </si>
  <si>
    <t>Reguero, MA (corresponding author), Museo La Plata, Div Paleontol Vertebrados, Paseo Bosque S-N,B1900FWA, La Plata, Buenos Aires, Argentina.</t>
  </si>
  <si>
    <t>regui@fcnym.unlp.edu.ar</t>
  </si>
  <si>
    <t>Coria, Rodolfo/JXM-9875-2024; Reguero, Marcelo A./JHS-4893-2023</t>
  </si>
  <si>
    <t>10.1144/SP381.20</t>
  </si>
  <si>
    <t>WOS:000343054800007</t>
  </si>
  <si>
    <t>Saucede, T; Pierrat, B; Brayard, A; David, B</t>
  </si>
  <si>
    <t>Saucede, Thomas; Pierrat, Benjamin; Brayard, Arnaud; David, Bruno</t>
  </si>
  <si>
    <t>Palaeobiogeography of Austral echinoid faunas: a first quantitative approach</t>
  </si>
  <si>
    <t>CRETACEOUS ECHINOIDS; DRAKE PASSAGE; BIOGEOGRAPHY</t>
  </si>
  <si>
    <t>Few studies have been devoted to the palaeobiogeography of Antarctic echinoids, all of them analysing and discussing distribution patterns in a qualitative way. The present work aims at exploring the evolution of palaeobiogeographic relationships of Austral echinoid faunas through four time intervals, from the Maastrichtian to the present day, using a quantitative approach: the Bootstrapped Spanning Network procedure. Analyses were successfully performed and improve our knowledge of biogeographic relationships between the different Austral regions. Biogeographic maps were produced that can be easily and intuitively discussed. Our results mostly agree with palaeobiogeographic studies performed on other benthic invertebrates and are congruent with the palaeogeographic evolution of Antarctica. However, two main points markedly contrast with other works: there is no evidence of an Austral provincialism at the end of the Cretaceous and early Cenozoic, and echinoid data suggest isolation of southern Argentina from other Austral regions, including Antarctica, in the Early Miocene.</t>
  </si>
  <si>
    <t>[Saucede, Thomas; Pierrat, Benjamin; Brayard, Arnaud; David, Bruno] Univ Bourgogne, UMR CNRS Biogeosci 6282, F-21000 Dijon, France</t>
  </si>
  <si>
    <t>Universite de Bourgogne</t>
  </si>
  <si>
    <t>Saucede, T (corresponding author), Univ Bourgogne, UMR CNRS Biogeosci 6282, 6 Blvd Gabriel, F-21000 Dijon, France.</t>
  </si>
  <si>
    <t>thomas.saucede@u-bourgogne.fr</t>
  </si>
  <si>
    <t>DAVID, Bruno/N-8798-2013; Brayard, Arnaud/E-4711-2011; Brayard, Arnaud/AAH-3075-2020</t>
  </si>
  <si>
    <t>Brayard, Arnaud/0000-0003-1304-6553; Brayard, Arnaud/0000-0003-1304-6553</t>
  </si>
  <si>
    <t>10.1144/SP381.6</t>
  </si>
  <si>
    <t>WOS:000343054800008</t>
  </si>
  <si>
    <t>Jadwiszczak, P</t>
  </si>
  <si>
    <t>Jadwiszczak, Piotr</t>
  </si>
  <si>
    <t>Taxonomic diversity of Eocene Antarctic penguins: a changing picture</t>
  </si>
  <si>
    <t>LA-MESETA FORMATION; SEYMOUR-ISLAND; WEST ANTARCTICA; FOSSIL PENGUINS; SOUTH-AMERICA; SPHENISCIFORMES; RECORD; AVES; PENINSULA; VALLEY</t>
  </si>
  <si>
    <t>Eocene Antarctic penguins, at least 10 species in six genera, are known only from the La Meseta Formation, Seymour Island, Antarctic Peninsula. They are most numerous (in terms of individuals, body sizes and taxa) in Late Eocene strata. Specimens from three species and phylogenetic analysis presented in this work shed new light on the systematics and evolution of Antarctic Sphenisciformes. The earliest reported bones of giant penguins from the genus Anthropornis set the conservative estimate of its divergence time at c. 53 Ma (Early Eocene). They also document the oldest known appearance of quite a high diversity of Sphenisciformes; altogether, three morphotypes (differing in size) have been found within the same sampling locality. A newly described, relatively small and intriguingly elongated, tarsometatarsus from the Late Eocene of the La Meseta Formation, belonging to another genus of large-sized Antarctic penguins (Palaeeudyptes), suggests the possible existence of an unnamed species within this long-established genus. The phylogenetic analysis based on tarsometatarsal features shows that the relationship between 'Archaeospheniscus' wimani and three species of Delphinornis (all of them co-existed during the Late Eocene time period) does not appear to be close enough to justify merging them into a single genus (as was recently postulated).</t>
  </si>
  <si>
    <t>Univ Bialystok, Inst Biol, PL-15950 Bialystok, Poland</t>
  </si>
  <si>
    <t>University of Bialystok</t>
  </si>
  <si>
    <t>Jadwiszczak, P (corresponding author), Univ Bialystok, Inst Biol, Swierkowa 20B, PL-15950 Bialystok, Poland.</t>
  </si>
  <si>
    <t>piotrj@uwb.edu.pl</t>
  </si>
  <si>
    <t>Jadwiszczak, Piotr/P-4336-2019</t>
  </si>
  <si>
    <t>Jadwiszczak, Piotr/0000-0002-5263-1125</t>
  </si>
  <si>
    <t>10.1144/SP381.7</t>
  </si>
  <si>
    <t>WOS:000343054800009</t>
  </si>
  <si>
    <t>Barker, PF; Lawver, LA; Larter, RD</t>
  </si>
  <si>
    <t>Barker, P. F.; Lawver, L. A.; Larter, R. D.</t>
  </si>
  <si>
    <t>Heat-flow determinations of basement age in small oceanic basins of the southern central Scotia Sea</t>
  </si>
  <si>
    <t>ANTARCTIC CIRCUMPOLAR CURRENT; DRAKE PASSAGE; TECTONIC EVOLUTION; TRENCH COLLISION; DEPTH RELATION; JANE BASIN; ARC; CIRCULATION; RIDGE; CRUST</t>
  </si>
  <si>
    <t>Results are reported from seven heat flow stations in small basins of the southern part of the central Scotia Sea (CSS), undertaken in order to determine basement ages. The basins are small, which makes magnetic anomaly-based ages ambiguous and preserves basin subsidence that may have been anomalous as a result of local factors. The fact that these small basins formed in a back-arc setting adds additional uncertainty to depth-based age estimates. The results confirm that basin extension commenced in the Eocene, and indirectly support a relatively young, back-arc origin for the northern CSS, but do not affect previously published suggestions of the age of onset of the Antarctic Circumpolar Current.</t>
  </si>
  <si>
    <t>[Barker, P. F.; Larter, R. D.] British Antarctic Survey, Cambridge CB3 0ET, England; [Lawver, L. A.] Univ Texas Austin, Inst Geophys, Austin, TX 78758 USA</t>
  </si>
  <si>
    <t>UK Research &amp; Innovation (UKRI); Natural Environment Research Council (NERC); NERC British Antarctic Survey; University of Texas System; University of Texas Austin</t>
  </si>
  <si>
    <t>Larter, RD (corresponding author), British Antarctic Survey, Madingley Rd, Cambridge CB3 0ET, England.</t>
  </si>
  <si>
    <t>rdla@bas.ac.uk</t>
  </si>
  <si>
    <t>NERC [bas0100027] Funding Source: UKRI</t>
  </si>
  <si>
    <t>NERC(UK Research &amp; Innovation (UKRI)Natural Environment Research Council (NERC))</t>
  </si>
  <si>
    <t>10.1144/SP381.3</t>
  </si>
  <si>
    <t>WOS:000343054800010</t>
  </si>
  <si>
    <t>White, DA</t>
  </si>
  <si>
    <t>White, Duanne A.</t>
  </si>
  <si>
    <t>Cenozoic landscape and ice drainage evolution in the Lambert Glacier-Amery Ice Shelf system</t>
  </si>
  <si>
    <t>PRINCE-CHARLES-MOUNTAINS; PRYDZ BAY-REGION; EAST ANTARCTICA; RADOK LAKE; PAGODROMA GROUP; SHEET; HISTORY; GRABEN; OASIS; SEDIMENTATION</t>
  </si>
  <si>
    <t>Landforms and sediments in the Prince Charles Mountains record the timing and magnitude of Cenozoic palaeotopographic changes in the Lambert Glacier-Amery Ice Shelf system. A review of geomorphic and sedimentological evidence indicates that considerable (&gt; 1-2 km) glacial incision into a pre-glacial palaeosurface occurred along the major outlet glaciers during the Cenozoic. This erosion was in turn the likely driver for uplift that averaged c. 50 m/Ma along the flank of the Amery Ice Shelf since at least the mid-Miocene Epoch. The volume of eroded material is an order of magnitude greater than the quantity of sediment presently preserved in Prydz Bay, suggesting considerable export of Cenozoic sediment off the continental shelf. The magnitude of erosion recorded in the Prince Charles Mountains is sufficient to have focussed Cenozoic ice-drainage patterns, but was too slow to have driven Quaternary changes in ice volume.</t>
  </si>
  <si>
    <t>[White, Duanne A.] Macquarie Univ, Sydney, NSW 2109, Australia; [White, Duanne A.] Univ Canberra, Inst Appl Ecol, Canberra, ACT 2601, Australia</t>
  </si>
  <si>
    <t>Macquarie University; University of Canberra</t>
  </si>
  <si>
    <t>White, DA (corresponding author), Macquarie Univ, Sydney, NSW 2109, Australia.</t>
  </si>
  <si>
    <t>duanne.white@canberra.edu.au</t>
  </si>
  <si>
    <t>White, Duanne A/E-6919-2012</t>
  </si>
  <si>
    <t>White, Duanne/0000-0003-0740-2072</t>
  </si>
  <si>
    <t>10.1144/SP381.15</t>
  </si>
  <si>
    <t>WOS:000343054800011</t>
  </si>
  <si>
    <t>Hall, BL; Denton, GH; Stone, JO; Conway, H</t>
  </si>
  <si>
    <t>Hall, Brenda L.; Denton, George H.; Stone, John O.; Conway, Howard</t>
  </si>
  <si>
    <t>History of the grounded ice sheet in the Ross Sea sector of Antarctica during the Last Glacial Maximum and the last termination</t>
  </si>
  <si>
    <t>PLEISTOCENE-HOLOCENE RETREAT; PINE ISLAND GLACIER; MELTWATER PULSE 1A; TERRA-NOVA BAY; WEST ANTARCTICA; LATE WISCONSIN; TAYLOR VALLEY; VICTORIA LAND; MCMURDO SOUND; SURFACE FLUCTUATIONS</t>
  </si>
  <si>
    <t>Knowledge of variations in the extent and thickness of the Antarctic Ice Sheet is key for understanding the behaviour of Southern Hemisphere glaciers during the last ice age and for addressing issues involving global sea level, ocean circulation and climate change. Insight into past ice-sheet behaviour also will aid predictions of future ice-sheet stability. Here, we review terrestrial evidence for changes in ice geometry that occurred in the Ross Sea sector of Antarctica at the Last Glacial Maximum (LGM) and during subsequent deglaciation. During the LGM, a thick grounded ice sheet extended close to the continental shelf edge in the Ross Embayment. This ice reached surface elevations of more than 1000 m along the coast of the central and southern Transantarctic Mountains and Marie Byrd Land. The local LGM occurred by 18 ka on the coast, but as late as 7-10 ka inland. The first significant thinning took place at roughly 13 ka, with most ice loss happening in the Holocene. This history makes it unlikely that the Ross Sea sector was a major contributor to meltwater pulse 1A (MWP 1A). Resolution of a possible Antarctic origin for MWP 1A awaits detailed reconstructions from all sectors of the ice sheet.</t>
  </si>
  <si>
    <t>[Hall, Brenda L.; Denton, George H.] Univ Maine, Climate Change Inst, Orono, ME 04469 USA; [Hall, Brenda L.; Denton, George H.] Univ Maine, Sch Earth &amp; Climate Sci, Orono, ME USA; [Stone, John O.; Conway, Howard] Univ Washington, Dept Earth &amp; Space Sci, Seattle, WA 98195 USA</t>
  </si>
  <si>
    <t>University of Maine System; University of Maine Orono; University of Maine System; University of Maine Orono; University of Washington; University of Washington Seattle</t>
  </si>
  <si>
    <t>Hall, BL (corresponding author), Univ Maine, Climate Change Inst, Orono, ME 04469 USA.</t>
  </si>
  <si>
    <t>BrendaH@maine.edu</t>
  </si>
  <si>
    <t>Conway, Howard/0000-0003-4634-3474</t>
  </si>
  <si>
    <t>Office of Polar Programs (OPP); Directorate For Geosciences [0838818, 0944150] Funding Source: National Science Foundation; Office of Polar Programs (OPP); Directorate For Geosciences [0944307, 0838615] Funding Source: National Science Foundation</t>
  </si>
  <si>
    <t>Office of Polar Programs (OPP); Directorate For Geosciences(National Science Foundation (NSF)NSF - Directorate for Geosciences (GEO)); Office of Polar Programs (OPP); Directorate For Geosciences(National Science Foundation (NSF)NSF - Directorate for Geosciences (GEO))</t>
  </si>
  <si>
    <t>10.1144/SP381.5</t>
  </si>
  <si>
    <t>WOS:000343054800012</t>
  </si>
  <si>
    <t>Strand, K; Köykkä, J; Lamminen, J</t>
  </si>
  <si>
    <t>Strand, K.; Koykka, J.; Lamminen, J.</t>
  </si>
  <si>
    <t>Late Eocene Glaciofluvial to Glaciomarine transition in the Lambert Graben: constraints from lithofacies and mineralogy of ODP Site 1166 sediments, Prydz Bay, Antarctica</t>
  </si>
  <si>
    <t>BRAIDED-RIVER; SITE-1166; FACIES; BASIN; ENVIRONMENTS; DYNAMICS; GLACIER; MARINE</t>
  </si>
  <si>
    <t>The transition from a glaciofluvial to a glacial sedimentary environment contains critical information for evaluating the onset of glaciation and early glacial dynamics in Antarctica. This study presents investigations of a sediment core from Ocean Drilling Program Leg 188, Site 1166, on the continental shelf in Prydz Bay, in order to provide evidence for the first occurrence of late Eocene glaciers in the Lambert Graben, East Antarctica. The Lambert Graben is a large fault-bounded structure, at least 700 km long and 100 km wide, and presently hosts the Lambert Glacier-Amery Ice Shelf system. The core consists of middle Eocene glacially influenced alluvial plain sediments, c. 110 m in total thickness that are overlain by a c. 20 m-thick early Oligocene glaciomarine succession. The upper contact is a major unconformity. Grain-surface microtextures, such as fractured plates and a relatively high content of ilmenite in alluvial outwash-plain sediments, indicate mixed northern and southern Prince Charles Mountains provenance and initiation of glaciers as early as middle Eocene time. Distribution of the major heavy minerals indicates a change to garnet-rich granulite terrain in sediment-supply during later ice-sheet evolution, when a lack of detritus from the southern Prince Charles Mountains becomes apparent. Glacier advance was no longer restricted to the Lambert Graben and the drainage area became wider. Good preservation of these low-stand glaciofluvial outwash-plain deposits was related to regional subsidence that progressed to a marine transgression and glaciomarine deposition when ice was able to advance to the continental shelf edge.</t>
  </si>
  <si>
    <t>[Strand, K.; Koykka, J.] Univ Oulu, Thule Inst, FIN-90014 Oulu, Finland; [Lamminen, J.] Boliden Mineral AB, SE-10120 Stockholm, Sweden</t>
  </si>
  <si>
    <t>University of Oulu; Boliden AB</t>
  </si>
  <si>
    <t>Strand, K (corresponding author), Univ Oulu, Thule Inst, POB 7300, FIN-90014 Oulu, Finland.</t>
  </si>
  <si>
    <t>kari.strand@oulu.fi</t>
  </si>
  <si>
    <t>Koykka, Juha/0000-0002-0953-4944</t>
  </si>
  <si>
    <t>10.1144/SP381.24</t>
  </si>
  <si>
    <t>WOS:000343054800013</t>
  </si>
  <si>
    <t>Pekar, SF; Speece, MA; Wilson, GS; Sunwall, DS; Tinto, KJ</t>
  </si>
  <si>
    <t>Pekar, Stephen F.; Speece, Marvin A.; Wilson, Gary S.; Sunwall, David S.; Tinto, Kirsty J.</t>
  </si>
  <si>
    <t>The Offshore New Harbour Project: deciphering the Middle Miocene through Late Eocene seismic stratigraphy of Offshore New Harbour, western Ross Sea, Antarctica</t>
  </si>
  <si>
    <t>VICTORIA LAND BASIN; ICE-SHEET; GLACIAL HISTORY; CONTINENTAL-SHELF; MCMURDO SOUND; DRILL HOLE; OLIGOCENE; CLIMATE; RECORDS; LEVEL</t>
  </si>
  <si>
    <t>In the Austral spring of 2008, over 48 km of multi-channel seismic data were collected offshore of New Harbour, which is located in the western most Ross Sea, Antarctica. This project is part of the ANDRILL (Antarctic Geological Drilling) Programme's Offshore New Harbour Project, with its aim to investigate the stratigraphic and tectonic history of the inner shelf of southern McMurdo Sound. Correlating the seismic data to CIROS-1 and ANDRILL AND-2A drill-holes provided age dates ranging from Late Miocene to at least Late Eocene for the reflectors and lithological descriptions for the seismic units. This permitted development of a glacial history of this area, resulting in dividing the seismic data into three units: an Upper Eocene-Lower Oligocene unit; an Upper Oligocene-Lower Miocene unit; and a Middle Miocene and younger unit. The seismic section below 700 mbsf has two possible interpretations: (1) substantial Eocene strata are present downdip of CIROS-1, which would represent a potential future-drilling objective for the ANDRILL Programme; or (2) these reflectors may be equivalent to Devonian strata recovered at the Cape Roberts 3 as the two-way traveltime of Eocene and Devonian strata are nearly identical, making it difficult to discriminate between them in seismic data.</t>
  </si>
  <si>
    <t>[Pekar, Stephen F.] CUNY, Queens Coll, Sch Earth &amp; Environm Sci, Flushing, NY 11367 USA; [Pekar, Stephen F.; Tinto, Kirsty J.] Columbia Univ, Lamont Doherty Earth Observ, Palisades, NY 10964 USA; [Speece, Marvin A.; Sunwall, David S.] Montana Tech Univ, Geophys Engn Dept, Butte, MT 59701 USA; [Wilson, Gary S.] Univ Otago, Dept Marine Sci, Dunedin, New Zealand</t>
  </si>
  <si>
    <t>City University of New York (CUNY) System; Queens College NY (CUNY); Columbia University; University of Montana System; Montana Technological University; University of Montana; University of Otago</t>
  </si>
  <si>
    <t>Pekar, SF (corresponding author), CUNY, Queens Coll, Sch Earth &amp; Environm Sci, Flushing, NY 11367 USA.</t>
  </si>
  <si>
    <t>stephen.pekar@qc.cuny.edu</t>
  </si>
  <si>
    <t>Wilson, Gary S/B-3803-2010</t>
  </si>
  <si>
    <t>Wilson, Gary/0000-0003-0025-3641</t>
  </si>
  <si>
    <t>10.1144/SP381.2</t>
  </si>
  <si>
    <t>WOS:000343054800014</t>
  </si>
  <si>
    <t>Anderson, JB; Kirshner, AE; Simms, AR</t>
  </si>
  <si>
    <t>Anderson, John B.; Kirshner, Alexandra E.; Simms, Alexander R.</t>
  </si>
  <si>
    <t>Constraints on Antarctic Ice Sheet configuration during and following the Last Glacial Maximum and its episodic contribution to sea-level rise</t>
  </si>
  <si>
    <t>PINE ISLAND BAY; GROUNDING-LINE RETREAT; WESTERN ROSS-SEA; WEDDELL SEA; LATE PLEISTOCENE; CONTINENTAL-SHELF; MARGUERITE BAY; RADIOCARBON CONSTRAINTS; GEOMORPHIC FEATURES; DEGLACIAL HISTORY</t>
  </si>
  <si>
    <t>Marine geological studies provide a record of diachronous expansion and retreat of the Antarctic Peninsula Ice Sheet, West Antarctic Ice Sheet and East Antarctic Ice Sheet during the past c. 30 000 cal yr BP. Retreat of these ice sheets and Antarctica's contribution to sea-level rise was largely complete by the early Holocene. Estimates of ice sheet thickness, based on maximum grounding depths, range from 640 to 1640 m on the inner continental shelf. Grounding depths on the outer continental shelf equate to minimum thicknesses of 410-950 m. Geomorphic features indicate that retreat from the continental shelf was mostly step-wise around the continent, a result of the different factors that control ice sheet behaviour and the degree to which these factors vary regionally. Thus, the nature of post-LGM (Last Glacial Maximum) sea-level rise was episodic and believed to have been punctuated by rapid pulses triggered by individual ice stream collapse. Most of these pulses would have been of sub-metre magnitudes and below the resolution of existing sea-level curves, but they would have had significant impact on coastal evolution, especially along low-gradient coasts.</t>
  </si>
  <si>
    <t>[Anderson, John B.; Kirshner, Alexandra E.] Rice Univ, Houston, TX 77005 USA; [Simms, Alexander R.] Univ Calif Santa Barbara, Dept Earth Sci, Santa Barbara, CA 93106 USA</t>
  </si>
  <si>
    <t>Rice University; University of California System; University of California Santa Barbara</t>
  </si>
  <si>
    <t>Anderson, JB (corresponding author), Rice Univ, Houston, TX 77005 USA.</t>
  </si>
  <si>
    <t>johna@rice.edu</t>
  </si>
  <si>
    <t>IPO, PAGES/JXY-7546-2024; Simms, Alexander R/E-5609-2012; Kirshner, Alexandra E/E-5151-2011</t>
  </si>
  <si>
    <t>Simms, Alexander/0000-0001-5034-2189</t>
  </si>
  <si>
    <t>Division Of Earth Sciences; Directorate For Geosciences [1023724] Funding Source: National Science Foundation; Office of Polar Programs (OPP); Directorate For Geosciences [0837925] Funding Source: National Science Foundation</t>
  </si>
  <si>
    <t>Division Of Earth Sciences; Directorate For Geosciences(National Science Foundation (NSF)NSF - Directorate for Geosciences (GEO)); Office of Polar Programs (OPP); Directorate For Geosciences(National Science Foundation (NSF)NSF - Directorate for Geosciences (GEO))</t>
  </si>
  <si>
    <t>10.1144/SP381.13</t>
  </si>
  <si>
    <t>WOS:000343054800015</t>
  </si>
  <si>
    <t>Hochmuth, K; Gohl, K</t>
  </si>
  <si>
    <t>Hochmuth, Katharina; Gohl, Karsten</t>
  </si>
  <si>
    <t>Glaciomarine sedimentation dynamics of the Abbot glacial trough of the Amundsen Sea Embayment shelf, West Antarctica</t>
  </si>
  <si>
    <t>PINE ISLAND BAY; OUTER CONTINENTAL-SHELF; ICE-SHEET; RECONSTRUCTION; RETREAT</t>
  </si>
  <si>
    <t>Sedimentary sequences of the continental shelf of the eastern Amundsen Sea Embayment in West Antarctica represent records of past outlet glaciers and ice streams. The former flow of ice streams was channelled through glacial troughs, which now form large bathymetric depressions. We therefore selected one of the largest troughs, the Abbot glacial trough in the outer shelf, to analyse its glacial depositional and erosional history, based on horizon-stratigraphy derived from seismic data. Several basement highs channellized the delivery of sediment and controlled the grounded ice sheet in early glacial periods. Both pre-glacial and full glacial seismic facies were identified. Glacially transported and deposited sediments extended the shelf break by 75 km from the pre-glacial shelf-edge. The main Abbot glacial trough contains sediment from confluent ice flows of the Pine Island/Thwaites, Cosgrove and Abbot Glacier systems, as well as smaller contributions from local ice streams emanating from Thurston Island. Sherman Island of Peacock Sound played an important role in the dynamics of the Abbot Glacier by dividing the ice flow into two ice streams, which interfered with the main glacial sediment transport paths from the south. This study contributes to an understanding of the formation of the Amundsen Sea shelf and the extent of past ice sheet advances.</t>
  </si>
  <si>
    <t>[Hochmuth, Katharina; Gohl, Karsten] Alfred Wegener Inst Polar &amp; Marine Res, Dept Geosci, D-27568 Bremerhaven, Germany</t>
  </si>
  <si>
    <t>Helmholtz Association; Alfred Wegener Institute, Helmholtz Centre for Polar &amp; Marine Research</t>
  </si>
  <si>
    <t>Hochmuth, K (corresponding author), Alfred Wegener Inst Polar &amp; Marine Res, Dept Geosci, Alten Hafen 26, D-27568 Bremerhaven, Germany.</t>
  </si>
  <si>
    <t>Katharina.Hochmuth@awi.de</t>
  </si>
  <si>
    <t>Gohl, Karsten/0000-0002-9558-2116; Hochmuth, Katharina/0000-0003-2789-2179</t>
  </si>
  <si>
    <t>10.1144/SP381.21</t>
  </si>
  <si>
    <t>WOS:000343054800016</t>
  </si>
  <si>
    <t>Sprenk, D; Weber, ME; Kuhn, G; Rosen, P; Frank, M; Molina-Kescher, M; Liebetrau, V; Röhling, HG</t>
  </si>
  <si>
    <t>Sprenk, D.; Weber, M. E.; Kuhn, G.; Rosen, P.; Frank, M.; Molina-Kescher, M.; Liebetrau, V.; Roehling, H. -G.</t>
  </si>
  <si>
    <t>Southern Ocean bioproductivity during the last glacial cycle - new detection method and decadal-scale insight from the Scotia Sea</t>
  </si>
  <si>
    <t>ANTARCTIC CIRCUMPOLAR CURRENT; EPICA ICE CORES; LATE QUATERNARY; ATMOSPHERIC CO2; BIOGENIC OPAL; TH-230 NORMALIZATION; BIOLOGICAL-ACTIVITY; ATLANTIC SECTOR; PACIFIC SECTOR; CLIMATE-CHANGE</t>
  </si>
  <si>
    <t>We present biogenic opal flux records from two deep-sea sites in the Scotia Sea (MD07-3133 and MD07-3134) at decadal-scale resolution, covering the last glacial cycle. In addition to conventional and time-consuming biogenic opal measuring methods, we introduce new biogenic opal estimation methods derived from sediment colour b*, wet bulk density, Si/Ti-count ratio and Fourier transform infrared spectroscopy (FTIRS). All methods capture the biogenic opal amplitude; however, FTIRS-a novel method for marine sediment -yields the most reliable results. Th-230 normalization data show strong differences in sediment focusing with intensified sediment focusing during glacial times. At MD07-3134 Th-230 normalized biogenic opal fluxes vary between 0.2 and 2.5 g cm(-2) kyr(-1). Our biogenic opal flux records indicate bioproductivity changes in the Southern Ocean, strongly influenced by sea ice distribution and also summer sea surface temperature changes. South of the Antarctic Polar Front, lowest bioproductivity occurred during the Last Glacial Maximum when upwelling of mid-depth water was reduced and sea ice cover intensified. Around 17 ka, bioproductivity increased abruptly, corresponding to rising atmospheric CO2 and decreasing seasonal sea ice coverage.</t>
  </si>
  <si>
    <t>[Sprenk, D.; Weber, M. E.] Univ Cologne, Inst Geol &amp; Mineral, D-50674 Cologne, Germany; [Kuhn, G.] Zentrum Polar &amp; Meeresforsch, Alfred Wegener Inst Helmholtz, D-27568 Bremerhaven, Germany; [Rosen, P.] Umea Univ, CIRC, SE-98107 Abisko, Sweden; [Frank, M.; Molina-Kescher, M.; Liebetrau, V.] GEOMAR Helmholtz Ctr Ocean Res Kiel, D-24148 Kiel, Germany; [Roehling, H. -G.] LBEG Landesamt Bergbau Energie &amp; Geol, D-30655 Hannover, Germany</t>
  </si>
  <si>
    <t>University of Cologne; Helmholtz Association; Alfred Wegener Institute, Helmholtz Centre for Polar &amp; Marine Research; Umea University; Helmholtz Association; GEOMAR Helmholtz Center for Ocean Research Kiel</t>
  </si>
  <si>
    <t>Sprenk, D (corresponding author), Univ Cologne, Inst Geol &amp; Mineral, Zuelpicher Str 49a, D-50674 Cologne, Germany.</t>
  </si>
  <si>
    <t>dsprenk@uni-koeln.de</t>
  </si>
  <si>
    <t>Weber, Michael E/G-8707-2012; Liebetrau, Volker/AAF-9556-2021</t>
  </si>
  <si>
    <t>Molina-Kescher, Mario/0000-0002-3064-040X; Weber, Michael E/0000-0003-2175-8980; Kuhn, Gerhard/0000-0001-6069-7485; Frank, Martin/0000-0002-8606-4421</t>
  </si>
  <si>
    <t>10.1144/SP381.17</t>
  </si>
  <si>
    <t>WOS:000343054800017</t>
  </si>
  <si>
    <t>Vautravers, MJ; Hodell, DA; Channell, JET; Hillenbrand, CD; Hall, M; Smith, J; Larter, RD</t>
  </si>
  <si>
    <t>Vautravers, Maryline J.; Hodell, David A.; Channell, James E. T.; Hillenbrand, Claus-Dieter; Hall, Mike; Smith, James; Larter, Robert D.</t>
  </si>
  <si>
    <t>Palaeoenvironmental records from the West Antarctic Peninsula drift sediments over the last 75 ka</t>
  </si>
  <si>
    <t>CONTINENTAL RISE WEST; OCEAN SEA-ICE; SHEET; PRODUCTIVITY; CLIMATE; FLUX; TRANSPORT; DRIVEN; MARGIN; EXTENT</t>
  </si>
  <si>
    <t>We present results of a multi-proxy study on marine sediment core JR179-PC466 recovered from the crest of a sediment drift off the West Antarctic Peninsula at approximately 2300 m water depth. The 10.45 m-long core consists dominantly of glaciomarine terrigenous sediments, with only traces of calcium carbonate (&lt; 1 wt%). Despite the very low abundance of calcareous foraminifera, planktonic shell numbers are sufficient for stable isotope analyses in two-thirds of the samples studied. The core chronology is based on oxygen isotope stratigraphy and correlation of its relative palaeomagnetic intensity (RPI) with a stacked reference curve. According to the age model, core PC466 spans the last 75 ka, with average sedimentation rates of between about 4 and 25 cm ka(-1). Planktonic foraminifera abundances fluctuate between 0 and 30 individuals per gram throughout the core, with minima observed during Marine Isotope Stage (MIS) 2 (14-29 ka before present, BP) and MIS4 (57-71 ka BP). Planktonic foraminifera are present in the Holocene but more abundant in sediments deposited during MIS3 (29-57 ka BP), owing to less dilution by terrigenous detritus and/or better carbonate preservation. During MIS3, foraminifera maxima correlate with Antarctic warming events as recorded in the delta O-18 signal of the EPICA Dronning Maud Land (EDML) ice core. They indicate higher planktonic foraminifera production and better carbonate preservation west of the Antarctic Peninsula during that time. The abundance of ice-rafted detritus (IRD) in core PC466 increased during the last deglaciation between about 19 and 11 ka BP, when numerous icebergs drifted across the core site, thereby releasing IRD. During this time, sea-level rise destabilized the Antarctic Peninsula (APIS) and West Antarctic (WAIS) ice sheets that had advanced onto the shelf during the sea-level low-stand of the Last Glacial Maximum (LGM; c. 19-23 ka BP). Overall, our results demonstrate that it is possible to establish an age model and reconstruct palaeoceanographical and climatic changes at high temporal resolution from sedimentary sequences recovered at 2300 m water depth from a West Antarctic drift.</t>
  </si>
  <si>
    <t>[Vautravers, Maryline J.; Hodell, David A.; Hall, Mike] Univ Cambridge, Dept Earth Sci, Godwin Lab Palaeoclimat Res, Cambridge CB2 3EQ, England; [Channell, James E. T.] Univ Florida, Dept Geol Sci, Gainesville, FL 32611 USA; [Hillenbrand, Claus-Dieter; Smith, James; Larter, Robert D.] British Antarctic Survey, Cambridge CB3 0ET, England</t>
  </si>
  <si>
    <t>University of Cambridge; State University System of Florida; University of Florida; UK Research &amp; Innovation (UKRI); Natural Environment Research Council (NERC); NERC British Antarctic Survey</t>
  </si>
  <si>
    <t>Vautravers, MJ (corresponding author), Univ Cambridge, Dept Earth Sci, Godwin Lab Palaeoclimat Res, Downing St, Cambridge CB2 3EQ, England.</t>
  </si>
  <si>
    <t>mv217@cam.ac.uk</t>
  </si>
  <si>
    <t>Mleneck-Vautravers, Maryline/0000-0003-2534-219X; Hodell, David/0000-0001-8537-1588</t>
  </si>
  <si>
    <t>NERC [NE/I006214/1, bas0100027] Funding Source: UKRI</t>
  </si>
  <si>
    <t>10.1144/SP381.12</t>
  </si>
  <si>
    <t>WOS:000343054800018</t>
  </si>
  <si>
    <t>Pant, NC; Biswas, P; Shrivastava, PK; Bhattacharya, S; Verma, K; Pandey, M; Brinkhuis, H; Dotti, CE; Klaus, A; Fehr, A; Williams, T; Bendle, JAP; Bijl, PK; Bohaty, SM; Carr, SA; Dunbar, RB; Flores, JA; Gonzàlez, JJ; Hayden, TG; Iwai, M; Jimenez-Espejo, FJ; Katsuki, K; Kong, GS; Mckay, RM; Nakai, M; Olney, MP; Passchier, S; Pekar, SF; Pross, J; Riesselman, C; Röhl, U; Sakai, T; Stickley, CE; Sugisaki, S; Tauxe, L; Tuo, S; van de Flierdt, T; Welsh, K; Yamane, M; Brinkhuis, D</t>
  </si>
  <si>
    <t>Pant, N. C.; Biswas, P.; Shrivastava, Prakash K.; Bhattacharya, S.; Verma, Kamlesh; Pandey, Mayuri; Brinkhuis, Hendrik; Dotti, Carlota Escutia; Klaus, Adam; Fehr, Annick; Williams, Trevor; Bendle, James A. P.; Bijl, Peter K.; Bohaty, Steven M.; Carr, Stephanie A.; Dunbar, Robert B.; Flores, Jose-Abel; Gonzalez, Jhon J.; Hayden, Travis G.; Iwai, Masao; Jimenez-Espejo, Francisco J.; Katsuki, Kota; Kong, Gee Soo; McKay, Robert M.; Nakai, Mutsumi; Olney, Matthew P.; Passchier, Sandra; Pekar, Stephen F.; Pross, Joerg; Riesselman, Christina; Roehl, Ursula; Sakai, Toyosaburo; Stickley, Catherine E.; Sugisaki, Saiko; Tauxe, Lisa; Tuo, Shouting; van de Flierdt, Tina; Welsh, Kevin; Yamane, Masako; Brinkhuis, Dan</t>
  </si>
  <si>
    <t>IODP EXPEDITION 318 SCI PARTY</t>
  </si>
  <si>
    <t>Provenance of Pleistocene sediments from Site U1359 of the Wilkes Land IODP Leg 318-evidence for multiple sourcing from the East Antarctic Craton and Ross Orogen</t>
  </si>
  <si>
    <t>NORTHERN VICTORIA-LAND; ADELIE; MARGIN; SHIELD; AGE; SUPERGROUP; AUSTRALIA; SYSTEMS</t>
  </si>
  <si>
    <t>Site U1359 is located on the eastern levee of the Jussieau submarine channel on the Wilkes Land margin, East Antarctica. The upper approximately 60 m of the sediment core records more than 2.5 Ma of the depositional history. Present work focuses on inferring provenance from the heavy mineral fraction from the Pleistocene sediments. Clay and non-clay fractions were characterized using X-ray diffraction and micro-beam techniques. Metamorphic minerals including orthopyroxene, high-Ca garnet and high-Ti biotite indicate a source in a high-grade metamorphic terrain. Mixing from a low-to medium-grade metamorphic component is also indicated. Several basaltic rock fragments, showing mineralogical affinities to the Ferrar volcanic province in the Ross Sea sector, are present. The metamorphic component is correlatable with the Proterozoic East Antarctic cratonic shield component. Ordovician-Silurian ages for the euhedral xenotime and monazite, coupled with the Ferrar equivalent basalts, indicate an additional sediment source from the Ross Orogen along with that from the craton.</t>
  </si>
  <si>
    <t>[Pant, N. C.; Biswas, P.; Pandey, Mayuri] Univ Delhi, Dept Geol, Delhi 110007, India; [Shrivastava, Prakash K.; Bhattacharya, S.; Verma, Kamlesh] Univ Delhi, Dept Geol, Delhi 110007, India; [Brinkhuis, Hendrik; Bijl, Peter K.] Geol Survey India, Faridabad, India; [Dotti, Carlota Escutia] Univ Utrecht, Lab Palaeobot &amp; Palynol, Inst Environm &amp; Biol, Budapestlaan 4, NL-3584 CD Utrecht, Netherlands; [Klaus, Adam] CSIC Univ Granada, Inst Andaluz Ciencias Tierra, Campus Fuentenueva S-N, Granada 18002, Spain; [Fehr, Annick] Texas A&amp;M Univ, Integrated Ocean Drilling Program, US Implementing Org, 1000 Discovery Dr, College Stn, TX 77843 USA; [Williams, Trevor] Rhein Westfal TH Aachen, Inst Appl Geophys &amp; Geothermal Energy, Mathieustr 6, D-52074 Aachen, Germany; [Bendle, James A. P.] Columbia Univ, Lamont Doherty Earth Observ, Borehole Res Grp, POB 1000,61 Route 9W, Palisades, NY 10964 USA; [Bendle, James A. P.] Univ Glasgow, Geog &amp; Earth Sci, Gregory Bldg,Lilybank Gardens, Glasgow G128QQ, Lanark, Scotland; [Bohaty, Steven M.] Univ Birmingham, Sch Geog Earth &amp; Environm Sci, Aston Webb Bldg, Birmingham B15 2TT, W Midlands, England; [Carr, Stephanie A.] Univ Southampton, Sch Ocean &amp; Earth Sci, European Way, Southampton SO14 3ZH, Hants, England; [Dunbar, Robert B.] Colorado Sch Mines, Dept Chem &amp; Geochem, 1500 Illinois St, Golden, CO 80401 USA; [Flores, Jose-Abel] Stanford Univ, Dept Environm Earth Syst Sci, 325 Braun Hall,Bldg 320, Stanford, CA 94305 USA; [Gonzalez, Jhon J.] Univ Salamanca, Fac Ciencias, Dept Geol, GGO, Salamanca 37008, Spain; [Hayden, Travis G.] Univ Granada, Inst Andaluz Ciencias Tierra, Campus Fuentenueva s-n, Granada, Spain; [Iwai, Masao] Western Michigan Univ, Dept Geol, 1187 Rood Hall,1903 West Michigan Ave, Kalamazoo, MI 49008 USA; [Jimenez-Espejo, Francisco J.] Kochi Univ, Dept Nat Sci, 2-5-1 Akebono Cho, Kochi 7808520, Japan; [Katsuki, Kota] Japan Agcy Marine Earth Sci &amp; Technol, Inst Res Earth Evolut IFREE, Natsushima Cho 2-15, Yokosuka, Kanagawa 2370061, Japan; [Kong, Gee Soo] Kochi Univ, Marine Ctr Adv Core Res, Nanko Ku, B200 Monobe, Kochi 7838502, Japan; [McKay, Robert M.] Korea Inst Geosci &amp; Mineral Resources, Petr &amp; Marine Res Div, 30 Gajeong Dong, Daejeon 305350, South Korea; [Nakai, Mutsumi] Victoria Univ Wellington, Antarctic Res Ctr, POB 600, Wellington 6140, New Zealand; [Olney, Matthew P.] Daito Bunka Univ, Dept Educ, Itabashi Ku, 1-9-1 Takashima Daira, Tokyo 1758571, Japan; [Passchier, Sandra] Univ S Florida, Dept Geol, 4202 East Fowler Ave,SCA 528, Tampa, FL 33620 USA; [Pekar, Stephen F.] Montclair State Univ, Earth &amp; Environm Studies, 252 Mallory Hall,1 Normal Ave, Montclair, NJ 07043 USA; [Pross, Joerg] CUNY Queens Coll, Sch Earth &amp; Environm Sci, 65-30 Kissena Blvd, Flushing, NY 11367 USA; [Pross, Joerg] Goethe Univ Frankfurt, Inst Geosci, D-60438 Frankfurt, Germany; [Riesselman, Christina] Heidelberg Univ, Inst Earth Sci, Paleoenvironm Dynam Grp, Neuenheimer Feld 234, D-69120 Heidelberg, Germany; [Riesselman, Christina] Stanford Univ, Dept Geol &amp; Environm Sci, Braun Hall,Bldg 320, Stanford, CA 94305 USA; [Roehl, Ursula] US Geol Survey, Eastern Geol &amp; Paleoclimate Sci Ctr, Natl Ctr 926A, Reston, VA 20192 USA; [Sakai, Toyosaburo] Univ Bremen, MARUM Ctr Marine Environm Sci, Leobener Str, D-28359 Bremen, Germany; [Shrivastava, Prakash K.] Utsunomiya Univ, Dept Geol, 350 Mine Machi, Utsunomiya, Tochigi 3218505, Japan; [Stickley, Catherine E.] Geol Survey India, Antarctica Div, NH5P, NIT, Faridabad 121001, Haryana, India; [Sugisaki, Saiko] Univ Tromso, Dept Geol, N-9037 Tromso, Norway; [Sugisaki, Saiko] Grad Univ Adv Study, Dept Polar Sci, 10-3 Midori Cho, Tachikawa, Tokyo 1908518, Japan; [Tauxe, Lisa] Japan Agcy Marine Earth Sci &amp; Technol, Frontier Bldg 4F,2-15 Natsushima Cho, Yokosuka, Kanagawa 2370061, Japan; [Tuo, Shouting] Univ Calif San Diego, Scripps Inst Oceanog, Geosci Res Div, La Jolla, CA 92093 USA; [van de Flierdt, Tina] Tongji Univ, Sch Ocean &amp; Earth Sci, 1239 Spring Rd, Shanghai 200092, Peoples R China; [Welsh, Kevin] Univ London Imperial Coll Sci Technol &amp; Med, Dept Earth Sci &amp; Engn, London SW7 2AZ, England; [Yamane, Masako] Univ Queensland, Sch Earth Sci, Brisbane, Qld 4072, Australia; [Brinkhuis, Dan] Univ Tokyo, Earth &amp; Planetary Sci, Bunkyo Ku, 7-3-1 Hongo, Tokyo 1130033, Japan; Zcene Moving Media, Weverssingel 42-A3, NL-3811 GK Amersfoort, Netherlands</t>
  </si>
  <si>
    <t>University of Delhi; University of Delhi; Geological Survey India; Utrecht University; University of Granada; Consejo Superior de Investigaciones Cientificas (CSIC); CSIC - Instituto Andaluz de Ciencias de la Tierra (IACT); Texas A&amp;M University System; Texas A&amp;M University College Station; RWTH Aachen University; Columbia University; University of Glasgow; University of Birmingham; University of Southampton; NERC National Oceanography Centre; Colorado School of Mines; Stanford University; University of Salamanca; Consejo Superior de Investigaciones Cientificas (CSIC); CSIC - Instituto Andaluz de Ciencias de la Tierra (IACT); University of Granada; Western Michigan University; Kochi University; Japan Agency for Marine-Earth Science &amp; Technology (JAMSTEC); Kochi University; Korea Institute of Geoscience &amp; Mineral Resources (KIGAM); Victoria University Wellington; State University System of Florida; University of South Florida; Montclair State University; City University of New York (CUNY) System; Queens College NY (CUNY); Goethe University Frankfurt; Ruprecht Karls University Heidelberg; Stanford University; United States Department of the Interior; United States Geological Survey; University of Bremen; Utsunomiya University; Geological Survey India; UiT The Arctic University of Tromso; Japan Agency for Marine-Earth Science &amp; Technology (JAMSTEC); University of California System; University of California San Diego; Scripps Institution of Oceanography; Tongji University; Imperial College London; University of Queensland; University of Tokyo</t>
  </si>
  <si>
    <t>pantnc@rediffmail.com; H.Brinkhuis@uu.nl; cescutia@ugr.es; aklaus@iodp.tamu.edu; a.fehr@geophysik.rwth-aachen.de; trevor@ldeo.columbia.edu; J.Bendle@bham.ac.uk; p.k.bijl@uu.nl; S.Bohaty@noc.soton.ac.uk; scarr@mines.edu; dunbar@stanford.edu; flores@usal.es; jhonjairo@ugr.es; t4hayden@wmich.edu; iwaim@kochi-u.ac.jp; fjjspejo@jamstec.go.jp; jm-kkota@kochi-u.ac.jp; kong@kigam.re.kr; robert.mckay@vuw.ac.nz; nakai@ic.daito.ac.jp; cyclingolney@yahoo.co.uk; passchiers@mail.montclair.edu; stephen.pekar@qc.cuny.edu; joerg.pross@geow.uni-heidelberg.de; criesselman@gmail.com; uroehl@marum.de; toyo.s.sakai@nifty.ne.jp; catherine.stickley@gmail.com; saiko1219@aol.com; ltauxe@ucsd.edu; shouting@mail.tongji.edu.cn; tina.vandeflierdt@imperial.ac.uk; k.welsh1@uq.edu.au; yamane@eps.s.u-tokyo.ac.jp</t>
  </si>
  <si>
    <t>Passchier, Sandra/GYU-2381-2022; Jimenez-Espejo, Francisco J/F-4486-2016; Röhl, Ursula/G-5986-2011; Passchier, Sandra/AAQ-2243-2021; Biswas, Parbati/AAY-9922-2020; Flores, José-Abel/D-4218-2009; Escutia, Carlota/B-8614-2015; Jimenez-Espejo, Francisco J./AAR-2318-2020; Brinkhuis, Henk/IUO-8165-2023; Williams, Trevor/L-7670-2014</t>
  </si>
  <si>
    <t>Jimenez-Espejo, Francisco J/0000-0002-0335-8580; Röhl, Ursula/0000-0001-9469-7053; Passchier, Sandra/0000-0001-7204-7025; Flores, José-Abel/0000-0003-1909-293X; Brinkhuis, Henk/0000-0003-0253-6610; Dunbar, Robert/0000-0002-9728-5609; PANDEY, MAYURI/0000-0001-8125-8051; Yamane, Masako/0000-0002-5063-0719</t>
  </si>
  <si>
    <t>NERC [NE/H014144/1, NE/H025162/1] Funding Source: UKRI; Grants-in-Aid for Scientific Research [25550015, 23244102] Funding Source: KAKEN</t>
  </si>
  <si>
    <t>NERC(UK Research &amp; Innovation (UKRI)Natural Environment Research Council (NERC)); Grants-in-Aid for Scientific Research(Ministry of Education, Culture, Sports, Science and Technology, Japan (MEXT)Japan Society for the Promotion of ScienceGrants-in-Aid for Scientific Research (KAKENHI))</t>
  </si>
  <si>
    <t>10.1144/SP381.11</t>
  </si>
  <si>
    <t>WOS:000343054800019</t>
  </si>
  <si>
    <t>Atkins, CB</t>
  </si>
  <si>
    <t>Atkins, C. B.</t>
  </si>
  <si>
    <t>Geomorphological evidence of cold-based glacier activity in South Victoria Land, Antarctica</t>
  </si>
  <si>
    <t>MCMURDO DRY VALLEYS; UNDER-ICE SHEETS; TAYLOR GLACIER; COSMOGENIC NUCLIDES; MELTWATER CHANNELS; EAST ANTARCTICA; CLIMATE-CHANGE; BAFFIN-ISLAND; PRESERVATION; MARGINS</t>
  </si>
  <si>
    <t>Cold-based glaciers have long been recognized as capable of covering and protecting landscapes. However, recent studies of modern cold-based glaciers in Antarctica show that, in some situations, erosion, deformation and deposition can occur. Recognizing the dual ability of cold-based glaciers to protect and preserve surfaces on the one hand and erode and modify on the other is important for correctly interpreting the often-subtle imprint of cold-based glaciers on landscapes. A range of geomorphological features related to cold-based glacier activity has now been documented along with an improved understanding of cold-based glacier structure, processes and interaction with various substrates. Collectively, this provides an enhanced ability to understand the impact of cold-based glaciers on landscapes and reappraise the geomorphological record. Such insight allows recognition of previously unknown glacial events and better interpretations of the landscape exposure record. This is particularly important at the margins of the Antarctic Ice Sheets, where past fluctuations in ice sheet volume and its contributions to post glacial sea-level rise are poorly constrained. This paper reviews the known geomorphological evidence associated with cold-based glaciers in the South Victoria Land region of the Transantarctic Mountains. It aims to provide progress towards a set of criteria for recognizing cold-based glacier activity in other regions and to highlight the implications of cold-based glacial activity for surface exposure studies and interpreting glacial history.</t>
  </si>
  <si>
    <t>Victoria Univ Wellington, Sch Geog Environm &amp; Earth Sci, Wellington, New Zealand</t>
  </si>
  <si>
    <t>Victoria University Wellington</t>
  </si>
  <si>
    <t>Atkins, CB (corresponding author), Victoria Univ Wellington, Sch Geog Environm &amp; Earth Sci, POB 600, Wellington, New Zealand.</t>
  </si>
  <si>
    <t>cliff.atkins@vuw.ac.nz</t>
  </si>
  <si>
    <t>Atkins, cliff B/E-9458-2011</t>
  </si>
  <si>
    <t>Atkins, C/0000-0002-6513-6924</t>
  </si>
  <si>
    <t>10.1144/SP381.18</t>
  </si>
  <si>
    <t>WOS:000343054800020</t>
  </si>
  <si>
    <t>Marchant, DR; Mackay, SL; Lamp, JL; Hayden, AT; Head, JW</t>
  </si>
  <si>
    <t>Marchant, D. R.; Mackay, S. L.; Lamp, J. L.; Hayden, A. T.; Head, J. W.</t>
  </si>
  <si>
    <t>A review of geomorphic processes and landforms in the Dry Valleys of southern Victoria Land: implications for evaluating climate change and ice-sheet stability</t>
  </si>
  <si>
    <t>DEBRIS-COVERED GLACIER; SURFACE EXPOSURE AGES; ROCK TEMPERATURE DATA; DON-JUAN POND; TAYLOR VALLEY; BEACON VALLEY; TRANSANTARCTIC-MOUNTAINS; MCMURDO SOUND; COLD GLACIER; ACTIVE-LAYER</t>
  </si>
  <si>
    <t>The Dry Valleys are subdivided into three microclimate zones on the basis of summertime measurements of atmospheric temperature, soil moisture, relative humidity and wind-speed/ direction. Subtle variations in these climate parameters result in considerable differences in process geomorphology and in the development of unique landforms within each zone. The mapped zones include a coastal thaw zone, an inland mixed zone and a stable upland zone. Landforms within each zone are subdivided into macroscale features (e.g. valleys, slopes and gullies), mesoscale features (e.g. polygons and viscous-flow features) and microscale features (e.g. rock and near-surface soil features, including the effects of salt weathering, wind erosion and pitting). We present a review of landscape development in the Dry Valleys with implications for long-term climate change and ice-sheet stability. Chronological control is afforded by 40Ar/39Ar dating of volcanic ash-fall deposits and cosmogenic nuclide analyses of surface boulders. Collectively, the data call for persistent cold and dry conditions in the stable upland zone for approximately the last 14 Ma, although some level of climatic amelioration and landform modification may have occurred within low-lying regions and in the inland mixed zone.</t>
  </si>
  <si>
    <t>[Marchant, D. R.; Mackay, S. L.; Lamp, J. L.; Hayden, A. T.] Boston Univ, Dept Earth &amp; Environm, Boston, MA 02215 USA; [Head, J. W.] Brown Univ, Dept Geol Sci, Providence, RI 02912 USA</t>
  </si>
  <si>
    <t>Boston University; Brown University</t>
  </si>
  <si>
    <t>Marchant, DR (corresponding author), Boston Univ, Dept Earth &amp; Environm, Boston, MA 02215 USA.</t>
  </si>
  <si>
    <t>marchant@bu.edu</t>
  </si>
  <si>
    <t>Hayden, Alistair/0000-0003-3540-7807</t>
  </si>
  <si>
    <t>Directorate For Geosciences; Division Of Polar Programs [0944702] Funding Source: National Science Foundation; Division Of Polar Programs; Directorate For Geosciences [0739700] Funding Source: National Science Foundation</t>
  </si>
  <si>
    <t>Directorate For Geosciences; Division Of Polar Programs(National Science Foundation (NSF)NSF - Directorate for Geosciences (GEO)); Division Of Polar Programs; Directorate For Geosciences(National Science Foundation (NSF)NSF - Directorate for Geosciences (GEO))</t>
  </si>
  <si>
    <t>10.1144/SP381.10</t>
  </si>
  <si>
    <t>WOS:000343054800021</t>
  </si>
  <si>
    <t>Davies, BJ; Glasser, NF; Carrivick, JL; Hambrey, MJ; Smellie, JL; Nyvlt, D</t>
  </si>
  <si>
    <t>Davies, Bethan J.; Glasser, Neil F.; Carrivick, Jonathan L.; Hambrey, Michael J.; Smellie, John L.; Nyvlt, Daniel</t>
  </si>
  <si>
    <t>Landscape evolution and ice-sheet behaviour in a semi-arid polar environment: James Ross Island, NE Antarctic Peninsula</t>
  </si>
  <si>
    <t>LAST GLACIAL MAXIMUM; PRINCE GUSTAV CHANNEL; HIGH-ARCTIC GLACIER; ISLE-OF-SKYE; BASAL-ICE; ROCK GLACIER; EAST ANTARCTICA; YOUNGER DRYAS; PALEOCLIMATIC IMPLICATIONS; GEOMORPHOLOGICAL EVIDENCE</t>
  </si>
  <si>
    <t>This study of landscape evolution presents both new modern and palaeo process-landform data, and analyses the behaviour of the Antarctic Peninsula Ice Sheet through the Last Glacial Maximum (LGM), the Holocene and to the present day. Six sediment-landform assemblages are described and interpreted for Ulu Peninsula, James Ross Island, NE Antarctic Peninsula: (1) the Glacier Ice and Snow Assemblage; (2) the Glacigenic Assemblage, which relates to LGM sediments and comprises both erratic-poor and erratic-rich drift, deposited by cold-based and wet-based ice and ice streams respectively; (3) the Boulder Train Assemblage, deposited during a Mid-Holocene glacier readvance; (4) the Ice-cored Moraine Assemblage, found in front of small cirque glaciers; (5) the Paraglacial Assemblage including scree, pebble-boulder lags, and littoral and fluvial processes; and (6) the Periglacial Assemblage including rock glaciers, protalus ramparts, blockfields, solifluction lobes and extensive patterned ground. The interplay between glacial, paraglacial and periglacial processes in this semi-arid polar environment is important in understanding polygenetic landforms. Crucially, cold-based ice was capable of sediment and land-form genesis and modification. This landsystem model can aid the interpretation of past environments, but also provides new data to aid the reconstruction of the last ice sheet to overrun James Ross Island.</t>
  </si>
  <si>
    <t>[Davies, Bethan J.; Glasser, Neil F.; Hambrey, Michael J.] Aberystwyth Univ, Inst Geog &amp; Earth Sci, Aberystwyth SY23 3DB, Dyfed, Wales; [Carrivick, Jonathan L.] Univ Leeds, Sch Geog, Leeds LS2 9JT, W Yorkshire, England; [Smellie, John L.] Univ Leicester, Dept Geol, Leicester LE1 7RH, Leics, England; [Nyvlt, Daniel] Czech Geol Survey, Brno Branch, Brno 65869, Czech Republic</t>
  </si>
  <si>
    <t>Aberystwyth University; University of Leeds; University of Leicester; Czech Geological Survey</t>
  </si>
  <si>
    <t>Davies, BJ (corresponding author), Aberystwyth Univ, Inst Geog &amp; Earth Sci, Aberystwyth SY23 3DB, Dyfed, Wales.</t>
  </si>
  <si>
    <t>bdd@aber.ac.uk</t>
  </si>
  <si>
    <t>Nyvlt, Daniel/0000-0002-6876-490X; Davies, Bethan/0000-0002-8636-1813; Carrivick, Jonathan/0000-0002-9286-5348; Glasser, Neil/0000-0002-8245-2670</t>
  </si>
  <si>
    <t>NERC [NE/F012896/1] Funding Source: UKRI</t>
  </si>
  <si>
    <t>10.1144/SP381.1</t>
  </si>
  <si>
    <t>WOS:000343054800022</t>
  </si>
  <si>
    <t>Asthana, R; Shrivastava, PK; Beg, MJ; Swain, AK; Dharwadkar, A; Roy, SK; Srivastava, HB</t>
  </si>
  <si>
    <t>Asthana, Rajesh; Shrivastava, Prakash K.; Beg, M. Javed; Swain, Ashit K.; Dharwadkar, Amit; Roy, Sandip K.; Srivastava, Hari B.</t>
  </si>
  <si>
    <t>Sedimentary processes in two different polar periglacial environments: Examples from Schirmacher Oasis and Larsemann Hills, East Antarctica</t>
  </si>
  <si>
    <t>SCANNING-ELECTRON-MICROSCOPY; SIZE DISTRIBUTION; LAKE SEDIMENT; QUARTZ GRAINS; HISTORY; DEGLACIATION; PARAMETERS; SANDSTONES; PROVENANCE; TILLS</t>
  </si>
  <si>
    <t>Schirmacher Oasis and Bharati Promontory in Larsemann Hills of East Antarctica are currently ice-free coastal areas exposed in physiographically different polar periglacial environments. Schirmacher Oasis is bound by the presence of a vast stretch of ice shelf in the north and the polar ice sheet in the south. It exhibits well-developed patterned ground, abundant till deposition, block-fields, episodic development of curvilinear morainic ridges, extensive outwash plains and erratics. In contrast, the occurrence of such depositional features is sparse on Bharati Promontory, where landmass is directly in contact with the ocean. The sedimentary processes vary in their magnitude owing to different physiographic settings in these two geographically separated locations. Scanning electron microscopy of quartz grains shows subsequent reworking under glaciofluvial environment and final deposition of material in glacially scoured basins. The fluvial action is more pronounced in the Schirmacher Oasis than on Bharati Promontory. The transport of sediment by polar ice is mainly through englacial pathways with a minor contribution from the supraglacial component. Discharge of all sizes of sediments ranging from large boulders to glacially abraded rock-flour in varying proportions takes place at the ice-bedrock interface. Granulometric analysis also shows turbulence of transporting media and reworking of sediments before final deposition.</t>
  </si>
  <si>
    <t>[Asthana, Rajesh; Shrivastava, Prakash K.; Swain, Ashit K.; Dharwadkar, Amit; Roy, Sandip K.] Geol Survey India, Antarct Div, Faridabad 121001, India; [Beg, M. Javed] Natl Ctr Antarct &amp; Ocean Res, Vasco 403804, Goa, India; [Srivastava, Hari B.] Banaras Hindu Univ, Dept Geol, Varanasi 221005, Uttar Pradesh, India</t>
  </si>
  <si>
    <t>Geological Survey India; Ministry of Earth Sciences (MoES) - India; National Centre for Polar and Ocean Research (NCPOR); Banaras Hindu University (BHU)</t>
  </si>
  <si>
    <t>Asthana, R (corresponding author), Geol Survey India, Antarct Div, Faridabad 121001, India.</t>
  </si>
  <si>
    <t>rajeshasthana.antarctica@gmail.com</t>
  </si>
  <si>
    <t>Dharwadkar, Amit/0000-0001-7870-8058</t>
  </si>
  <si>
    <t>10.1144/SP381.22</t>
  </si>
  <si>
    <t>WOS:000343054800024</t>
  </si>
  <si>
    <t>Hall, K</t>
  </si>
  <si>
    <t>Hall, Kevin</t>
  </si>
  <si>
    <t>Periglacial processes and landforms of the Antarctic: a review of recent studies and directions</t>
  </si>
  <si>
    <t>NORTHERN VICTORIA LAND; SOUTH-SHETLAND ISLANDS; SOR-RONDANE MOUNTAINS; MCMURDO DRY VALLEYS; JAMES-ROSS-ISLAND; FALKLAND-ISLANDS; ACTIVE-LAYER; CRYOPLANATION TERRACES; AZORELLA-SELAGO; PERMAFROST DISTRIBUTION</t>
  </si>
  <si>
    <t>The wide range of periglacial environments of the Antarctic, from the wet, mild oceanic sub-Antarctic through to the cold, dry continent, provides not only an extensive modern laboratory, but also one that offers insights into conditions in the Northern Hemisphere at the height of the last glacial, is an analogue for periglacial conditions on other planets, and can be used for monitoring climatic change. Almost the whole known suite of periglacial landforms is present. Recent research directions show strong linkages between the biotic components and the abiotic responses, offering new insights into periglacial synergies and hence landform development. Other new directions are those of using the Antarctic as an analogue for periglacial conditions on Mars, and multinational undertakings monitoring permafrost and active layer changes. During the past three decades there have been a number of reviews of periglacial landforms and processes for both the area as a whole as well as for specific locations or regions. Here information regarding material post-dating the most recent reviews is provided and an attempt is made to highlight new directions and findings. This broad-based review provides a foundation for more detailed accounts on some of the periglacial attributes provided in other papers within these volumes.</t>
  </si>
  <si>
    <t>Univ No British Columbia, Geog Programme, Prince George, BC V2N 4Z9, Canada</t>
  </si>
  <si>
    <t>University of Northern British Columbia</t>
  </si>
  <si>
    <t>Hall, K (corresponding author), Univ No British Columbia, Geog Programme, 3333 Univ Way, Prince George, BC V2N 4Z9, Canada.</t>
  </si>
  <si>
    <t>hall@unbc.ca</t>
  </si>
  <si>
    <t>10.1144/SP381.16</t>
  </si>
  <si>
    <t>WOS:000343054800025</t>
  </si>
  <si>
    <t>Konfal, SA; Wilson, TJ; Hall, BL</t>
  </si>
  <si>
    <t>Konfal, Stephanie A.; Wilson, T. J.; Hall, B. L.</t>
  </si>
  <si>
    <t>Palaeoshoreline records of glacial isostatic adjustment in the Dry Valleys region, Antarctica</t>
  </si>
  <si>
    <t>RELATIVE SEA-LEVEL; SOUTHERN VICTORIA LAND; ICE-SHEET; RAISED BEACHES; ROSS SEA; PROGLACIAL LAKE; EARLY HOLOCENE; TAYLOR VALLEY; MCMURDO SOUND; UPLIFT</t>
  </si>
  <si>
    <t>We present a new record of crustal deformation for the Dry Valleys and surrounding region of Antarctica. Values of crustal tilt resulting from the differential uplift of lacustrine strandlines are derived and linked with age data to provide a history of solid earth deformation since deglaciation. We present tilt directions and gradients for 13 strandlines formed c. 18 100-2100 cal yr BP. Derived gradient magnitudes increase exponentially with age and indicate an ongoing response to deglaciation since the Last Glacial Maximum. Azimuths of crustal tilting are consistently down to the SE towards West Antarctica. This tilt pattern is opposite to that predicted by models of glacial isostatic adjustment for Antarctica. Tilt magnitudes are significantly larger than tilted strandlines documented elsewhere in the world, suggesting an influence from thin crust and weak mantle underlying the region. This study presents the first use of lacustrine strandline tilts to document crustal deformation due to glacial unloading in Antarctica and provides an important new datum for constraining glacial isostatic adjustment models.</t>
  </si>
  <si>
    <t>[Konfal, Stephanie A.; Wilson, T. J.] Ohio State Univ, Mendenhall Lab 275, Columbus, OH 43210 USA; [Hall, B. L.] Univ Maine, Bryand Global Sci Ctr 303, Orono, ME 04469 USA</t>
  </si>
  <si>
    <t>University System of Ohio; Ohio State University; University of Maine System; University of Maine Orono</t>
  </si>
  <si>
    <t>Konfal, SA (corresponding author), Ohio State Univ, Mendenhall Lab 275, 125 S Oval Mall, Columbus, OH 43210 USA.</t>
  </si>
  <si>
    <t>skonfal@hotmail.com</t>
  </si>
  <si>
    <t>10.1144/SP381.26</t>
  </si>
  <si>
    <t>WOS:000343054800026</t>
  </si>
  <si>
    <t>Kanao, M; Maggi, A; Ishihara, Y; Stutzmann, E; Yamamoto, MY; Toyokuni, G</t>
  </si>
  <si>
    <t>Kanao, Masaki; Maggi, Alessia; Ishihara, Yoshiaki; Stutzmann, Eleonore; Yamamoto, Masa-Yuki; Toyokuni, Genti</t>
  </si>
  <si>
    <t>Characteristic atmosphere-ocean-solid earth interactions in the Antarctic coastal and marine environment inferred from seismic and infrasound recording at Syowa Station, East Antarctica</t>
  </si>
  <si>
    <t>MICROSEISMS; WAVES</t>
  </si>
  <si>
    <t>Several characteristic waves detected by seismographs in Antarctic stations have been recognized as originating from the physical interaction between the solid earth and the atmosphere-ocean-cryosphere system surrounding the Antarctic and may be used as a proxy for characterizing ocean wave climate. A Chaparral-type infrasound sensor was installed at Syowa Station (SYO; 39.6E, 69.0S), East Antarctica, in April 2008 during the International Polar Year (IPY2007-2008). Matching data are also available for this time period from the existing broadband seismic recorder located close by. Continuous infrasound data for 2008-2009 include background signals (microbaroms) with a broad peak in the wave period between the values of 4 and 10 s. Signals with the same period are recorded by the broadband seismograph at SYO (microseisms). This period band is identified as double-frequency microseisms/baroms (DFM). The DFM have relatively lower amplitudes during winter. We suggest that this is due to the sea-ice extent around the coast causing a decreased ocean loading effect. In contrast, the single frequency microseisms/baroms with a peak in period between 12 and 30 s are observed under storm conditions, particularly in winter. On the infrasound data, stationary signals are identified with harmonic overtones at a few Hertz to lowermost human audible band, which we suggest is due to local effects such as sea-ice cracking and vibration. Microseism measurements are a useful proxy for characterizing ocean wave climate, complementing other oceanographic and geophysical data. At SYO, continuous monitoring by both broadband seismograph and infrasound contributes to the Federation of Digital Seismographic Networks, the Comprehensive Nuclear-Test-Ban Treaty in the high southern latitudes and the Pan-Antarctic Observations System under the Scientific Committee on Antarctic Research.</t>
  </si>
  <si>
    <t>[Kanao, Masaki] Res Org Informat &amp; Syst, Natl Inst Polar Res, Tachikawa, Tokyo 1908518, Japan; [Maggi, Alessia] CNRS, Inst Phys Globe Strasbourg, F-67084 Strasbourg, France; [Maggi, Alessia] Univ Strasbourg, F-67084 Strasbourg, France; [Ishihara, Yoshiaki] Natl Inst Nat Sci, Natl Astron Observ, Mizusawa Ku, Oshu, Iwate 0230861, Japan; [Stutzmann, Eleonore] Inst Phys Globe Paris, Bur 304, F-75238 Paris 05, France; [Yamamoto, Masa-Yuki] Kochi Univ Technol, Kami, Kochi 7828505, Japan; [Toyokuni, Genti] Tohoku Univ, Res Ctr Predict Earthquakes &amp; Volcan Erupt, Grad Sch Sci, Aoba Ku, Sendai, Miyagi 9808578, Japan</t>
  </si>
  <si>
    <t>Research Organization of Information &amp; Systems (ROIS); National Institute of Polar Research (NIPR) - Japan; Centre National de la Recherche Scientifique (CNRS); Universites de Strasbourg Etablissements Associes; Universite de Strasbourg; Universites de Strasbourg Etablissements Associes; Universite de Strasbourg; National Institutes of Natural Sciences (NINS) - Japan; National Astronomical Observatory of Japan (NAOJ); Universite Paris Cite; Kochi University Technology; Tohoku University</t>
  </si>
  <si>
    <t>Kanao, M (corresponding author), Res Org Informat &amp; Syst, Natl Inst Polar Res, 10-3 Midori Cho, Tachikawa, Tokyo 1908518, Japan.</t>
  </si>
  <si>
    <t>kanao@nipr.ac.jp</t>
  </si>
  <si>
    <t>Ishihara, Yoshiaki/A-8499-2011; Stutzmann, Eleonore/G-8511-2014; Maggi, Alessia/P-5041-2016</t>
  </si>
  <si>
    <t>Stutzmann, Eleonore/0000-0002-4348-7475; Maggi, Alessia/0000-0001-8859-8948; Ishihara, Yoshiaki/0000-0002-0375-6300</t>
  </si>
  <si>
    <t>10.1144/SP381.8</t>
  </si>
  <si>
    <t>WOS:000343054800027</t>
  </si>
  <si>
    <t>Mora, C; Vieira, G; Ramos, M</t>
  </si>
  <si>
    <t>Mora, Carla; Vieira, Goncalo; Ramos, Miguel</t>
  </si>
  <si>
    <t>Evaluation of Envisat ASAR IMP imagery for snow mapping at varying spatial resolution (Deception Island, South Shetlands - Antarctica)</t>
  </si>
  <si>
    <t>ERS-1 SAR DATA; WET-SNOW; COEFFICIENTS; TERRAIN</t>
  </si>
  <si>
    <t>Advanced synthetic aperture radar image mode precision (ASAR IMP) scenes of Deception Island from December 2008 to September 2010 have been analysed to assess its potential for snow cover classification. Backscattering was checked against ground truth. Despite the good spatial resolution of the ASAR, its applicability for detecting snow cover, and especially wet snow, was only possible at much lower resolutions, since noise was found to be very high. Scenes with bare ground or with dry snow cover showed highest backscattering, with averages from -10 to -12 dB. Wet snow showed a shift towards lower values, peaking at -15 dB. A threshold of -13 to -14 dB was identified between dry/bare ground and wet snow scenes at Crater Lake. The backscatter difference to a reference snow-free scene usually provided better classification results, and a threshold ranging from -2 to -3 dB was found. Results show that, despite the relative ease of use of C-band ASAR, special care is necessary since the results show significant noise, and it should only be applied to large areas. Large seasonal patterns of snow melt were identified on Deception Island.</t>
  </si>
  <si>
    <t>[Mora, Carla; Vieira, Goncalo] Univ Lisbon, IGOT, Ctr Geog Studies, P-1699 Lisbon, Portugal; [Ramos, Miguel] Univ Alcala de Henares, Dept Phys, Alcala De Henares, Spain</t>
  </si>
  <si>
    <t>Universidade de Lisboa; Universidad de Alcala</t>
  </si>
  <si>
    <t>Mora, C (corresponding author), Univ Lisbon, IGOT, Ctr Geog Studies, P-1699 Lisbon, Portugal.</t>
  </si>
  <si>
    <t>carlamora@campus.ul.pt</t>
  </si>
  <si>
    <t>Vieira, Goncalo/G-5958-2010; Ramos, Miguel/K-2230-2014; Mora, Carla/D-2706-2012</t>
  </si>
  <si>
    <t>Vieira, Goncalo/0000-0001-7611-3464; Ramos, Miguel/0000-0003-3648-6818; Mora, Carla/0000-0002-0843-3658</t>
  </si>
  <si>
    <t>10.1144/SP381.19</t>
  </si>
  <si>
    <t>WOS:000343054800028</t>
  </si>
  <si>
    <t>Larter, RD</t>
  </si>
  <si>
    <t>Larter, Robert D.</t>
  </si>
  <si>
    <t>Peter Frank Barker (1939-2012)</t>
  </si>
  <si>
    <t>Biographical-Item; Book Chapter</t>
  </si>
  <si>
    <t>British Antarctic Survey, Cambridge, England</t>
  </si>
  <si>
    <t>Larter, RD (corresponding author), British Antarctic Survey, Cambridge, England.</t>
  </si>
  <si>
    <t>WOS:000343054800001</t>
  </si>
  <si>
    <t>Flowerdew, MJ; Tyrrell, S; Boger, SD; Fitzsimons, ICW; Harley, SL; Mikhalsky, EV; Vaughan, APM</t>
  </si>
  <si>
    <t>Harley, SL; Fitzsimons, ICW; Zhao, Y</t>
  </si>
  <si>
    <t>Flowerdew, M. J.; Tyrrell, S.; Boger, S. D.; Fitzsimons, I. C. W.; Harley, S. L.; Mikhalsky, E. V.; Vaughan, A. P. M.</t>
  </si>
  <si>
    <t>Pb isotopic domains from the Indian Ocean sector of Antarctica: implications for past Antarctica-India connections</t>
  </si>
  <si>
    <t>ANTARCTICA AND SUPERCONTINENT EVOLUTION</t>
  </si>
  <si>
    <t>PRINCE-CHARLES MOUNTAINS; EASTERN GHATS BELT; ZIRCON U-PB; GRANULITE-FACIES ROCKS; SM-ND; NAPIER COMPLEX; RB-SR; CONTINENTAL-CRUST; LEAD ISOTOPES; ENDERBY LAND</t>
  </si>
  <si>
    <t>New feldspar lead isotope compositions of crystalline rocks from the Indian Ocean sector of East Antarctica, in conjunction with the review of data from elsewhere within the continent and from continents formerly adjacent within Gondwana, refine boundaries and evolutionary histories of terranes previously inferred from geological mapping and complementary isotope studies. Coastal Archaean Vestfold and Napier complexes have overlapping compositions and had Pb isotopes homogenized at 2.5 Ga sourced from or within already fractionated protoliths with high and variable U-Pb. Identical compositions from the Dharwar Craton of India support a correlation with these Antarctic terranes. The Proterozoic-Palaeozoic Rayner Complex and Prydz Belt yield more radiogenic compositions and are broadly similar and strongly suggest these units correlate with parts of the Eastern Ghats Belt of India. A strikingly different signature is evident from the inboard Ruker Complex, which yielded unradiogenic compositions. This complex is unlike any unit within India or Australia, suggesting that these rocks represent exposures of an Antarctic (Crohn) Craton. Compositions from the enigmatic Rauer Terrane are consistent with a shared early history with the Ruker Complex but with a different post-Archaean evolution.</t>
  </si>
  <si>
    <t>[Flowerdew, M. J.; Vaughan, A. P. M.] British Antarctic Survey, Cambridge CB3 0ET, England; [Tyrrell, S.] Natl Univ Ireland, Sch Nat Sci, Galway, Ireland; [Boger, S. D.] Univ Melbourne, Sch Earth Sci, Melbourne, Vic 3010, Australia; [Fitzsimons, I. C. W.] Curtin Univ, Dept Appl Geol, Perth, WA 6845, Australia; [Harley, S. L.] Univ Edinburgh, Grant Inst, Sch Geosci, Edinburgh EH9 3JW, Midlothian, Scotland; [Mikhalsky, E. V.] VNIIOkeangeologia, St Petersburg 190121, Russia</t>
  </si>
  <si>
    <t>UK Research &amp; Innovation (UKRI); Natural Environment Research Council (NERC); NERC British Antarctic Survey; Ollscoil na Gaillimhe-University of Galway; University of Melbourne; Melbourne Bioinformatics; Curtin University; University of Edinburgh</t>
  </si>
  <si>
    <t>Flowerdew, MJ (corresponding author), Univ Cambridge, CASP, West Bldg,181A Huntingdon Rd, Cambridge CB3 0DH, England.</t>
  </si>
  <si>
    <t>michael.flowerdew@casp.cam.ac.uk</t>
  </si>
  <si>
    <t>Vaughan, Alan PM/B-7829-2010; Fitzsimons, Ian/A-3707-2012</t>
  </si>
  <si>
    <t>Fitzsimons, Ian/0000-0002-8907-7455; Boger, Steven/0000-0003-0739-6266; Harley, Simon/0000-0002-1903-939X; Flowerdew, Michael/0000-0002-9710-2593; Tyrrell, Shane/0000-0001-5782-9432</t>
  </si>
  <si>
    <t>NERC [bas0100026] Funding Source: UKRI</t>
  </si>
  <si>
    <t>978-1-86239-367-7</t>
  </si>
  <si>
    <t>10.1144/SP383.3</t>
  </si>
  <si>
    <t>Geochemistry &amp; Geophysics; Geology</t>
  </si>
  <si>
    <t>BB3ML</t>
  </si>
  <si>
    <t>WOS:000342894000003</t>
  </si>
  <si>
    <t>Grew, ES; Carson, CJ; Christy, AG; Boger, SD</t>
  </si>
  <si>
    <t>Grew, Edward S.; Carson, Christopher J.; Christy, Andrew G.; Boger, Steven D.</t>
  </si>
  <si>
    <t>Boron- and phosphate-rich rocks in the Larsemann Hills, Prydz Bay, East Antarctica: tectonic implications</t>
  </si>
  <si>
    <t>GRANULITE-FACIES PARAGNEISS; PRINCE-CHARLES-MOUNTAINS; PROTEROZOIC WILLYAMA SUPERGROUP; GRADE METAMORPHIC ROCKS; ALBANY-FRASER OROGEN; BROKEN-HILL; MUD VOLCANOS; CURNAMONA PROVINCE; CENTRAL AUSTRALIA; BLACK-SEA</t>
  </si>
  <si>
    <t>Granulite-facies paragneisses enriched in boron and phosphorus are exposed over c. 15 x 5 km(2) in the Larsemann Hills, Antarctica. The most widespread are biotite gneisses containing centimetre-sized prismatine crystals, but tourmaline metaquartzite and borosilicate gneisses are richest in B (676-19 700 mu g/g or 0.22-6.34 wt%; B2O3). Chondrite-normalized rare-earth element (REE) patterns give two groups: (1) La-N &gt; 150, Eu*/Eu &lt; 0.4, which comprises most apatite-bearing metaquartzite and metapelite, tourmaline metaquartzite, and Fe-rich rocks (up to 2.3 wt%; P2O5); (2) La-N, 150, Eu*/Eu &gt; 0.4, which comprises most borosilicate and sodic leucogneisses (2.5-7.4wt%; Na2O). Enrichment in boron and phosphorus is attributed to premetamorphic hydrothermal alteration, either in a rifted, most likely marine basin or in a mud volcanic system located inboard of a c. 1000 Ma continental arc that was active along the leading edge of the Indo-Antarctic craton. This margin developed before collision with the Australo-Antarctic craton (c. 530 Ma) merged these rocks into Gondwana and sutured them into their present position in Antarctica. Rocks lithologically similar to those in the Larsemann Hills include prismatine-bearing granulites in the Windmill Islands, Wilkes Land, and tourmalinequartz rocks, sodic gneisses and apatitic iron formation in the Willyama Supergroup, Broken Hill, Australia.</t>
  </si>
  <si>
    <t>[Grew, Edward S.] Univ Maine, Sch Earth &amp; Climate Sci, Bryand Global Sci Ctr 5790, Orono, ME 04469 USA; [Carson, Christopher J.] Geosci Australia, Canberra, ACT 2601, Australia; [Christy, Andrew G.] Australian Natl Univ, Ctr Adv Microscopy, Canberra, ACT 0200, Australia; [Boger, Steven D.] Univ Melbourne, Sch Earth Sci, Parkville, Vic 3010, Australia</t>
  </si>
  <si>
    <t>University of Maine System; University of Maine Orono; Geoscience Australia; Australian National University; University of Melbourne</t>
  </si>
  <si>
    <t>Grew, ES (corresponding author), Univ Maine, Sch Earth &amp; Climate Sci, Bryand Global Sci Ctr 5790, Orono, ME 04469 USA.</t>
  </si>
  <si>
    <t>esgrew@maine.edu</t>
  </si>
  <si>
    <t>Christy, Andrew G/C-3205-2013; Carson, Christopher J./M-8795-2014</t>
  </si>
  <si>
    <t>Boger, Steven/0000-0003-0739-6266; Christy, Andrew/0000-0002-2203-1444; Carson, Christopher J./0000-0002-2575-6125</t>
  </si>
  <si>
    <t>10.1144/SP383.8</t>
  </si>
  <si>
    <t>WOS:000342894000004</t>
  </si>
  <si>
    <t>Yakymchuk, C; Siddoway, CS; Fanning, CM; Mcfadden, R; Korhonen, FJ; Brown, M</t>
  </si>
  <si>
    <t>Yakymchuk, Chris; Siddoway, Christine S.; Fanning, C. Mark; Mcfadden, Rory; Korhonen, Fawna J.; Brown, Michael</t>
  </si>
  <si>
    <t>Anatectic reworking and differentiation of continental crust along the active margin of Gondwana: a zircon Hf-O perspective from West Antarctica</t>
  </si>
  <si>
    <t>MARIE-BYRD-LAND; U-PB GEOCHRONOLOGY; LACHLAN FOLD BELT; ND ISOTOPIC COMPOSITION; NEW-ZEALAND; LU-HF; FOSDICK MOUNTAINS; OXYGEN ISOTOPES; PACIFIC MARGIN; IN-SITU</t>
  </si>
  <si>
    <t>The Fosdick migmatite-granite complex of West Antarctica preserves evidence of two crustal differentiation events along a segment of the former active margin of Gondwana, one in the Devonian-Carboniferous and another in the Cretaceous. The Hf-O isotope composition of zircons from Devonian-Carboniferous granites is explained by mixing of material from two crustal sources represented by the high-grade metamorphosed equivalents of a Lower Palaeozoic turbidite sequence and a Devonian calc-alkaline plutonic suite, consistent with an interpretation that the Devonian-Carboniferous granites record crustal reworking without input from a more juvenile source. The Hf-O isotope composition of zircons from Cretaceous granites reflects those same two sources, together with a contribution from a more juvenile source that is most evident in the detachment-hosted, youngest granites. The relatively non-radiogenic epsilon Hf isotope characteristics of zircons from the Fosdick complex granites are similar those from the Permo-Triassic granites from the Antarctic Peninsula. However, the Fosdick complex granites contrast with coeval granites in other localities along and across the former active margin of Gondwana, including the Tasmanides of Australia and the Western Province of New Zealand, where the wider range of more radiogenic epsilon Hf values of zircon suggests that crustal growth through the addition of juvenile material plays a larger role in granite genesis. These new results highlight prominent arc-parallel and arc-normal variations in the mechanisms and timing of crustal reworking v. crustal growth along the former active margin of Gondwana.</t>
  </si>
  <si>
    <t>[Yakymchuk, Chris; Brown, Michael] Univ Maryland, Dept Geol, College Pk, MD 20742 USA; [Siddoway, Christine S.] Colorado Coll, Dept Geol, Colorado Springs, CO 80903 USA; [Fanning, C. Mark] Australian Natl Univ, Res Sch Earth Sci, Canberra, ACT 0200, Australia; [Mcfadden, Rory] Salem State Univ, Dept Geol Sci, Salem, MA 01970 USA; [Korhonen, Fawna J.] Geol Survey Western Australia, East Perth, WA 6004, Australia</t>
  </si>
  <si>
    <t>University System of Maryland; University of Maryland College Park; Colorado College; Australian National University; Massachusetts System of Public Higher Education; Salem State University; Geological Survey of Western Australia</t>
  </si>
  <si>
    <t>Yakymchuk, C (corresponding author), Univ Maryland, Dept Geol, College Pk, MD 20742 USA.</t>
  </si>
  <si>
    <t>cyak@umd.edu</t>
  </si>
  <si>
    <t>Yakymchuk, Chris/H-1297-2013; Siddoway, Christine/HKV-0895-2023; Fanning, Christopher Mark/I-6449-2016</t>
  </si>
  <si>
    <t>Fanning, Christopher Mark/0000-0003-3331-3145; Siddoway, Christine Smith/0000-0003-0478-6138</t>
  </si>
  <si>
    <t>10.1144/SP383.7</t>
  </si>
  <si>
    <t>WOS:000342894000008</t>
  </si>
  <si>
    <t>Elsner, M; Schöner, R; Gerdes, A; Gaupp, R</t>
  </si>
  <si>
    <t>Elsner, Martin; Schoener, Robert; Gerdes, Axel; Gaupp, Reinhard</t>
  </si>
  <si>
    <t>Reconstruction of the early Mesozoic plate margin of Gondwana by U-Pb ages of detrital zircons from northern Victoria Land, Antarctica</t>
  </si>
  <si>
    <t>MARIE-BYRD-LAND; PACIFIC MARGIN; NEW-ZEALAND; ROSS OROGEN; TRANSANTARCTIC MOUNTAINS; WEST ANTARCTICA; ACTIVE-MARGIN; T-DM; PROVENANCE; GEOCHRONOLOGY</t>
  </si>
  <si>
    <t>Detrital zircons of eight sandstone samples from the Triassic-Early Jurassic Section Peak Formation (Victoria Group, Beacon Supergroup) in northern Victoria Land, Antarctica, were investigated by U-Pb LA-ICPMS dating. The basin was flanked by the East Antarctic craton, and by a magmatic arc at the palaeo-Pacific margin of Gondwana. It accommodated sand-stones ranging from quartzo-feldspathic to volcaniclastic in composition. The detrital zircon age spectra yield pronounced concentrations at c. 190-250 Ma, 500-700 Ma and 800-1200 Ma. The proportion of Triassic-Early Jurassic zircons increases from base to top of the formation, and correlates positively with the abundance of detrital volcanic rock fragments. The youngest zircon ages are close to the stratigraphic age of each sample, indicating contemporaneous magmatic activity along the active margin of Gondwana. Igneous rocks that formed during the Ross Orogeny (c. 470-545 Ma) were a minor source only, suggesting that the Ross Orogen became progressively covered by sediments as the basin expanded. Pan-African (c. 500-700 Ma) and Grenville (c. 800-1200 Ma) age zircons may have been derived from crustal sources currently covered beneath the polar ice sheet, although recycling from Cambro-Ordovician units provides an alternative explanation.</t>
  </si>
  <si>
    <t>[Elsner, Martin; Gaupp, Reinhard] Univ Jena, Inst Geowissensch, D-07749 Jena, Germany; [Schoener, Robert] Univ Erlangen Nurnberg, GeoZentrum Nordbayern, D-91054 Erlangen, Germany; [Gerdes, Axel] Goethe Univ Frankfurt, Inst Geowissensch, D-60438 Frankfurt, Germany</t>
  </si>
  <si>
    <t>Friedrich Schiller University of Jena; University of Erlangen Nuremberg; Goethe University Frankfurt</t>
  </si>
  <si>
    <t>Schöner, R (corresponding author), Univ Erlangen Nurnberg, GeoZentrum Nordbayern, Schlossgarten 5, D-91054 Erlangen, Germany.</t>
  </si>
  <si>
    <t>robert.schoener@lbeg.niedersachsen.de</t>
  </si>
  <si>
    <t>Gerdes, Axel/B-6096-2008</t>
  </si>
  <si>
    <t>Gerdes, Axel/0000-0003-3823-2125</t>
  </si>
  <si>
    <t>10.1144/SP383.5</t>
  </si>
  <si>
    <t>WOS:000342894000009</t>
  </si>
  <si>
    <t>Direen, NG; Stagg, HMJ; Symonds, PA; Norton, IO</t>
  </si>
  <si>
    <t>Mohriak, WU; Danforth, A; Post, PJ; Brown, DE; Tari, GC; Nemcok, M; Sinha, ST</t>
  </si>
  <si>
    <t>Direen, Nicholas G.; Stagg, Howard M. J.; Symonds, Philip A.; Norton, Ian O.</t>
  </si>
  <si>
    <t>Variations in rift symmetry: cautionary examples from the Southern Rift System (Australia-Antarctica)</t>
  </si>
  <si>
    <t>CONJUGATE DIVERGENT MARGINS</t>
  </si>
  <si>
    <t>OCEAN-CONTINENT TRANSITION; WESTERN GAWLER CRATON; LITHOSPHERIC EXTENSION; SEISMIC STRATIGRAPHY; CRUSTAL STRUCTURE; FLEMISH CAP; GRAND-BANKS; MARGIN; EVOLUTION; BREAKUP</t>
  </si>
  <si>
    <t>We present a synthesis based on the interpretation of two pairs of deep seismic reflection crustal sections within the Southern Rift System (SRS) separating Australia and Antarctica. One pair of sections is from the conjugate margins between the Great Australian Bight (GAB) and Wilkes Land, in the central sector of the SRS, which broke up in the Campanian. The second pair of conjugate sections is located approximately 400 km further east, between the Otway Basin and Terre Adelie, which probably broke up in Maastrichtian time. Interpretations are based on an integrated synthesis of deep multi-channel seismic, gravity and magnetic data, together with sparse sonobuoy and dredging information, and the conjugate sections are presented with the oceanic crust removed beyond the continent-ocean boundary (COB). At first order, both conjugate pairs show a transition from thinned continental crust, through a wide and internally complex continent-ocean transition zone (COTZ), which shows features in common with magma-poor rifted margins worldwide, such as basement ridges interpreted as exhumed subcontinental mantle. In the central GAB sector, the COTZ is symmetric around the point of break-up and displays a pair of mantle ridges, one on each margin, outboard of which lies a deep-water rift basin. Break-up has occurred in the centre of this basin in this sector of the SRS. In contrast, the Terre Adelie margin is nearly 600 km wide and shows an abandoned crustal megaboudin, the Adelie Rift Block. This block is underlain by interpreted middle crust, and appears to have a mantle ridge structure inboard, as well as an outboard exhumed mantle complex from which mylonitized harzburgite has been dredged. The conjugate margin of the Beachport Sub-basin is relatively narrow (c. 100 km wide) and does not appear to contain an exhumed mantle ridge, as observed along strike in the GAB. These observations from a single rift spreading compartment show that radically different break-up symmetries and margin architectures can result from an essentially symmetric rifting process involving multiple, paired detachment systems. This indicates the need for caution in interpreting causative mechanisms of rifting from limited conjugate sections in other rifts. We speculate that the underlying crustal composition, rheology and structural preconditioning play a significant role in partitioning strain during the transition to break-up.</t>
  </si>
  <si>
    <t>[Direen, Nicholas G.] Univ Tasmania, Inst Marine &amp; Antarctic Studies, Hobart, Tas 7001, Australia; [Direen, Nicholas G.] Univ Tasmania, Sch Earth Sci, Hobart, Tas 7001, Australia; [Direen, Nicholas G.] FrOG Tech Pty Ltd, Blackmans Bay, Tas 7052, Australia; [Symonds, Philip A.] Geosci Australia, Canberra, ACT 2601, Australia; [Norton, Ian O.] Univ Texas Austin, Inst Geophys, Jackson Sch Geosci, Austin, TX 78758 USA</t>
  </si>
  <si>
    <t>University of Tasmania; University of Tasmania; Geoscience Australia; University of Texas System; University of Texas Austin</t>
  </si>
  <si>
    <t>Direen, NG (corresponding author), Univ Tasmania, Inst Marine &amp; Antarctic Studies, Hobart, Tas 7001, Australia.</t>
  </si>
  <si>
    <t>n_direen@utas.edu.au</t>
  </si>
  <si>
    <t>Direen, Nicholas/P-5949-2019</t>
  </si>
  <si>
    <t>Direen, Nicholas/0000-0002-4466-7064</t>
  </si>
  <si>
    <t>978-1-86239-349-3</t>
  </si>
  <si>
    <t>10.1144/SP369.4</t>
  </si>
  <si>
    <t>BB3LW</t>
  </si>
  <si>
    <t>WOS:000342846200024</t>
  </si>
  <si>
    <t>Jovane, L; Savian, JF; Coccioni, R; Frontalini, F; Bancala, G; Catanzariti, R; Luciani, V; Bohaty, SM; Wilson, PA; Florindo, F</t>
  </si>
  <si>
    <t>Jovane, L; HerreroBervera, E; Hinnov, LA; Housen, B</t>
  </si>
  <si>
    <t>Jovane, Luigi; Savian, Jairo F.; Coccioni, Rodolfo; Frontalini, Fabrizio; Bancala, Giuseppe; Catanzariti, Rita; Luciani, Valeria; Bohaty, Steven M.; Wilson, Paul A.; Florindo, Fabio</t>
  </si>
  <si>
    <t>Integrated magnetobiostratigraphy of the middle Eocene-lower Oligocene interval from the Monte Cagnero section, central Italy</t>
  </si>
  <si>
    <t>MAGNETIC METHODS AND THE TIMING OF GEOLOGICAL PROCESSES</t>
  </si>
  <si>
    <t>UMBRIA-MARCHE BASIN; CONTESSA HIGHWAY SECTION; ANTARCTIC GLACIATION; STRATOTYPE SECTION; CLIMATIC OPTIMUM; CARBON-DIOXIDE; STRATIGRAPHY; CALIBRATION; GREENHOUSE; TRANSITION</t>
  </si>
  <si>
    <t>The Monte Cagnero sedimentary section, which crops out in the northeastern Apennines near Urbania in the Umbria-Marche Basin (Italy), contains well-exposed strata spanning the middle Eocene to lower Oligocene interval. We use an integrated magnetobiostratigraphic approach to generate a high-resolution age model for the Monte Cagnero section, with the goal of obtaining a reliable chronostratigraphic framework for studying Eocene-Oligocene palaeoceanographic changes during the switch from greenhouse to icehouse conditions. The studied sediments consist of alternating reddish and greenish limestones and marlstones. A new integrated age model for the section is based on high-resolution palaeomagnetic analyses, combined with detailed planktonic foraminiferal and calcareous nannofossil biostratigraphic results. Rock magnetic measurements show that the magnetic mineralogy is dominated by a mixture of high-and low-coercivity minerals, probably representing a combination of hematite and magnetite. A robust magnetostratigraphic signal, together with the identification of key planktonic foraminiferal and nannofossil biostratigraphic events, allows construction of a detailed age model for the section. Based on these results, we infer that the section spans a continuous interval (within magnetochron resolution) from the middle Eocene to lower Oligocene (c. 41-27 Ma; Chrons C18r-C12r). The Monte Cagnero section, therefore, represents a sequence that is suitable for studying the impact of the Neo-Tethyan gateway closure on subtropical Eocene circulation and determining the nature and timing of palaeoceanographic changes in the Tethys through the late middle Eocene to early Oligocene interval.</t>
  </si>
  <si>
    <t>[Jovane, Luigi; Savian, Jairo F.; Bohaty, Steven M.; Wilson, Paul A.] Univ Southampton, Natl Oceanog Ctr Southampton, Southampton SO14 3ZH, Hants, England; [Jovane, Luigi] Univ Sao Paulo, Inst Oceanog, BR-05508090 Sao Paulo, Brazil; [Savian, Jairo F.] Univ Sao Paulo, Inst Astron Geofis &amp; Ciencias Atmosfer, BR-05508090 Sao Paulo, Brazil; [Coccioni, Rodolfo; Frontalini, Fabrizio; Bancala, Giuseppe] Univ Urbino Carlo Bo, Dipartimento Sci Uomo Ambiente &amp; Nat, I-61029 Urbino, Italy; [Catanzariti, Rita] CNR, Ist Geosci &amp; Georisorse, I-56124 Pisa, Italy; [Luciani, Valeria] Univ Ferrara, I-44100 Ferrara, Italy; [Florindo, Fabio] Ist Nazl Geofis &amp; Vulcanol, I-00143 Rome, Italy</t>
  </si>
  <si>
    <t>NERC National Oceanography Centre; University of Southampton; Universidade de Sao Paulo; Universidade de Sao Paulo; University of Urbino; Consiglio Nazionale delle Ricerche (CNR); Istituto di Geoscienze e Georisorse (IGG-CNR); University of Ferrara; Istituto Nazionale Geofisica e Vulcanologia (INGV)</t>
  </si>
  <si>
    <t>Jovane, L (corresponding author), Univ Southampton, Natl Oceanog Ctr Southampton, European Way, Southampton SO14 3ZH, Hants, England.</t>
  </si>
  <si>
    <t>luigijovane@gmail.com</t>
  </si>
  <si>
    <t>Florindo, Fabio/M-1459-2019; Jovane, Luigi/E-7536-2012; Florindo, Fabio/AAU-2548-2021; Florindo, Fabio/F-4119-2010; CATANZARITI, RITA/AAH-4226-2021; Jovane, Luigi/AAH-5438-2020; Catanzariti, Rita/AAH-4341-2021; Frontalini, Fabrizio/C-4819-2008; Luciani, Valeria/K-8572-2015</t>
  </si>
  <si>
    <t>Florindo, Fabio/0000-0002-6058-9748; Florindo, Fabio/0000-0002-6058-9748; CATANZARITI, RITA/0000-0002-6408-0543; Jovane, Luigi/0000-0003-4348-4714; COCCIONI, Rodolfo/0000-0003-2333-4030; Frontalini, Fabrizio/0000-0002-0425-9306; Luciani, Valeria/0000-0002-0079-9380</t>
  </si>
  <si>
    <t>NERC [NE/I006168/1] Funding Source: UKRI</t>
  </si>
  <si>
    <t>978-1-86239-354-7</t>
  </si>
  <si>
    <t>10.1144/SP373.13</t>
  </si>
  <si>
    <t>BB3MA</t>
  </si>
  <si>
    <t>WOS:000342848300004</t>
  </si>
  <si>
    <t>Savian, JF; Jovane, L; Bohaty, SM; Wilson, PA</t>
  </si>
  <si>
    <t>Savian, Jairo F.; Jovane, Luigi; Bohaty, Steven M.; Wilson, Paul A.</t>
  </si>
  <si>
    <t>Middle Eocene to early Oligocene magnetostratigraphy of ODP Hole 711A (Leg 115), western equatorial Indian Ocean</t>
  </si>
  <si>
    <t>CONTESSA HIGHWAY SECTION; ANTARCTIC GLACIATION; CLIMATIC OPTIMUM; GREENHOUSE; EVENT</t>
  </si>
  <si>
    <t>Ocean Drilling Program (ODP) Site 711, located in the western equatorial Indian Ocean near the Seychelles Archipelago on Madingley Rise, is an important site for studying middle Eocene to early Oligocene climatic evolution. This site is ideal for studying the impact of Neo-Tethyan gateway closure on Indian Ocean currents and circulation to further understand global climate changes through the greenhouse to icehouse transition. Middle Eocene-to-lower Oligocene strata recovered within Hole 711A (Cores 711A-14X to 21X) primarily consist of clay-bearing nannofossil oozes/chalks, with layers rich in radiolarians. Here, we report a high-resolution magnetostratigraphic record and a new integrated age model for the middle Eocene-to-lower Oligocene section of Hole 711A. Correlation of the polarity pattern to the geomagnetic polarity timescale provides a record from Chron C19r (middle Eocene) to C12r (early Oligocene). Our results extend the existing polarity record down into the middle Eocene and confirm published results from the lower Oligocene section of the hole. Overall, these new results from Hole 711A have important implications for identifying and dating global climate change events, and for reconstructing calcite compensation depth history at this site.</t>
  </si>
  <si>
    <t>[Savian, Jairo F.] Univ Sao Paulo, Inst Astron Geofis &amp; Ciencias Atmosfer, Dept Geofis, BR-05508090 Sao Paulo, Brazil; [Savian, Jairo F.; Jovane, Luigi; Bohaty, Steven M.; Wilson, Paul A.] Univ Southampton, Natl Oceanog Ctr, Sch Ocean &amp; Earth Sci, Southampton SO14 3ZH, Hants, England; [Jovane, Luigi] Univ Sao Paulo, Inst Oceanog, BR-05508120 Sao Paulo, Brazil</t>
  </si>
  <si>
    <t>Universidade de Sao Paulo; University of Southampton; NERC National Oceanography Centre; Universidade de Sao Paulo</t>
  </si>
  <si>
    <t>Savian, JF (corresponding author), Univ Sao Paulo, Inst Astron Geofis &amp; Ciencias Atmosfer, Dept Geofis, BR-05508090 Sao Paulo, Brazil.</t>
  </si>
  <si>
    <t>savian@iag.usp.br</t>
  </si>
  <si>
    <t>Jovane, Luigi/E-7536-2012; Jovane, Luigi/AAH-5438-2020</t>
  </si>
  <si>
    <t>Jovane, Luigi/0000-0003-4348-4714</t>
  </si>
  <si>
    <t>10.1144/SP373.16</t>
  </si>
  <si>
    <t>WOS:000342848300005</t>
  </si>
  <si>
    <t>Feige, J; Wallner, A; Fifield, LK; Korschinek, G; Merchel, S; Rugel, G; Steier, P; Winkler, SR; Golser, R</t>
  </si>
  <si>
    <t>Simenel, C; Evers, M; Kibedi, T; Luong, DH; Reed, M; Srncik, M; Wallner, A</t>
  </si>
  <si>
    <t>Feige, J.; Wallner, A.; Fifield, L. K.; Korschinek, G.; Merchel, S.; Rugel, G.; Steier, P.; Winkler, S. R.; Golser, R.</t>
  </si>
  <si>
    <t>AMS measurements of cosmogenic and supernova-ejected radionuclides in deep-sea sediment cores</t>
  </si>
  <si>
    <t>HEAVY ION ACCELERATOR SYMPOSIUM 2013</t>
  </si>
  <si>
    <t>EPJ Web of Conferences</t>
  </si>
  <si>
    <t>Symposium on Heavy Ion Accelerator</t>
  </si>
  <si>
    <t>APR 08-12, 2013</t>
  </si>
  <si>
    <t>Canberra, AUSTRALIA</t>
  </si>
  <si>
    <t>MARINE-SEDIMENTS; HALF-LIFE; BE-10; FE-60; AL-26; FACILITY; MASS</t>
  </si>
  <si>
    <t>Samples of two deep-sea sediment cores from the Indian Ocean are analyzed with accelerator mass spectrometry (AMS) to search for traces of recent supernova activity similar to 2 Myr ago. Here, long-lived radionuclides, which are synthesized in massive stars and ejected in supernova explosions, namely Al-26, Mn-53 and Fe-60, are extracted from the sediment samples. The cosmogenic isotope Be-10, which is mainly produced in the Earth's atmosphere, is analyzed for dating purposes of the marine sediment cores. The first AMS measurement results for Be-10 and Al-26 are presented, which represent for the first time a detailed study in the time period of 1.7-3.1 Myr with high time resolution. Our first results do not support a significant extraterrestrial signal of Al-26 above terrestrial background. However, there is evidence that, like Be-10, Al-26 might be a valuable isotope for dating of deep-sea sediment cores for the past few million years.</t>
  </si>
  <si>
    <t>[Feige, J.; Wallner, A.; Steier, P.; Winkler, S. R.; Golser, R.] Univ Vienna, Fac Phys, VERA Lab, Wahringerstr 17, A-1090 Vienna, Austria; [Wallner, A.; Fifield, L. K.] Australian Natl Univ, Dept Phys Nucl, Canberra, ACT 0200, Australia; [Korschinek, G.] Tech Univ Munich, Dept Phys, D-85748 Garching, Germany; [Merchel, S.; Rugel, G.] Helmholtz Zentrum Dresden Rossendorf, D-01328 Dresden, Germany</t>
  </si>
  <si>
    <t>University of Vienna; Australian National University; Technical University of Munich; Helmholtz Association; Helmholtz-Zentrum Dresden-Rossendorf (HZDR)</t>
  </si>
  <si>
    <t>Feige, J (corresponding author), Univ Vienna, Fac Phys, VERA Lab, Wahringerstr 17, A-1090 Vienna, Austria.</t>
  </si>
  <si>
    <t>jenny.feige@univie.ac.at</t>
  </si>
  <si>
    <t>Golser, Robin/D-7908-2019; Wallner, Anton/G-1480-2011; Steier, Peter/AAZ-6043-2020</t>
  </si>
  <si>
    <t>Golser, Robin/0000-0002-4934-6278; Wallner, Anton/0000-0003-2804-3670; Fifield, Leslie/0000-0003-2866-4944; Winkler, Stephan/0000-0001-8348-3260; Merchel, Silke/0000-0002-8755-3980; Steier, Peter/0000-0002-6144-2449; Feige, Jenny/0000-0002-3187-7898</t>
  </si>
  <si>
    <t>Austrian Science Fund (FWF) [P20434, I428]; European Science Foundation; U.S. National Science Foundation; Austrian Science Fund (FWF) [P20434, I428] Funding Source: Austrian Science Fund (FWF)</t>
  </si>
  <si>
    <t>Austrian Science Fund (FWF)(Austrian Science Fund (FWF)); European Science Foundation(European Science Foundation (ESF)); U.S. National Science Foundation(National Science Foundation (NSF)); Austrian Science Fund (FWF)(Austrian Science Fund (FWF))</t>
  </si>
  <si>
    <t>This work is funded by the Austrian Science Fund (FWF), project P20434 and I428 (EUROCORES project EuroGENESIS, subproject CoDustMas, funded via the European Science Foundation). This research used samples and data provided by the Antarctic Marine Geology Research Facility (AMGRF) at Florida State University. The AMGRF is sponsored by the U.S. National Science Foundation. We would like to thank the accelerator staff at DresdenRossendorf for their support. Furthermore, we thank Aline Ritter (HZDR) for stable isotope measurements and the CEREGE-team, especially Didier Bourles, for sharing detailed information on leaching procedures.</t>
  </si>
  <si>
    <t>E D P SCIENCES</t>
  </si>
  <si>
    <t>CEDEX A</t>
  </si>
  <si>
    <t>17 AVE DU HOGGAR PARC D ACTIVITES COUTABOEUF BP 112, F-91944 CEDEX A, FRANCE</t>
  </si>
  <si>
    <t>2100-014X</t>
  </si>
  <si>
    <t>EPJ WEB CONF</t>
  </si>
  <si>
    <t>10.1051/epjconf/20136303003</t>
  </si>
  <si>
    <t>Physics, Particles &amp; Fields</t>
  </si>
  <si>
    <t>Physics</t>
  </si>
  <si>
    <t>BB2UN</t>
  </si>
  <si>
    <t>WOS:000342354700047</t>
  </si>
  <si>
    <t>Sarkar, S; Mitra, S; Pramanik, A; Choudhury, JD; Bhattacharyya, A; Roy, M; Biswas, K; Mitra, A; Roy, D; Mukherjee, J</t>
  </si>
  <si>
    <t>Trincone, A</t>
  </si>
  <si>
    <t>Sarkar, Sreyashi; Mitra, Sayani; Pramanik, Arnab; Choudhury, Jayanta Debabrata; Bhattacharyya, Anirban; Roy, Malancha; Biswas, Kaushik; Mitra, Anindita; Roy, Debashis; Mukherjee, Joydeep</t>
  </si>
  <si>
    <t>Bioprocess engineering approaches for the production of marine enzymes</t>
  </si>
  <si>
    <t>MARINE ENZYMES FOR BIOCATALYSIS: SOURCES, BIOCATALYTIC CHARACTERISTICS AND BIOPROCESSES OF MARINE ENZYMES</t>
  </si>
  <si>
    <t>Woodhead Publishing Series in Biomedicine</t>
  </si>
  <si>
    <t>bioprocess; bioreactor; marine microbe; solid state fermentation; packed bed reactor; continuous cultivation; biofilm</t>
  </si>
  <si>
    <t>CONICO-CYLINDRICAL FLASK; CONTINUOUS HIGH-PRESSURE; PAENIBACILLUS SP CHE-N1; PACKED-BED REACTOR; ALKALINE PROTEASE; PROKARYOTIC DIVERSITY; CHITINASE PRODUCTION; L-GLUTAMINASE; BIOREACTOR; BACTERIUM</t>
  </si>
  <si>
    <t>This chapter focuses on the attempts made to translate novel marine enzymatic activities to commercial bioprocesses. Cultures can be suspended or immobilized in the production medium. The cylindrical tank is the most common reactor and alternatives to the stirred reactor include vessels with no mechanical agitation. There are three principal modes of bioreactor operation: batch, fed-batch and continuous. Solid-state fermentation denotes cultivation of microorganisms on solid, moist substrates. Bioreactors with novel design elements have been applied for studying and enriching marine microbes in bioreactors to attain good control of the environmental factors. Three different strategies can be distinguished for (i) mimicking the natural environment, (ii) stimulating the uncultured microbes or producing metabolites of interest and (iii) controlling redox conditions on the sediment/water interface. Some examples of laboratory reactor-scale production of marine enzymes are: protease produced by Antarctic Bacillus, immobilization of Teredinobacter turnirae and biofilm cultivation of an intertidal gamma-Proteobacterium. Xylanase was produced by the hyperthermophilic Pyrodictium abyssi and L-glutaminase by the marine fungus Beauveria bassiana in a packed-bed reactor. Continuous cultivation of Pyrococcus furiosus produced saccharification enzymes, while quinol oxidase was obtained from a barophilic Shewanella sp. grown in a pressurized vessel. Pyruvate carboxylase was obtained from hyperthermophilic Methanococcus jannaschii.</t>
  </si>
  <si>
    <t>[Sarkar, Sreyashi; Mitra, Sayani; Pramanik, Arnab; Choudhury, Jayanta Debabrata; Bhattacharyya, Anirban; Roy, Malancha; Biswas, Kaushik; Mukherjee, Joydeep] Jadavpur Univ, Sch Environm Studies, Kolkata 700032, India; [Mitra, Anindita] Jadavpur Univ, Kolkata 700032, India; [Roy, Debashis] Jadavpur Univ, Dept Chem Engn, Kolkata 700032, India</t>
  </si>
  <si>
    <t>Jadavpur University; Jadavpur University; Jadavpur University</t>
  </si>
  <si>
    <t>Sarkar, S (corresponding author), Jadavpur Univ, Sch Environm Studies, Kolkata 700032, India.</t>
  </si>
  <si>
    <t>joydeep_envstu@school.jdvu.ac.in</t>
  </si>
  <si>
    <t>Mitra, Anindita/HMU-9611-2023; Pramanik, Arnab/B-3788-2015</t>
  </si>
  <si>
    <t>Mitra, Anindita/0000-0001-7245-3621; Biswas, Kaushik/0000-0001-8313-0932</t>
  </si>
  <si>
    <t>WOODHEAD PUBL LTD</t>
  </si>
  <si>
    <t>ABINGTON HALL ABINGTON, CAMBRIDGE CB1 6AH, CAMBS, ENGLAND</t>
  </si>
  <si>
    <t>2050-0289</t>
  </si>
  <si>
    <t>978-1-908818-35-5; 978-1-907568-80-0</t>
  </si>
  <si>
    <t>WOODH PUB SER BIOMED</t>
  </si>
  <si>
    <t>10.1533/9781908818355.2.131</t>
  </si>
  <si>
    <t>Biochemistry &amp; Molecular Biology; Biotechnology &amp; Applied Microbiology; Marine &amp; Freshwater Biology; Oceanography</t>
  </si>
  <si>
    <t>BA6KK</t>
  </si>
  <si>
    <t>WOS:000337168400008</t>
  </si>
  <si>
    <t>Shaw, JD</t>
  </si>
  <si>
    <t>Foxcroft, LC; Pysek, P; Richardson, DM; Genovesi, P</t>
  </si>
  <si>
    <t>Shaw, Justine D.</t>
  </si>
  <si>
    <t>Southern Ocean Islands Invaded: Conserving Biodiversity in the World's Last Wilderness</t>
  </si>
  <si>
    <t>PLANT INVASIONS IN PROTECTED AREAS: PATTERNS, PROBLEMS AND CHALLENGES</t>
  </si>
  <si>
    <t>Invading Nature-Springer Series in Invasion Ecology</t>
  </si>
  <si>
    <t>Sub-Antarctic; Cool temperate; Eradication; Herbivores; Residence time</t>
  </si>
  <si>
    <t>ANTARCTIC MACQUARIE ISLAND; PRINCE EDWARD ISLANDS; ALIEN VASCULAR PLANTS; CLIMATE-CHANGE; HUMAN IMPACTS; POA-ANNUA; PROPAGULE PRESSURE; KERGUELEN ISLANDS; COASTAL SLOPES; MARION ISLAND</t>
  </si>
  <si>
    <t>The Southern Ocean islands are some of the most isolated landmasses in the world. Few of the islands support permanent human settlements or land based industries and as such they remain as some of the most uninvaded landscapes globally. Over 250 non-native plants are currently established across the region. Most are grasses and small herbs, and as such have similar growth forms to the native vegetation. Many of the invasive plants present today arrived several hundred years ago with whaling and sealing gangs, others have been introduced more recently with cargo and building programmes associated with research stations. The Southern Ocean Islands provide a unique opportunity to study and manage invasive plants as the islands have low propagule pressure and very few confounding factors that drive invasion processes elsewhere, such as herbivores, agriculture and land clearance. Invasive plants vary in abundance and distribution on islands and residence time has been shown to significantly influence their area of occupancy. The high protection status of the islands has led to numerous management actions and restoration programmes, some involving invasive plant eradication attempts. Rigorous biosecurity measures are essential to stem future introductions and ensure the island ecosystems remain intact.</t>
  </si>
  <si>
    <t>[Shaw, Justine D.] Univ Queensland, Sch Biol Sci, Environm Decis Grp, St Lucia, Qld, Australia; [Shaw, Justine D.] Australian Antarctic Div, Dept Environm, Hobart, Tas, Australia</t>
  </si>
  <si>
    <t>University of Queensland; Australian Antarctic Division</t>
  </si>
  <si>
    <t>Shaw, JD (corresponding author), Univ Queensland, Sch Biol Sci, Environm Decis Grp, St Lucia, Qld, Australia.</t>
  </si>
  <si>
    <t>shaw.justine@gmail.com</t>
  </si>
  <si>
    <t>Shaw, Justine/0000-0002-9603-2271</t>
  </si>
  <si>
    <t>PO BOX 17, 3300 AA DORDRECHT, NETHERLANDS</t>
  </si>
  <si>
    <t>1874-7809</t>
  </si>
  <si>
    <t>978-94-007-7750-7; 978-94-007-7749-1</t>
  </si>
  <si>
    <t>INVAD NAT SPRING SER</t>
  </si>
  <si>
    <t>Invading Nat.-Springer Ser. Invasion Ecol.</t>
  </si>
  <si>
    <t>10.1007/978-94-007-7750-7_20</t>
  </si>
  <si>
    <t>10.1007/978-94-007-7750-7</t>
  </si>
  <si>
    <t>BA9AP</t>
  </si>
  <si>
    <t>WOS:000339070100022</t>
  </si>
  <si>
    <t>Xu, CY; Xu, XL; Gao, F; Chu, FX; Wang, Q; Guo, QN</t>
  </si>
  <si>
    <t>Li, S; Li, W; Li, J</t>
  </si>
  <si>
    <t>Xu, Chenyang; Xu, Xiaoling; Gao, Fang; Chu, Fuxiang; Wang, Qi; Guo, Qiannan</t>
  </si>
  <si>
    <t>The Crystal Orientation of Hydroxyapatite Coatings Affected by the Magnetic Fields on Magnesium Alloy</t>
  </si>
  <si>
    <t>ADVANCED MATERIALS AND PROCESSES III, PTS 1 AND 2</t>
  </si>
  <si>
    <t>Applied Mechanics and Materials</t>
  </si>
  <si>
    <t>3rd International Conference on Advanced Design and Manufacturing Engineering (ADME 2013)</t>
  </si>
  <si>
    <t>JUL 13-14, 2013</t>
  </si>
  <si>
    <t>Anshan, PEOPLES R CHINA</t>
  </si>
  <si>
    <t>Hydroxyapatite; Magnetic Field; Biomimetic; Magnesium Alloy</t>
  </si>
  <si>
    <t>Hydroxyapatite coatings with biological activity on magnesium alloy can effectively reduce its degradation rate in the physiological environment. Pre-calcification was applied as the pretreatment in this paper. And then, hydroxyapatite coatings were deposited on the surface of the magnesium alloy in non-magnetic field, near the antarctic and the arctic of a constant magnetic field respectively. The morphology, phase composition and crystal structure of the coatings were analyzed using SEM and XRD. The results show that the crystals of the coatings affected by the magnetic fields are preferential orientation significantly.</t>
  </si>
  <si>
    <t>[Xu, Chenyang; Xu, Xiaoling; Gao, Fang; Chu, Fuxiang; Wang, Qi; Guo, Qiannan] China Univ Min &amp; Technol, Sch Mech Elect &amp; Informat Engn, Beijing 100083, Peoples R China</t>
  </si>
  <si>
    <t>China University of Mining &amp; Technology</t>
  </si>
  <si>
    <t>Xu, CY (corresponding author), China Univ Min &amp; Technol, Sch Mech Elect &amp; Informat Engn, Beijing 100083, Peoples R China.</t>
  </si>
  <si>
    <t>xu_chenyang@163.com; xiaoling9668@126.com; gaofang0118@126.com; fuxiangchu@163.com; qiqiasw@163.com; yczxgqn@163.com</t>
  </si>
  <si>
    <t>TRANS TECH PUBLICATIONS LTD</t>
  </si>
  <si>
    <t>DURNTEN-ZURICH</t>
  </si>
  <si>
    <t>KREUZSTRASSE 10, 8635 DURNTEN-ZURICH, SWITZERLAND</t>
  </si>
  <si>
    <t>1660-9336</t>
  </si>
  <si>
    <t>978-3-03785-842-4</t>
  </si>
  <si>
    <t>APPL MECH MATER</t>
  </si>
  <si>
    <t>395-396</t>
  </si>
  <si>
    <t>10.4028/www.scientific.net/AMM.395-396.751</t>
  </si>
  <si>
    <t>Engineering, Mechanical; Materials Science, Multidisciplinary; Mechanics</t>
  </si>
  <si>
    <t>Engineering; Materials Science; Mechanics</t>
  </si>
  <si>
    <t>BA8WU</t>
  </si>
  <si>
    <t>WOS:000338973200152</t>
  </si>
  <si>
    <t>Strahler, E</t>
  </si>
  <si>
    <t>Studenikin, AI</t>
  </si>
  <si>
    <t>Strahler, E.</t>
  </si>
  <si>
    <t>RECENT RESULTS FROM THE ICECUBE NEUTRINO TELESCOPE</t>
  </si>
  <si>
    <t>PARTICLE PHYSICS AT THE TERCENTENARY OF MIKHAIL LOMONOSOV</t>
  </si>
  <si>
    <t>15th Lomonosov Conference on Elementary Particle Physics</t>
  </si>
  <si>
    <t>AUG 18-24, 2011</t>
  </si>
  <si>
    <t>Moscow State Univ, FAc Phys, Moscow, RUSSIA</t>
  </si>
  <si>
    <t>Moscow State Univ, FAc Phys</t>
  </si>
  <si>
    <t>Ice Cube is a km(3) scale neutrino detector buried deep in the Antarctic ice. Newly completed in December 2010, Ice Cube consists of over 5000 optical modules deployed on 86 strings between 1450 m and 2450 m of depth. Of these, 8 strings comprise a densely packed subarray in the deepest, clearest ice called Deep Core, which extends the sensitivity of neutrino searches below 100 GeV. In this talk, we discuss the status of the detector and present recent results, including searches for point sources of astrophysical neutrinos and diffuse fluxes. We also discuss the atmospheric muon and neutrino spectra and present searches for signals of dark matter annihilation in the center of the sun and the galactic halo.</t>
  </si>
  <si>
    <t>[Strahler, E.; IceCube Collaboration] Vrije Univ Brussel, Interuniv Inst High Energies, B-1050 Brussels, Belgium</t>
  </si>
  <si>
    <t>Vrije Universiteit Brussel</t>
  </si>
  <si>
    <t>Strahler, E (corresponding author), Vrije Univ Brussel, Interuniv Inst High Energies, Pl Laan 2, B-1050 Brussels, Belgium.</t>
  </si>
  <si>
    <t>erik.strahler@vub.ac.be</t>
  </si>
  <si>
    <t>Sánchez, Juan Antonio Aguilar/H-4467-2015</t>
  </si>
  <si>
    <t>WORLD SCIENTIFIC PUBL CO PTE LTD</t>
  </si>
  <si>
    <t>SINGAPORE</t>
  </si>
  <si>
    <t>PO BOX 128 FARRER RD, SINGAPORE 9128, SINGAPORE</t>
  </si>
  <si>
    <t>978-981-4436-82-3</t>
  </si>
  <si>
    <t>BA8IL</t>
  </si>
  <si>
    <t>WOS:000338158800039</t>
  </si>
  <si>
    <t>Arora, M; Stevens, GW</t>
  </si>
  <si>
    <t>Duic, N; Varbanov, PS; Pierucci, S; Klemes, JJ</t>
  </si>
  <si>
    <t>Arora, Meenakshi; Stevens, Geoff W.</t>
  </si>
  <si>
    <t>Groundwater Remediation in Cold Regions</t>
  </si>
  <si>
    <t>7TH CONFERENCE ON SUSTAINABLE DEVELOPMENT OF ENERGY, WATER AND ENVIRONMENT SYSTEMS (SDEWES)</t>
  </si>
  <si>
    <t>Chemical Engineering Transactions</t>
  </si>
  <si>
    <t>7th Conference on Sustainable Development of Energy, Water and Environment Systems (SDEWES)</t>
  </si>
  <si>
    <t>JUL 01-07, 2012</t>
  </si>
  <si>
    <t>Ohrid, MACEDONIA</t>
  </si>
  <si>
    <t>ION-EXCHANGE; FIXED-BEDS; CLINOPTILOLITE; SORPTION; ZEOLITE; PB2+</t>
  </si>
  <si>
    <t>Sorption characteristics of partially soluble hydrocarbons (Toluene, Naphthalene and Xylene) on various adsorbent materials have been investigated at 40 degrees C to facilitate the development of a permeable reactive barrier (PRB) to treat oil-contaminated surface and sub-surface waters in cold regions. Inverse modelling has been utilized using the computer program CXTFIT to determine the variable parameters, axial dispersion coefficient and porosity. A set of partial differential equations was solved to describe the solute flow with appropriate initial and boundary conditions in order to develop a model to predict the future PRB and its performance in the field. The results indicated that the sorption capacity of the reactive media in fixed bed is only up to 35-63 % of the equilibrium sorption capacity. It was also found that the ADRE equation using Freundlich isotherms can best predict the column behaviour.</t>
  </si>
  <si>
    <t>[Arora, Meenakshi] Univ Melbourne, Dept Infrastruct Engn, Melbourne, Vic 3010, Australia; [Stevens, Geoff W.] Univ Melbourne, Dept Chem &amp; Biomol Engn, Melbourne, Vic 3010, Australia</t>
  </si>
  <si>
    <t>University of Melbourne; Melbourne Bioinformatics; University of Melbourne; Melbourne Bioinformatics</t>
  </si>
  <si>
    <t>Arora, M (corresponding author), Univ Melbourne, Dept Infrastruct Engn, Melbourne, Vic 3010, Australia.</t>
  </si>
  <si>
    <t>marora@unimelb.edu.au</t>
  </si>
  <si>
    <t>Arora, Meenakshi/E-1473-2011</t>
  </si>
  <si>
    <t>Arora, Meenakshi/0000-0002-6988-2844; Stevens, Geoffrey/0000-0002-5788-4682</t>
  </si>
  <si>
    <t>Particulate Fluids Processing Centre, a special Research Centre; Australian Research Council and Australian Antarctic Division</t>
  </si>
  <si>
    <t>Particulate Fluids Processing Centre, a special Research Centre; Australian Research Council and Australian Antarctic Division(Australian Research Council)</t>
  </si>
  <si>
    <t>This study was supported by the Particulate Fluids Processing Centre, a special Research Centre of Australian Research Council and Australian Antarctic Division.</t>
  </si>
  <si>
    <t>AIDIC SERVIZI SRL</t>
  </si>
  <si>
    <t>MILANO</t>
  </si>
  <si>
    <t>VIA GIUSEPPE COLOMBO 81/A, MILANO, MI 20133, ITALY</t>
  </si>
  <si>
    <t>1974-9791</t>
  </si>
  <si>
    <t>978-88-95608-25-9</t>
  </si>
  <si>
    <t>CHEM ENGINEER TRANS</t>
  </si>
  <si>
    <t>10.3303/CET1334015</t>
  </si>
  <si>
    <t>Energy &amp; Fuels; Engineering, Multidisciplinary; Engineering, Environmental</t>
  </si>
  <si>
    <t>Energy &amp; Fuels; Engineering</t>
  </si>
  <si>
    <t>BA8CJ</t>
  </si>
  <si>
    <t>WOS:000337965400015</t>
  </si>
  <si>
    <t>Jacob, J; Cardeira, S; Rodrigues, M; Bruneau, N; Azevedo, A; Fortunato, AB; Rosa, M; Cravo, A</t>
  </si>
  <si>
    <t>Jacob, Jose; Cardeira, Sara; Rodrigues, Marta; Bruneau, Nicolas; Azevedo, Alberto; Fortunato, Andre B.; Rosa, Monica; Cravo, Alexandra</t>
  </si>
  <si>
    <t>Experimental and numerical study of the hydrodynamics of the western sector of Ria Formosa</t>
  </si>
  <si>
    <t>JOURNAL OF COASTAL RESEARCH</t>
  </si>
  <si>
    <t>Article; Proceedings Paper</t>
  </si>
  <si>
    <t>12th International Coastal Symposium (ICS)</t>
  </si>
  <si>
    <t>Plymouth, ENGLAND</t>
  </si>
  <si>
    <t>lagoon system; tidal inlet; tidal prism; residual circulation; field campaign; hydrodynamic model</t>
  </si>
  <si>
    <t>INLET; MODEL</t>
  </si>
  <si>
    <t>The western sector of Ria Formosa, a lagoon system in the south of Portugal, represents approximately 90% of the total tidal prism of the lagoon and includes three inlets. Two sets of field campaigns to characterize the hydrodynamics of this sector in neap and spring tide conditions were conducted in the autumn of 2011 and spring 2012. The main findings related to the inlets hydrodynamics and water exchanges between the lagoon and the ocean along semi-diurnal tidal cycles are presented. To estimate the relative contribution of the three inlets to the water exchanges between Ria Formosa and the ocean, discharges were evaluated hourly along complete neap and spring semi-diurnal tidal cycles and the tidal prisms computed. In addition, two sea level time series measured in Faro-Olhao inlet and Faro commercial pier were harmonically analyzed. The results were compared with previous studies and used to validate the ELCIRC hydrodynamic model. This model provided additional information about the circulation and tidal prisms and distortion inside the western Ria Formosa. This study confirmed the Faro-Olhao inlet as the main inlet in terms of contribution for the total tidal prism. It is shown that the Ancao inlet lost hydraulic efficiency, contributing less than 6% to the total tidal prism in all situations and the Armona inlet gained efficiency in spring tide and lost efficiency in neap tide. Moreover, the Faro-Olhao inlet exhibits flood prisms higher than ebb prisms under neap and spring tides, suggesting a residual circulation towards the Ancao and Armona inlets.</t>
  </si>
  <si>
    <t>[Jacob, Jose; Cardeira, Sara; Rosa, Monica; Cravo, Alexandra] Univ Algarve, CIMA, P-8005139 Faro, Portugal; [Rodrigues, Marta; Bruneau, Nicolas; Azevedo, Alberto; Fortunato, Andre B.] Lab Nacl Engn Civil, P-1700066 Lisbon, Portugal; [Bruneau, Nicolas] British Antarctic Survey, London, England</t>
  </si>
  <si>
    <t>Universidade do Algarve; National Civil Engineering Laboratory; UK Research &amp; Innovation (UKRI); Natural Environment Research Council (NERC); NERC British Antarctic Survey</t>
  </si>
  <si>
    <t>Jacob, J (corresponding author), Univ Algarve, CIMA, Campus Gambelas, P-8005139 Faro, Portugal.</t>
  </si>
  <si>
    <t>jjacob@ualg.pt; sicardeira@ualg.pt; mfrodrigues@lnec.pt; nicbru@bas.ac.uk; aazevedo@lnec.pt; afortunato@lnec.pt; msrosa@ualg.pt; acravo@ualg.pt</t>
  </si>
  <si>
    <t>Bruneau, Nicolas/AAS-8232-2021; Cravo, Alexandra/I-8948-2014; Fortunato, André B./B-9494-2008; Jacob, José/AFQ-6659-2022; Estuários, NEC/D-5086-2009; Azevedo, Alberto/B-3665-2009; Rodrigues, Marta/B-4583-2009</t>
  </si>
  <si>
    <t>Bruneau, Nicolas/0000-0002-9017-1000; Cravo, Alexandra/0000-0002-2569-3929; Fortunato, André B./0000-0003-4667-1945; Jacob, Jose/0000-0001-9718-7470; Azevedo, Alberto/0000-0002-3175-7773; Rodrigues, Marta/0000-0002-9926-1918</t>
  </si>
  <si>
    <t>Portuguese Foundation for Science and Technology (FCT) [PTDC/MAR/114217/2009-COALA]</t>
  </si>
  <si>
    <t>Portuguese Foundation for Science and Technology (FCT)(Fundacao para a Ciencia e a Tecnologia (FCT))</t>
  </si>
  <si>
    <t>The authors acknowledge Commanders Guilherme Marques Ferreira and Conceicao Duarte, Captains of Faro and of Olhab ports respectively, for providing the conditions to conduct the field work. We also would like to thank Dr. Oscar Ferreira for lending the ADP to measure the current velocities, Antonio Bras and Mr. Alves for supporting the placement and maintenance of the PT in Desert island pier and the Port Authority of southern Portugal for authorizing the placement of the 2 PT's in its installations and for supporting their placement and recovery. This work was financially supported by Portuguese Foundation for Science and Technology (FCT) under the project ref: PTDC/MAR/114217/2009-COALA.</t>
  </si>
  <si>
    <t>COASTAL EDUCATION &amp; RESEARCH FOUNDATION</t>
  </si>
  <si>
    <t>COCONUT CREEK</t>
  </si>
  <si>
    <t>5130 NW 54TH STREET, COCONUT CREEK, FL 33073 USA</t>
  </si>
  <si>
    <t>0749-0208</t>
  </si>
  <si>
    <t>1551-5036</t>
  </si>
  <si>
    <t>J COASTAL RES</t>
  </si>
  <si>
    <t>J. Coast. Res.</t>
  </si>
  <si>
    <t>10.2112/SI65-340.1</t>
  </si>
  <si>
    <t>Science Citation Index Expanded (SCI-EXPANDED); Conference Proceedings Citation Index - Science (CPCI-S)</t>
  </si>
  <si>
    <t>AJ8ZC</t>
  </si>
  <si>
    <t>WOS:000337995600158</t>
  </si>
  <si>
    <t>Cho, J; Cho, J; Yun, H; Kim, T; Kim, C</t>
  </si>
  <si>
    <t>Cho, Jungho; Cho, Jaemyoung; Yun, Hongsik; Kim, Taewoo; Kim, Changwoo</t>
  </si>
  <si>
    <t>A Study of Shoreline Changes in Antarctica (Terra Nova Bay) Based on SAR Data</t>
  </si>
  <si>
    <t>SAR; Antarctica; ortho-rectification image; shoreline changes</t>
  </si>
  <si>
    <t>APERTURE RADAR IMAGERY; COASTLINE</t>
  </si>
  <si>
    <t>Unlike optical imaging, Synthetic Aperture Radar imaging can produce images regardless of the weather and the time of day, which makes it a useful tool for collecting topographical data in tropical rainforests and in the North and South Poles, where traditional optical imaging is ineffective due to the rapidly changing weather. For this study, this researcher acquired SAR imagery of Terra Nova Bay, located near the South Pole, from October 8, 2011 to March 11, 2012 to observe the changes in its shoreline in summer. SAR imagery was captured once every 11th day to determine the exact time in summer when the glaciers and ice along the shore melt. The acquired stereo SAR imagery data were then processed by applying the radargrammetric method along the shoreline to reduce the speckles specific to the SAR data, and to ensure the accuracy of the coordinates and the size of the satellite imagery, before converting them to DEM at 10m intervals, which again generated orthorectified imagery. The generated orthorectified images were then converted to a digital map with the UTM coordinate system via vectorizing, which visually represented on the map the changes that took place in the shoreline in summer. The study showed that the region was covered with ice from March to early November, which affected the activity in the base, including the access of the ice breaker. Due to the warming climate, there was no sea ice in the Terra Nova Bay for about a month in February. The ice in that area started to melt on November 21 and froze again on February 28. Accordingly, it was concluded that the best time to access the South Pole to build the Antarctic base is mid-December, and the construction crew must evacuate the area no later than March to ensure the safety of the mission.</t>
  </si>
  <si>
    <t>[Cho, Jungho; Cho, Jaemyoung; Yun, Hongsik; Kim, Taewoo; Kim, Changwoo] Sungkyunkwan Univ, Dept Civil &amp; Environm Engn, Suwon, South Korea</t>
  </si>
  <si>
    <t>Sungkyunkwan University (SKKU)</t>
  </si>
  <si>
    <t>Cho, J (corresponding author), Sungkyunkwan Univ, Dept Civil &amp; Environm Engn, Suwon, South Korea.</t>
  </si>
  <si>
    <t>cyberspace@empas.com; jmcho@skku.edu; yoonhs@skku.edu; kangkaro@skku.edu; jumbo@korea.kr</t>
  </si>
  <si>
    <t>Kim, Changwoo/K-9271-2014</t>
  </si>
  <si>
    <t>LAWRENCE</t>
  </si>
  <si>
    <t>810 EAST 10TH STREET, LAWRENCE, KS 66044 USA</t>
  </si>
  <si>
    <t>10.2112/SI65-355.1</t>
  </si>
  <si>
    <t>WOS:000337995600173</t>
  </si>
  <si>
    <t>Jones, C; Morozov, A; Manley, JE</t>
  </si>
  <si>
    <t>Jones, Clayton; Morozov, Andrey; Manley, Justin E.</t>
  </si>
  <si>
    <t>Under Ice Positioning and Communications for Unmanned Vehicles</t>
  </si>
  <si>
    <t>2013 MTS/IEEE OCEANS - BERGEN</t>
  </si>
  <si>
    <t>OCEANS-IEEE</t>
  </si>
  <si>
    <t>MTS/IEEE OCEANS Conference</t>
  </si>
  <si>
    <t>JUN 10-14, 2013</t>
  </si>
  <si>
    <t>Bergen, NORWAY</t>
  </si>
  <si>
    <t>SOUND</t>
  </si>
  <si>
    <t>Unmanned gliders have demonstrated long endurance operations and are the platform of choice for broad scale meteorology and oceanography (METOC). With buoyancy engines, gliders can operate for months and have demonstrated success with common oceanographic sensors. Likewise low frequency acoustics have been used for basin scale tomography for many years. Together these technologies present a comprehensive tool for under-ice operations. Low frequency acoustics show promise as a method to locate undersea vehicles. This is especially valuable in the arctic environment where ice cover prohibits routine surfacing for GPS fixes. The overall capabilities of this combined system are presented in this paper. This paper builds upon demonstrated results in under-ice and open water environments to present a systematic vision of future capabilities. While the entire system, as discussed, has not been fielded under-ice, the component capabilities have been proven in field programs. Emerging technologies will improve the concept. The primary application will be navigation and telemetry for unmanned vehicles operating in ice covered waters. With effective navigation and telemetry, the demonstrated long endurance of unmanned gliders can be applied to regional environmental monitoring and offshore operational needs in the arctic and Antarctic. Underwater acoustic systems can provide geo-location and telemetry in ice-covered regions. Broadband sound sources with precision clocks can provide underwater navigation in the Arctic, with frequency and signals selected for the ranges of interest, which span tens to thousands of kilometres. Initial experiments in the Fram Strait in 2010 have shown the utility of the single-tube source for transmitting long-range communications and navigation signals. This paper presents results from these trials, and others, and assess the potential performance of a combined glider/acoustic system for under ice environmental monitoring.</t>
  </si>
  <si>
    <t>[Jones, Clayton; Morozov, Andrey] Teledyne Webb Res, East Falmouth, MA 02536 USA; [Manley, Justin E.] Teledyne Benthos, N Falmouth, MA 02536 USA</t>
  </si>
  <si>
    <t>Jones, C (corresponding author), Teledyne Webb Res, East Falmouth, MA 02536 USA.</t>
  </si>
  <si>
    <t>Justin.manley@teledyne.com</t>
  </si>
  <si>
    <t>Morozov, Andrey S./H-5738-2016</t>
  </si>
  <si>
    <t>WHOI; Office of Naval Research (ONR)</t>
  </si>
  <si>
    <t>WHOI; Office of Naval Research (ONR)(Office of Naval Research)</t>
  </si>
  <si>
    <t>Some of this work was supported by a grant from the WHOI Arctic Research Initiative program and by the Office of Naval Research (ONR). Special thanks to Hanne Sagen and Stein Sandven from NERSC (Norway) for accommodating the test described here into the ACOBAR cruise in the Fram Strait, and to Agnieszka Beszczynska-Moller, Eberhard Fahrbach from AWI (Germany) and Peter Worcester from Scripps, UCSD, CA (USA) for their work with the Fram Strait tomography sources.</t>
  </si>
  <si>
    <t>0197-7385</t>
  </si>
  <si>
    <t>978-1-4799-0000-8; 978-1-4799-0002-2</t>
  </si>
  <si>
    <t>Computer Science, Theory &amp; Methods; Engineering, Electrical &amp; Electronic; Telecommunications</t>
  </si>
  <si>
    <t>Computer Science; Engineering; Telecommunications</t>
  </si>
  <si>
    <t>BA4AU</t>
  </si>
  <si>
    <t>WOS:000335313100037</t>
  </si>
  <si>
    <t>Kariminia, S; Ahmad, SS; Hashim, R; Ismail, Z</t>
  </si>
  <si>
    <t>Abbas, MY</t>
  </si>
  <si>
    <t>Kariminia, Shahab; Ahmad, Sabarinah Sh.; Hashim, Rugayah; Ismail, Zulhabri</t>
  </si>
  <si>
    <t>Environmental Consequences of Antarctic Tourism from a Global Perspective</t>
  </si>
  <si>
    <t>ASIA PACIFIC INTERNATIONAL CONFERENCE ON ENVIRONMENT-BEHAVIOUR STUDIES (AICE-BS 2013) LONDON</t>
  </si>
  <si>
    <t>Procedia Social and Behavioral Sciences</t>
  </si>
  <si>
    <t>4th Asia Pacific International Conference on Environment-Behaviour Studies (AicE-Bs)</t>
  </si>
  <si>
    <t>SEP 04-06, 2013</t>
  </si>
  <si>
    <t>Univ Westminster, Sch Architecture &amp; Built Environm, London, ENGLAND</t>
  </si>
  <si>
    <t>Univ Westminster, Sch Architecture &amp; Built Environm</t>
  </si>
  <si>
    <t>Antarctic tourism; environmental impact; categorization; global perspective</t>
  </si>
  <si>
    <t>MANAGEMENT</t>
  </si>
  <si>
    <t>Antarctica tourism evidently harms its ecosystem in direct and indirect ways. Ecosystems are dynamic and complex systems, which simultaneously depend on various humanity and natural factors. The nature of tourist activities continuously changes, which in turn needs improved policies and protection standards. If the varied tourism activities and the diverse consequent impacts are not adequately addressed, they would not be thoroughly considered by international treaties. This could pose unacceptable environmental risks supposedly legally safeguarded by these treaties. Hence, this study elaborated Antarctic tourism impacts in five major groups from a global perspetive. The results are useful for future legislations and implementations. (C) 2013 The Authors. Published by Elsevier Ltd.</t>
  </si>
  <si>
    <t>[Kariminia, Shahab; Ahmad, Sabarinah Sh.; Ismail, Zulhabri] Univ Teknol MARA, Fac Architecture Planning &amp; Surveying, Shah Alam 40450, Malaysia; [Hashim, Rugayah] Univ Teknol MARA, Fac Adm Sci &amp; Policy Studies, Shah Alam 40450, Malaysia</t>
  </si>
  <si>
    <t>Universiti Teknologi MARA; Universiti Teknologi MARA</t>
  </si>
  <si>
    <t>Ahmad, SS (corresponding author), Univ Teknol MARA, Fac Architecture Planning &amp; Surveying, Shah Alam 40450, Malaysia.</t>
  </si>
  <si>
    <t>sabar643@salam.uitm.edu.my</t>
  </si>
  <si>
    <t>Hashim, Rugayah Gy/C-9708-2010; Ahmad, Sabarinah/J-7659-2015; S.Band, Shahab/AAD-3311-2021; Ahmad, Sabarinah Sheikh/ABD-3419-2020; Sh.Ahmad, Sabarinah/AAD-8652-2019</t>
  </si>
  <si>
    <t>Hashim, Rugayah Gy/0000-0002-4807-9024; Ahmad, Sabarinah/0000-0002-9405-045X; Sh.Ahmad, Sabarinah/0000-0002-9405-045X</t>
  </si>
  <si>
    <t>Ministry of Higher Education Malaysia [600-RMI/LRGS 5/3 (4/2011)]</t>
  </si>
  <si>
    <t>Ministry of Higher Education Malaysia(Ministry of Education, Malaysia)</t>
  </si>
  <si>
    <t>This study is made possible through research funding by the Ministry of Higher Education Malaysia under the Long Term Research Grant Scheme (Project No: 600-RMI/LRGS 5/3 (4/2011).</t>
  </si>
  <si>
    <t>SARA BURGERHARTSTRAAT 25, PO BOX 211, 1000 AE AMSTERDAM, NETHERLANDS</t>
  </si>
  <si>
    <t>1877-0428</t>
  </si>
  <si>
    <t>PROCD SOC BEHV</t>
  </si>
  <si>
    <t>10.1016/j.sbspro.2013.11.081</t>
  </si>
  <si>
    <t>Environmental Studies; Social Sciences, Interdisciplinary</t>
  </si>
  <si>
    <t>Conference Proceedings Citation Index - Social Science &amp; Humanities (CPCI-SSH)</t>
  </si>
  <si>
    <t>Environmental Sciences &amp; Ecology; Social Sciences - Other Topics</t>
  </si>
  <si>
    <t>BA4KF</t>
  </si>
  <si>
    <t>WOS:000335888400080</t>
  </si>
  <si>
    <t>Barghini, P; Esti, M; Pasqualetti, M; Silvi, S; Aquilanti, A; Fenice, M</t>
  </si>
  <si>
    <t>Barghini, P.; Esti, M.; Pasqualetti, M.; Silvi, S.; Aquilanti, A.; Fenice, M.</t>
  </si>
  <si>
    <t>INHIBITION OF THE OCHRATOXIN-A PRODUCER Aspergillus carbonarius ON WHITE AND RED GRAPES BY CRUDE CELL-WALL DEGRADING ENZYMES FROM THE ANTARCTIC FUNGUS Lecanicillium muscarium CCFEE 5003</t>
  </si>
  <si>
    <t>JOURNAL OF ENVIRONMENTAL PROTECTION AND ECOLOGY</t>
  </si>
  <si>
    <t>Ochratoxin A; cell-wall degrading enzymes; Lecanicillium muscarium; white and red grape; contamination reduction</t>
  </si>
  <si>
    <t>CHITINOLYTIC ENZYMES; ECOLOGY; GROWTH</t>
  </si>
  <si>
    <t>Ochratoxin A (OTA), a potent nephrotoxic and human carcinogenic agent, is found frequently in agricultural products such as cereals, coffee, cocoa beans, dried fruits, beers, grape musts and wines. OTA is produced by several molds belonging to species of Aspergillus and Penicillus. Several studies showed that A. carbonarius is the main OTA-producer in grapes and musts, particularly during post-harvest. Cell-wall degrading enzymes (CWDE), such as chitinases and glucanases, could reduce fungal contamination on several plant structures and could be used in food technology to reduce occurrence of these contaminants. The Antarctic fungus Lecanicillium muscarium CCFEE 5003 is a strong producer of CWDE, chitinases in particular. In this work, white and black grape bunches were inoculated with spore suspension of A. carbonarius to simulate natural contamination. Grapes were then treated with crude CWDE solution from L. muscarium in order to study possible inhibition of the OTA-producer in post-harvest conditions. Presence of contaminants on untreated grapes (control) was very high (&gt; 2000 cfu/ml). On treated bunches residual spores were 95 and 89% less than on the control, in white and red grape, respectively. Light microscopy showed that the enzyme solution caused various spore damages such as cell-wall disruption and protoplast formation and bursting.</t>
  </si>
  <si>
    <t>[Barghini, P.; Pasqualetti, M.; Silvi, S.; Aquilanti, A.; Fenice, M.] Univ Tuscia, Dipartimento Sci Ecol &amp; Biol, DEB, I-01100 Viterbo, Italy; [Esti, M.] Univ Tuscia, Dipartimento Innovaz Sistemi Biol Agroalimentari, DIBAF, I-01100 Viterbo, Italy</t>
  </si>
  <si>
    <t>Tuscia University; Tuscia University</t>
  </si>
  <si>
    <t>Fenice, M (corresponding author), Univ Tuscia, Dipartimento Sci Ecol &amp; Biol, DEB, I-01100 Viterbo, Italy.</t>
  </si>
  <si>
    <t>fenice@unitus.it</t>
  </si>
  <si>
    <t>Pasqualetti, Marcella/AAA-6047-2020; Barghini, Paolo/AAA-5865-2020; Fenice, Massimiliano/L-9195-2014</t>
  </si>
  <si>
    <t>Pasqualetti, Marcella/0000-0002-2032-5596; Fenice, Massimiliano/0000-0001-8504-0885; Esti, Marco/0000-0001-7316-205X; Barghini, Paolo/0000-0001-6014-1321</t>
  </si>
  <si>
    <t>SCIBULCOM LTD</t>
  </si>
  <si>
    <t>SOFIA</t>
  </si>
  <si>
    <t>PO BOX 249, 1113 SOFIA, BULGARIA</t>
  </si>
  <si>
    <t>1311-5065</t>
  </si>
  <si>
    <t>J ENVIRON PROT ECOL</t>
  </si>
  <si>
    <t>J. Environ. Prot. Ecol.</t>
  </si>
  <si>
    <t>AH5RW</t>
  </si>
  <si>
    <t>WOS:000336189800023</t>
  </si>
  <si>
    <t>Xu, B; Gu, BZ; Du, FJ; Yang, SH</t>
  </si>
  <si>
    <t>Gao, QJ</t>
  </si>
  <si>
    <t>Xu, Bo; Gu, Bozhong; Du, Fujia; Yang, Shihai</t>
  </si>
  <si>
    <t>Research on application of high precision angle encoder in Antarctic telescope</t>
  </si>
  <si>
    <t>ADVANCES IN MATERIAL SCIENCE, MECHANICAL ENGINEERING AND MANUFACTURING</t>
  </si>
  <si>
    <t>Advanced Materials Research</t>
  </si>
  <si>
    <t>3rd International Conference on Machinery, Materials Science and Engineering Applications (MMSE 2013)</t>
  </si>
  <si>
    <t>JUN 20-21, 2013</t>
  </si>
  <si>
    <t>Wuhan, PEOPLES R CHINA</t>
  </si>
  <si>
    <t>Antarctic telescope; angle encoder; thermal control; CFD</t>
  </si>
  <si>
    <t>The extremely low temperature in Antarctic inland area has taken a new challenge for telescope design and develop, the adaptability of components and parts in telescope for the environment close to space. The application of high accuracy encoder is the only way to improve the accuracy of tracking, however, due to the temperature requirement, there is no application of encoder under such a low temperature ever since. To realize the high accuracy of tracking and steering in telescope, high accuracy encoders must be applied in it. Based on the analysis of influence on encoder caused by temperature, an initial thermal control measure is carried out. Secondly, the thermal control measure is optimized with the method that consists of CFD simulations and experiments. Finally, an effective thermal control measure is applied on the second telescope of the 3 Antarctic Schmidt Telescopes (AST3). By the comparison of normal temperature experiment and low temperature experiment, the encoder can reach a temperature of about 25 degrees when it is under the circumstance of -80 degrees after the thermal control works, and the power consumes by the thermal control is less than 6W. The experiment result indicates that the thermal control measure can fit the requirement of temperature that ranges from -10 degrees to 80 degrees and the lowly consuming power requirement, the encoder can reliably work in low temperature with the thermal control measure works.</t>
  </si>
  <si>
    <t>[Xu, Bo; Gu, Bozhong; Du, Fujia; Yang, Shihai] Chinese Acad Sci, Nanjing Inst Astron Opt &amp; Technol, Natl Astron Observ, Nanjing 210042, Jiangsu, Peoples R China</t>
  </si>
  <si>
    <t>Chinese Academy of Sciences; Nanjing Institute of Astronomical Optics &amp; Technology, NAOC, CAS; National Astronomical Observatory, CAS</t>
  </si>
  <si>
    <t>Xu, B (corresponding author), Chinese Acad Sci, Nanjing Inst Astron Opt &amp; Technol, Natl Astron Observ, Nanjing 210042, Jiangsu, Peoples R China.</t>
  </si>
  <si>
    <t>bxu@niaot.ac.cn; bzhgu@niaot.ac.cn; fjdu@niaot.ac.cn; shyang@niaot.ac.cn</t>
  </si>
  <si>
    <t>Yang, Shihai/J-1593-2012</t>
  </si>
  <si>
    <t>STAFA-ZURICH</t>
  </si>
  <si>
    <t>LAUBLSRUTISTR 24, CH-8717 STAFA-ZURICH, SWITZERLAND</t>
  </si>
  <si>
    <t>1022-6680</t>
  </si>
  <si>
    <t>978-3-03785-759-5</t>
  </si>
  <si>
    <t>ADV MATER RES-SWITZ</t>
  </si>
  <si>
    <t>10.4028/www.scientific.net/AMR.744.511</t>
  </si>
  <si>
    <t>Engineering, Manufacturing; Engineering, Mechanical; Materials Science, Multidisciplinary</t>
  </si>
  <si>
    <t>Engineering; Materials Science</t>
  </si>
  <si>
    <t>BA4HN</t>
  </si>
  <si>
    <t>WOS:000335721300110</t>
  </si>
  <si>
    <t>Argentini, S; Petenko, I; Viola, A; Mastrantonio, G; Pietroni, I; Casasanta, G; Aristidi, E; Genthon, C</t>
  </si>
  <si>
    <t>Argentini, Stefania; Petenko, Igor; Viola, Angelo; Mastrantonio, Giangiuseppe; Pietroni, Ilaria; Casasanta, Giampietro; Aristidi, Eric; Genthon, Christophe</t>
  </si>
  <si>
    <t>The surface layer observed by a high-resolution sodar at DOME C, Antarctica</t>
  </si>
  <si>
    <t>ANNALS OF GEOPHYSICS</t>
  </si>
  <si>
    <t>PLATEAU; SUMMER; CLOUDS; SITE</t>
  </si>
  <si>
    <t>A one-year field experiment started on December 2011 at the French - Italian station of Concordia at Dome C, East Antarctic Plateau. The objective of the experiment was the study of the surface layer turbulent processes under stable/very stable stratifications, and the mechanisms leading to the formation of the warming events. A sodar was improved to achieve the vertical/temporal resolution needed to study these processes. The system, named surface layer sodar (SL-sodar), may operate both in high vertical resolution (low range) and low vertical resolution (high range) modes. SL-sodar observations were complemented with in situ turbulence and radiation measurements. A few preliminary results, concerning the standard summer diurnal cycle, a summer warming event, and unusually high frequency boundary layer atmospheric gravity waves are presented.</t>
  </si>
  <si>
    <t>[Argentini, Stefania; Petenko, Igor; Viola, Angelo; Mastrantonio, Giangiuseppe; Pietroni, Ilaria; Casasanta, Giampietro] CNR, Ist Sci Atmosfera &amp; Clima, Rome, Italy; [Aristidi, Eric] UNS CNRS OCA, Lab Lagrange, Nice 2, France; [Genthon, Christophe] UJF Grenoble 1, Lab Glaciol &amp; Geophys Environm, Grenoble, France</t>
  </si>
  <si>
    <t>Consiglio Nazionale delle Ricerche (CNR); Istituto di Scienze dell'Atmosfera e del Clima (ISAC-CNR); Centre National de la Recherche Scientifique (CNRS); Communaute Universite Grenoble Alpes; Universite Grenoble Alpes (UGA)</t>
  </si>
  <si>
    <t>Casasanta, G (corresponding author), CNR, Ist Sci Atmosfera &amp; Clima, Rome, Italy.</t>
  </si>
  <si>
    <t>g.casasanta@isac.cnr.it</t>
  </si>
  <si>
    <t>viola, angelo p/C-7184-2015</t>
  </si>
  <si>
    <t>ARGENTINI, STEFANIA/0000-0002-7939-0309; PETENKO, IGOR/0000-0002-8475-5018; viola, angelo pietro/0000-0002-6545-7496</t>
  </si>
  <si>
    <t>Italian National Research Programme (PNRA) in the frame of French-Italian projects for Dome C</t>
  </si>
  <si>
    <t>This research is supported by the Italian National Research Programme (PNRA) in the frame of French-Italian projects for Dome C. The authors thank Mr. A. Conidi, Mr. N. Ferrara, and Mr. S. Ciampichetti for the technical support provided in the realization of the SL-sodar antennas, and the logistics staff of the Concordia station during the field work</t>
  </si>
  <si>
    <t>IST NAZIONALE DI GEOFISICA E VULCANOLOGIA</t>
  </si>
  <si>
    <t>ROME</t>
  </si>
  <si>
    <t>VIA VIGNA MURATA 605, ROME, 00143, ITALY</t>
  </si>
  <si>
    <t>1593-5213</t>
  </si>
  <si>
    <t>2037-416X</t>
  </si>
  <si>
    <t>ANN GEOPHYS-ITALY</t>
  </si>
  <si>
    <t>Ann. Geophys.</t>
  </si>
  <si>
    <t>10.4401/ag-6347</t>
  </si>
  <si>
    <t>AH0SW</t>
  </si>
  <si>
    <t>Green Submitted, gold</t>
  </si>
  <si>
    <t>WOS:000335831700001</t>
  </si>
  <si>
    <t>Lovegrove, I</t>
  </si>
  <si>
    <t>Giannantonio, CM; HurleyHanson, AE</t>
  </si>
  <si>
    <t>Lovegrove, Ian</t>
  </si>
  <si>
    <t>Leaders in Antarctica: characteristics of an Antarctic station manager</t>
  </si>
  <si>
    <t>EXTREME LEADERSHIP: LEADERS, TEAMS AND SITUATIONS OUTSIDE THE NORM</t>
  </si>
  <si>
    <t>New Horizons in Leadership Studies</t>
  </si>
  <si>
    <t>EDWARD ELGAR PUBLISHING LTD</t>
  </si>
  <si>
    <t>CHELTENHAM</t>
  </si>
  <si>
    <t>THE LYPIATTS, 15 LANSDOWN RD, CHELTENHAM GL50 2JA, GLOS, ENGLAND</t>
  </si>
  <si>
    <t>978-1-78100-212-4; 978-1-78100-211-7</t>
  </si>
  <si>
    <t>NEW HORIZ LEADERSH S</t>
  </si>
  <si>
    <t>Business; Management</t>
  </si>
  <si>
    <t>Business &amp; Economics</t>
  </si>
  <si>
    <t>BA1MU</t>
  </si>
  <si>
    <t>WOS:000332720100006</t>
  </si>
  <si>
    <t>Quilty, PG</t>
  </si>
  <si>
    <t>Bowden, AJ; Gregory, FJ; Henderson, AS</t>
  </si>
  <si>
    <t>Quilty, Patrick G.</t>
  </si>
  <si>
    <t>Foraminiferology in Australia, 1843-present</t>
  </si>
  <si>
    <t>LANDMARKS IN FORAMINIFERAL MICROPALAEONTOLOGY: HISTORY AND DEVELOPMENT</t>
  </si>
  <si>
    <t>Micropaleaeontological Society Special Publications</t>
  </si>
  <si>
    <t>JURASSIC-FORAMINIFERA; SEDIMENTATION CYCLES; EXMOUTH PLATEAU; BASIN; EVOLUTION; MARINE; BIOSTRATIGRAPHY; ENVIRONMENTS; SUCCESSION; HISTORY</t>
  </si>
  <si>
    <t>Studies of foraminifera in Australia can be divided into three phases: colonial, when studies were conducted on samples supplied by visitors to Australia, generally in the United Kingdom; transitional, when work was done in Australia largely by specialists who migrated; and the home-grown or modern era, when Australia produced its own students who either did the work in Australia or called upon international expertise when appropriate. Australian foraminiferologists now study samples from nearby countries that do not have their own specialists. Many specialists have been involved but few in academia have been able to develop long-lasting 'schools' of study. The large area, long geological record and small number of institutions and workers ensure that scope exists for an exciting future. This paper documents the Phanerozoic history of marine sedimentation and major results, and comments briefly on the main students of foraminifera in Australia. Foraminifera have been critical fossils in the evolution of an understanding of Australian marine stratigraphy, particularly from Devonian and younger sections.</t>
  </si>
  <si>
    <t>[Quilty, Patrick G.] Univ Tasmania, Inst Marine &amp; Antarctic Studies, Hobart, Tas 7001, Australia; [Quilty, Patrick G.] Univ Tasmania, Sch Earth Sci, Hobart, Tas 7001, Australia</t>
  </si>
  <si>
    <t>Quilty, PG (corresponding author), Univ Tasmania, Inst Marine &amp; Antarctic Studies, Private Bag 79, Hobart, Tas 7001, Australia.</t>
  </si>
  <si>
    <t>P.Quilty@utas.edu.au</t>
  </si>
  <si>
    <t>978-1-86239-371-4</t>
  </si>
  <si>
    <t>MICROPALEAEONTOLOGIC</t>
  </si>
  <si>
    <t>Geology; Microbiology; Paleontology</t>
  </si>
  <si>
    <t>BA1FL</t>
  </si>
  <si>
    <t>WOS:000332424200019</t>
  </si>
  <si>
    <t>Guo, J; Li, XC; Zhang, YY; Zhang, L; Yu, CF; Guan, FC; Wang, ZC</t>
  </si>
  <si>
    <t>Varma, KBR</t>
  </si>
  <si>
    <t>Guo, Jing; Li, Xuecai; Zhang, Yuyan; Zhang, Li; Yu, Chunfang; Guan, Fucheng; Wang, Zhichao</t>
  </si>
  <si>
    <t>The study of rheological and mechanical properties of the Antarctic krill protein/sodium alginate fibers</t>
  </si>
  <si>
    <t>METALLURGY TECHNOLOGY AND MATERIALS II</t>
  </si>
  <si>
    <t>2nd International Conference on Metallurgy Technology and Materials (ICMTM)</t>
  </si>
  <si>
    <t>JUN 25-26, 2013</t>
  </si>
  <si>
    <t>Hong Kong, PEOPLES R CHINA</t>
  </si>
  <si>
    <t>Antarctic krill Protein(AKP); Antarctic krill Protein/Sodium alginate(AKP/SA) fibers; wet spinning; Property</t>
  </si>
  <si>
    <t>protein was extracted from Antarctic krill(AK), then blended with sodium alginate (SA), prepare the spinning solution, the rheological properties of spinning solution were studied by Brookfield DV-C digital viscosimeter. AKP/SA fibers were prepared via wet spinning with CaCl2 and PEG as coagulator. The morphology, tensile strength and thermal property of AKP/SA fibers were characterized by polarized light microscopy, monofilament strength tester and thermal gravimetric analysis (TGA) instrument. The result shows that the shear viscosities of spinning solution decrease with the increasing of shear rate and decreasing of concentration, the optimal Preparation Process of AKP/SA fibers were 5% concentration of SA, proportion of 1: 9 for AKP solution to SA solution, and proportion of 5:1 for CaCl2 to PEG. The cross-section of AKP/SA fiber is a jagged shape. Thermal property of AKP/SA fibers is similar to SA fibers.</t>
  </si>
  <si>
    <t>[Guo, Jing; Li, Xuecai; Zhang, Yuyan; Zhang, Li; Yu, Chunfang; Guan, Fucheng; Wang, Zhichao] Dalian Polytech Univ, Sch Text &amp; Mat Engn, Liaoning, Peoples R China</t>
  </si>
  <si>
    <t>Dalian Polytechnic University</t>
  </si>
  <si>
    <t>Guo, J (corresponding author), Dalian Polytech Univ, Sch Text &amp; Mat Engn, Liaoning, Peoples R China.</t>
  </si>
  <si>
    <t>guojing8161@163.com; xcai99@163.com; zyyrainy@163.com</t>
  </si>
  <si>
    <t>guan, fucheng/IXN-7582-2023; Wang, Zhichao/JDC-3833-2023</t>
  </si>
  <si>
    <t>guan, fucheng/0009-0003-0528-6829;</t>
  </si>
  <si>
    <t>978-3-03785-853-0</t>
  </si>
  <si>
    <t>10.4028/www.scientific.net/AMR.813.377</t>
  </si>
  <si>
    <t>Materials Science, Multidisciplinary; Metallurgy &amp; Metallurgical Engineering; Mining &amp; Mineral Processing</t>
  </si>
  <si>
    <t>Materials Science; Metallurgy &amp; Metallurgical Engineering; Mining &amp; Mineral Processing</t>
  </si>
  <si>
    <t>BA3PI</t>
  </si>
  <si>
    <t>WOS:000334556700079</t>
  </si>
  <si>
    <t>Rohwer, JA; Thompson, M; Bickel, DL; Bielek, TP; Sander, GJ</t>
  </si>
  <si>
    <t>Rohwer, J. A.; Thompson, M.; Bickel, D. L.; Bielek, T. P.; Sander, G. J.</t>
  </si>
  <si>
    <t>An X-band Crevasse Detection Radar for the Arctic and Antarctic</t>
  </si>
  <si>
    <t>2013 IEEE RADAR CONFERENCE (RADAR)</t>
  </si>
  <si>
    <t>IEEE Radar Conference</t>
  </si>
  <si>
    <t>IEEE Radar Conference (RADAR)</t>
  </si>
  <si>
    <t>APR 29-MAY 03, 2013</t>
  </si>
  <si>
    <t>Ottawa, CANADA</t>
  </si>
  <si>
    <t>Sandia National Laboratories has had an ongoing project with New York Air National Guard to develop and deliver X-band crevasse detection imaging radars systems. The radar has successfully collected data and detected crevasses in the Arctic and Antarctica. Recently four radar systems were delivered and transitioned to the Guard. This paper discusses the radar systems and shows results from actual data collections in these regions.</t>
  </si>
  <si>
    <t>[Rohwer, J. A.; Thompson, M.; Bickel, D. L.; Bielek, T. P.; Sander, G. J.] Sandia Natl Labs, Albuquerque, NM 87185 USA</t>
  </si>
  <si>
    <t>United States Department of Energy (DOE); Sandia National Laboratories</t>
  </si>
  <si>
    <t>Rohwer, JA (corresponding author), Sandia Natl Labs, POB 5800, Albuquerque, NM 87185 USA.</t>
  </si>
  <si>
    <t>dlbicke@sandia.gov</t>
  </si>
  <si>
    <t>1097-5764</t>
  </si>
  <si>
    <t>978-1-4673-5794-4; 978-1-4673-5792-0</t>
  </si>
  <si>
    <t>IEEE RAD CONF</t>
  </si>
  <si>
    <t>Engineering, Electrical &amp; Electronic; Physics, Applied; Telecommunications</t>
  </si>
  <si>
    <t>Engineering; Physics; Telecommunications</t>
  </si>
  <si>
    <t>BA1GF</t>
  </si>
  <si>
    <t>WOS:000332480800072</t>
  </si>
  <si>
    <t>Luo, W; Yu, ZY; Hu, Y; Yuan, LW</t>
  </si>
  <si>
    <t>Simos, T; Psihoyios, G; Tsitouras, C</t>
  </si>
  <si>
    <t>Luo, Wen; Yu, Zhaoyuan; Hu, Yong; Yuan, Linwang</t>
  </si>
  <si>
    <t>Clifford Algebra-based Spatio-temporal Modelling and Analysis for Complex Geo-simulation Data</t>
  </si>
  <si>
    <t>11TH INTERNATIONAL CONFERENCE OF NUMERICAL ANALYSIS AND APPLIED MATHEMATICS 2013, PTS 1 AND 2 (ICNAAM 2013)</t>
  </si>
  <si>
    <t>AIP Conference Proceedings</t>
  </si>
  <si>
    <t>11th International Conference of Numerical Analysis and Applied Mathematics (ICNAAM)</t>
  </si>
  <si>
    <t>SEP 21-27, 2013</t>
  </si>
  <si>
    <t>GREECE</t>
  </si>
  <si>
    <t>Clifford algebra; Data Modelling; Principal curvature; Antarctic</t>
  </si>
  <si>
    <t>GEOMETRIC ALGEBRA</t>
  </si>
  <si>
    <t>The spatio-temporal data simulating Ice-Land-Ocean interaction of Antarctic are used to demonstrate the Clifford algebra-based data model construction, spatio-temporal query and data analysis. The results suggest that Clifford algebra provides a powerful mathematical tool for the whole modelling and analysis chains for complex geo-simulation data. It can also help implement spatio-temporal analysis algorithms more clearly and simply.</t>
  </si>
  <si>
    <t>[Luo, Wen; Yu, Zhaoyuan; Hu, Yong; Yuan, Linwang] Nanjing Normal Univ, Key Lab Virtual Geog Environm, Minist Educ, Nanjing, Jiangsu, Peoples R China</t>
  </si>
  <si>
    <t>Nanjing Normal University</t>
  </si>
  <si>
    <t>Luo, W (corresponding author), Nanjing Normal Univ, Key Lab Virtual Geog Environm, Minist Educ, 1 Wenyuan Rd, Nanjing, Jiangsu, Peoples R China.</t>
  </si>
  <si>
    <t>Yu, Zhaoyuan/I-3356-2019</t>
  </si>
  <si>
    <t>Yu, Zhaoyuan/0000-0003-4225-9435</t>
  </si>
  <si>
    <t>AMER INST PHYSICS</t>
  </si>
  <si>
    <t>MELVILLE</t>
  </si>
  <si>
    <t>2 HUNTINGTON QUADRANGLE, STE 1NO1, MELVILLE, NY 11747-4501 USA</t>
  </si>
  <si>
    <t>0094-243X</t>
  </si>
  <si>
    <t>978-0-7354-1185-2</t>
  </si>
  <si>
    <t>AIP CONF PROC</t>
  </si>
  <si>
    <t>10.1063/1.4825547</t>
  </si>
  <si>
    <t>Mathematics, Applied; Physics, Applied</t>
  </si>
  <si>
    <t>Mathematics; Physics</t>
  </si>
  <si>
    <t>BA0IB</t>
  </si>
  <si>
    <t>WOS:000331472800130</t>
  </si>
  <si>
    <t>Briggs, R; Pollard, D; Tarasov, L</t>
  </si>
  <si>
    <t>Briggs, R.; Pollard, D.; Tarasov, L.</t>
  </si>
  <si>
    <t>A glacial systems model configured for large ensemble analysis of Antarctic deglaciation</t>
  </si>
  <si>
    <t>CRYOSPHERE</t>
  </si>
  <si>
    <t>OCEAN CIRCULATION BENEATH; FILCHNER-RONNE ICE; INTERCOMPARISON PROJECT; PART 1; SHEET; SHELF; PARAMETERIZATION; RECONSTRUCTIONS; CHRONOLOGIES; FLOW</t>
  </si>
  <si>
    <t>This article describes the Memorial University of Newfoundland/Penn State University (MUN/PSU) glacial systems model (GSM) that has been developed specifically for large-ensemble data-constrained analysis of past Antarctic Ice Sheet evolution. Our approach emphasizes the introduction of a large set of model parameters to explicitly account for the uncertainties inherent in the modelling of such a complex system. At the core of the GSM is a 3-D thermo-mechanically coupled ice sheet model that solves both the shallow ice and shallow shelf approximations. This enables the different stress regimes of ice sheet, ice shelves, and ice streams to be represented. The grounding line is modelled through an analytical sub-grid flux parameterization. To this dynamical core the following have been added: a heavily parameterized basal drag component; a visco-elastic isostatic adjustment solver; a diverse set of climate forcings (to remove any reliance on any single method); tidewater and ice shelf calving functionality; and a new physically motivated, empirically-derived sub-ice-shelf melt (SSM) component. To assess the accuracy of the latter, we compare predicted SSM values against a compilation of published observations. Within parametric and observational uncertainties, computed SSM for the present-day ice sheet is in accord with observations for all but the Filchner ice shelf. The GSM has 31 ensemble parameters that are varied to account (in part) for the uncertainty in the ice physics, the climate forcing, and the ice-ocean interaction. We document the parameters and parametric sensitivity of the model to motivate the choice of ensemble parameters in a quest to approximately bound reality (within the limits of 31 parameters).</t>
  </si>
  <si>
    <t>[Briggs, R.; Tarasov, L.] Mem Univ Newfoundland, Dept Phys &amp; Phys Oceanog, St John, NF A1B 3X7, Canada; [Pollard, D.] Penn State Univ, Earth &amp; Environm Syst Inst, University Pk, PA 16802 USA</t>
  </si>
  <si>
    <t>Memorial University Newfoundland; Pennsylvania Commonwealth System of Higher Education (PCSHE); Pennsylvania State University; Pennsylvania State University - University Park</t>
  </si>
  <si>
    <t>Tarasov, L (corresponding author), Mem Univ Newfoundland, Dept Phys &amp; Phys Oceanog, St John, NF A1B 3X7, Canada.</t>
  </si>
  <si>
    <t>lev@mun.ca</t>
  </si>
  <si>
    <t>NSERC; Canadian Foundation for Innovation; Atlantic Computational Excellence Network (ACEnet); INQUA</t>
  </si>
  <si>
    <t>NSERC(Natural Sciences and Engineering Research Council of Canada (NSERC)); Canadian Foundation for Innovation(Canada Foundation for Innovation); Atlantic Computational Excellence Network (ACEnet); INQUA</t>
  </si>
  <si>
    <t>The authors would like to thank Mike Bentley for undertaking a critical review of an early version of this work. Two anonymous reviewers and especially a detailed review by Pippa Whitehouse helped improve the clarity of this contribution. This paper is a contribution to the INQUA-sponsored Meltwater Ocean Cryosphere Atmosphere Response (MOCA) network. This work was supported by an NSERC Discovery Grant (LT), the Canadian Foundation for Innovation (LT), and the Atlantic Computational Excellence Network (ACEnet). LT holds a Canada Research Chair.</t>
  </si>
  <si>
    <t>COPERNICUS GESELLSCHAFT MBH</t>
  </si>
  <si>
    <t>GOTTINGEN</t>
  </si>
  <si>
    <t>BAHNHOFSALLEE 1E, GOTTINGEN, 37081, GERMANY</t>
  </si>
  <si>
    <t>1994-0416</t>
  </si>
  <si>
    <t>1994-0424</t>
  </si>
  <si>
    <t>Cryosphere</t>
  </si>
  <si>
    <t>10.5194/tc-7-1949-2013</t>
  </si>
  <si>
    <t>AA1BD</t>
  </si>
  <si>
    <t>WOS:000330830300001</t>
  </si>
  <si>
    <t>de Santana, FR; Neto, AA</t>
  </si>
  <si>
    <t>de Santana, Fabio R.; Neto, Arthur Ayres</t>
  </si>
  <si>
    <t>Case study on sediment classification using seismic attributes and 2d high-resolution seismic data</t>
  </si>
  <si>
    <t>2013 IEEE/OES ACOUSTICS IN UNDERWATER GEOSCIENCES SYMPOSIUM (RIO ACOUSTICS 2013)</t>
  </si>
  <si>
    <t>IEEE/OES Acoustics in Underwater Geosciences Symposium (RIO Acoustics)</t>
  </si>
  <si>
    <t>JUL 24-26, 2013</t>
  </si>
  <si>
    <t>Rio de Janeiro, BRAZIL</t>
  </si>
  <si>
    <t>Acoustic Seismic; High-resolution; Attributes; Sediment; Classification</t>
  </si>
  <si>
    <t>CLASTIC SEDIMENTS</t>
  </si>
  <si>
    <t>This work has the purpose to understand the relation that are between seismic attributes extracted from 2D high-resolution seismic data and the sediment surveyed. To accomplish this goal, we performed a research using 2D high-resolution seismic data acquired on the Continental Shelf of the Antarctic Peninsula, nearby the South Shetland Islands, and sediment samples acquired with gravity corer overlapping each seismic line surveyed. The geologic samples were used as control samples to make the binding between seismic traces - sediment cores and to fulfill the sediment classification software training outline. One computational script was written to extract the seismic attributes from the seismic data and in sequence the attributes were statistically analyzed. The attributes were used as variables during the statistical process and they were: Amplitude (AMP), Instantaneous Phase (PHI), Instantaneous Frequency (FREQ), Envelope (ENV), Time Derivative of the Envelope (DTENV), Second Derivative of the Envelope (DT2ENV) and Acceleration of Phase (ACPHI). The statistical analyses were: Principal Components (PCA), Dendrograms and K-Means Classification. Four kinds of seismic attributes groups were coherently formed on statistical analyses. In theory basis, the PHI shouldn't be grouped with any other attribute because of its physical behavior completely distinct from the others attributes here studied. The sets of attributes formed that presented ACPHI were absolutely coherent, in a way that all others attributes grouped within ACPHI present the same physical and spatial behavior such as DTENV, AMP, ENV and FREQ, this is due to the absorption of both the amplitude and frequency of the wave propagated through the medium. Therefore, it is believed that both more coherent sets of attributes are AMP and ENV identified by all the statistical analyses and DTENV and ACPHI formed by the PCA and Dendrograms analyses, and are both well supported by the other analyses that assured an intrinsic physical and spatial relation between the grouped attributes. The subsequent step on the Semi-Automatic Sediment Classification Process using 2D high-resolution seismic data were to prepare the set of attributes that grouped coherently, to identify the range of values of each attribute grouped that correspond to the location of each core sample, locate on the reflectors in the seismic section where those ranges of values from the set of attributes are found at the same place and finally suppose that on these regions identified by the script we have the same kind of sediment found on the geological samples.</t>
  </si>
  <si>
    <t>[de Santana, Fabio R.; Neto, Arthur Ayres] Univ Fed Fluminense, Lab Geol Marinha, BR-24210346 Niteroi, RJ, Brazil</t>
  </si>
  <si>
    <t>Universidade Federal Fluminense</t>
  </si>
  <si>
    <t>de Santana, FR (corresponding author), Univ Fed Fluminense, Lab Geol Marinha, Av Milton Tavares de Souza S-N, BR-24210346 Niteroi, RJ, Brazil.</t>
  </si>
  <si>
    <t>radomille@gmail.com; aayres@id.uff.br</t>
  </si>
  <si>
    <t>Neto, Arthur Ayres/AAL-2963-2021</t>
  </si>
  <si>
    <t>Neto, Arthur Ayres/0000-0002-2982-245X</t>
  </si>
  <si>
    <t>978-1-4799-0362-7</t>
  </si>
  <si>
    <t>Acoustics; Engineering, Electrical &amp; Electronic; Geosciences, Multidisciplinary</t>
  </si>
  <si>
    <t>Acoustics; Engineering; Geology</t>
  </si>
  <si>
    <t>BJU43</t>
  </si>
  <si>
    <t>WOS:000330575600014</t>
  </si>
  <si>
    <t>Lavin, P; Gallardo-Cerda, J; Torres-Diaz, C; Asencio, G; Gonzalez, M</t>
  </si>
  <si>
    <t>Lavin, Paris; Gallardo-Cerda, Jorge; Torres-Diaz, Cristian; Asencio, Geraldine; Gonzalez, Marcelo</t>
  </si>
  <si>
    <t>Antarctic strain of Bacillus sp. with extracellular agarolitic and alginate-lyase activities</t>
  </si>
  <si>
    <t>GAYANA</t>
  </si>
  <si>
    <t>Spanish</t>
  </si>
  <si>
    <t>Bacillus; Antarctic; Agarase; Alginate-lyase</t>
  </si>
  <si>
    <t>PSEUDOMONAS-AERUGINOSA; ENZYME CHARACTERISTICS; MAJOR SOURCES; BETA-AGARASE; PURIFICATION; DEGRADATION; POLYSACCHARIDE; IDENTIFICATION; BIOTECHNOLOGY; GULURONATE</t>
  </si>
  <si>
    <t>Several bacteria associated to macroalgae can use phycocolloids as carbon source. Antarctic Bacteria's have physiological characteristics that might have evolved to allow the survival and functioning under the harsh conditions of that ecosystem. Therefore, Antarctic bacteria isolated from algae should have the ability to degrade complex sugars at lower temperatures than those isolated from wanner areas, which may have applications in the improvement of industrial processes that uses enzymes. The bacterial strain isolated from wrack algae, in King George Island, Antarctica, was identified as Bacillus on the base of 16S ribosomal gene analysis. The cell-free supernatant of the culture medium showed alginate-lyase and agarase activities. Significant differences in the optimal temperature to hydrolyze agarose and alginate were found within a range of 4 to 30 degrees C. While the agarase activity was higher at 4 C, the alginate-lyase activity was higher at 30 degrees C. Our results have biotechnological value and could be used with industrial aims.</t>
  </si>
  <si>
    <t>[Lavin, Paris; Gallardo-Cerda, Jorge; Asencio, Geraldine; Gonzalez, Marcelo] Inst Antartico Chileno, Dept Cient DECIEN, Lab Biorrecursos Antarticos, Punta Arenas, Chile; [Torres-Diaz, Cristian] Univ Bio Bio, Fac Ciencias, Dept Ciencias Basicas, LGB, Chillan, Chile</t>
  </si>
  <si>
    <t>Universidad del Bio-Bio</t>
  </si>
  <si>
    <t>Lavin, P (corresponding author), Inst Antartico Chileno, Dept Cient DECIEN, Lab Biorrecursos Antarticos, Punta Arenas, Chile.</t>
  </si>
  <si>
    <t>plavin@inach.cl</t>
  </si>
  <si>
    <t>González, Marcelo/ABF-1450-2020; Lavin, Paris/AAI-9053-2020</t>
  </si>
  <si>
    <t>Gonzalez, Marcelo/0000-0001-9986-9504; Torres Diaz, Cristian/0000-0002-5741-5288; Lavin, Paris/0000-0002-8893-526X</t>
  </si>
  <si>
    <t>EDICIONES UNIV, CONCEPCION</t>
  </si>
  <si>
    <t>CONCEPCION</t>
  </si>
  <si>
    <t>COMITE DE PUBLICACION, CASILLA 2407, CONCEPCION, 00000, CHILE</t>
  </si>
  <si>
    <t>0717-6538</t>
  </si>
  <si>
    <t>Gayana</t>
  </si>
  <si>
    <t>10.4067/S0717-65382013000200001</t>
  </si>
  <si>
    <t>Oceanography; Zoology</t>
  </si>
  <si>
    <t>299SQ</t>
  </si>
  <si>
    <t>WOS:000330416400001</t>
  </si>
  <si>
    <t>Bienkowska-Wasiluk, M; Bonde, N; Moller, PR; Gazdzicki, A</t>
  </si>
  <si>
    <t>Bienkowska-Wasiluk, Malgorzata; Bonde, Niels; Moller, Peter Rask; Gazdzicki, Andrzej</t>
  </si>
  <si>
    <t>Eocene relatives of cod icefishes (Perciformes: Notothenioidei) from Seymour Island, Antarctica</t>
  </si>
  <si>
    <t>GEOLOGICAL QUARTERLY</t>
  </si>
  <si>
    <t>Notothenioids; cod icefishes; Eocene; Seymour Island; Antarctica</t>
  </si>
  <si>
    <t>LA MESETA FORMATION; JAMES-ROSS-BASIN; PENGUINS; CLIMATE; RECORD; FISH; PALEOGENE; ATTACHMENT; GADIFORMES; EVOLUTION</t>
  </si>
  <si>
    <t>Fragmentary skull bones and vertebra from the Upper Eocene La Meseta Formation on Seymour (Marambio) Island, Antarctic Peninsula have been described as gadiform fishes, informally named Mesetaichthys. Here we describe jaws as Mesetaichthys jerzmanskae n. gen. and n. sp., and refer this taxon to the perciform suborder Notothenioidei. This group is almost unknown as fossils. Similarities to the living, primitive nototheniid Dissostichus eleginoides are indicated in the dentition. Gadiform evolution in the Paleocene-Eocene is discussed, and the possibility of a correlation between the origin and evolution of notothenioids in connection with the deterioration of the climate in Antarctica during the Late Eocene-Oligocene is concluded.</t>
  </si>
  <si>
    <t>[Bienkowska-Wasiluk, Malgorzata] Univ Warsaw, Fac Geol, PL-02089 Warsaw, Poland; [Bonde, Niels] Univ Copenhagen, Inst Geog &amp; Geol, DK-1350 Copenhagen K, Denmark; [Bonde, Niels] Fur Museum, DK-7884 Nederby, Fur, Denmark; [Moller, Peter Rask] Univ Copenhagen, Nat Hist Museum Denmark, DK-2100 Copenhagen O, Denmark; [Gazdzicki, Andrzej] Polish Acad Sci, Inst Paleobiol, PL-00818 Warsaw, Poland</t>
  </si>
  <si>
    <t>University of Warsaw; University of Copenhagen; University of Copenhagen; Polish Academy of Sciences; Institute of Paleobiology of the Polish Academy of Sciences</t>
  </si>
  <si>
    <t>Bienkowska-Wasiluk, M (corresponding author), Univ Warsaw, Fac Geol, Zwirki &amp; Wigury 93, PL-02089 Warsaw, Poland.</t>
  </si>
  <si>
    <t>m.wasiluk@uw.edu.pl</t>
  </si>
  <si>
    <t>Bienkowska-Wasiluk, Malgorzata/F-4714-2011; Møller, Peter/A-8807-2013; Andrzej, Gazdzicki/AAW-2137-2020</t>
  </si>
  <si>
    <t>Bienkowska-Wasiluk, Malgorzata/0000-0001-5397-363X; Møller, Peter/0000-0002-0177-0977; Andrzej, Gazdzicki/0000-0003-2001-3282</t>
  </si>
  <si>
    <t>Fur Museum</t>
  </si>
  <si>
    <t>Discussions with Dr. A.V. Balushkin (St. Petersburg) and Dr. J. Nielsen (Copenhagen) on the anatomy on notothenioids are very much appreciated. We are very grateful to reviewers Prof. J. Kriwet (Vienna) and Dr. P. Jadwiszczak (Bialystok) whose comments have led to improvements of the manuscript. NB are very thankful to the Fur Museum for financial support to study-trips to the Institute of Paleobiology PAS, Warszawa. AG wishes to acknowledge the logistic support of the Instituto Antartico Argentino and Fuerza Aerea Argentina during the field work in Antarctica. Prof. A. Tatur (Warszawa) accompanied AG during field collection activities. K. Gregersen, Zoological Museum (Copenhagen) made skeletons of the notothenioids.</t>
  </si>
  <si>
    <t>POLISH GEOLOGICAL INST</t>
  </si>
  <si>
    <t>WARSAW</t>
  </si>
  <si>
    <t>RAKOWIECKA 4, BLDG A, ROOM 434, PL-00-975 WARSAW, POLAND</t>
  </si>
  <si>
    <t>1641-7291</t>
  </si>
  <si>
    <t>2082-5099</t>
  </si>
  <si>
    <t>GEOL Q</t>
  </si>
  <si>
    <t>Geol. Q.</t>
  </si>
  <si>
    <t>10.7306/gq.1112</t>
  </si>
  <si>
    <t>295VU</t>
  </si>
  <si>
    <t>WOS:000330145300001</t>
  </si>
  <si>
    <t>Jadwiszczak, P; Hospitaleche, CA; Reguero, M</t>
  </si>
  <si>
    <t>Jadwiszczak, Piotr; Acosta Hospitaleche, Carolina; Reguero, Marcelo</t>
  </si>
  <si>
    <t>REDESCRIPTION OF CROSSVALLIA UNIENWILLIA: THE ONLY PALEOCENE ANTARCTIC PENGUIN</t>
  </si>
  <si>
    <t>AMEGHINIANA</t>
  </si>
  <si>
    <t>Early Paleogene; Marambio (Seymour) Island; Cross Valley Formation; Crossvallia unienwillia; Limb bones; Thoracic vertebra</t>
  </si>
  <si>
    <t>MARAMBIO SEYMOUR ISLAND; EOCENE PENGUINS; WEST ANTARCTICA; NEW-ZEALAND; SPHENISCIFORMES; AVES; PENINSULA; EVOLUTION; SKELETON; VALLEY</t>
  </si>
  <si>
    <t>Redescribed and reinterpreted here is a partial skeleton of the oldest Antarctic penguin, Crossvallia unienwillia from the late Paleocene of Marambio (Seymour) Island. A thorough morphological analysis of limb bones (humerus, femur and tibiotarsus) allowed us to report both an amended reconstruction of type specimens and a revised taxonomic diagnosis of this large-sized early penguin. Moreover, an additional skeletal element, a single thoracic vertebra, is described for the first time. C. unienwillia is characterized by a mixture of features typical of both geologically older and younger penguins, supplemented by characters that are obviously unique. The above-mentioned findings shed new light on the very beginning of penguin evolution.</t>
  </si>
  <si>
    <t>[Jadwiszczak, Piotr] Uniwersytet Bialymstoku, Inst Biol, PL-15950 Bialystok, Poland; [Acosta Hospitaleche, Carolina; Reguero, Marcelo] Consejo Nacl Invest Cient &amp; Tecn, Museo La Plata, Div Paleontol Vertebrados, La Plata, Buenos Aires, Argentina</t>
  </si>
  <si>
    <t>University of Bialystok; National University of La Plata; Museo La Plata; Consejo Nacional de Investigaciones Cientificas y Tecnicas (CONICET)</t>
  </si>
  <si>
    <t>Jadwiszczak, P (corresponding author), Uniwersytet Bialymstoku, Inst Biol, Swierkowa 20B, PL-15950 Bialystok, Poland.</t>
  </si>
  <si>
    <t>piotrj@uwb.edu.pl; acostacaro@fcnym.unlp.edu.ar; regui@fcnym.unlp.edu.ar</t>
  </si>
  <si>
    <t>Reguero, Marcelo A./JHS-4893-2023; Jadwiszczak, Piotr/P-4336-2019; Acosta Hospitaleche, Carolina/E-5740-2017; Jadwiszczak, Piotr/K-5136-2014</t>
  </si>
  <si>
    <t>Jadwiszczak, Piotr/0000-0002-5263-1125; Acosta Hospitaleche, Carolina/0000-0002-2614-1448;</t>
  </si>
  <si>
    <t>ASOCIACION PALEONTOLOGICA ARGENTINA</t>
  </si>
  <si>
    <t>BUENOS AIRES</t>
  </si>
  <si>
    <t>MAIPU 645, 1ER PISO, 1006 BUENOS AIRES, ARGENTINA</t>
  </si>
  <si>
    <t>0002-7014</t>
  </si>
  <si>
    <t>1851-8044</t>
  </si>
  <si>
    <t>Ameghiniana</t>
  </si>
  <si>
    <t>10.5710/AMGH.09.10.2013.1058</t>
  </si>
  <si>
    <t>Paleontology</t>
  </si>
  <si>
    <t>293OK</t>
  </si>
  <si>
    <t>WOS:000329981800001</t>
  </si>
  <si>
    <t>Vance, TR; Davidson, AT; Thomson, PG; Levasseur, M; Lizotte, M; Curran, MAJ; Jones, GB</t>
  </si>
  <si>
    <t>Vance, Tessa R.; Davidson, Andrew T.; Thomson, Paul G.; Levasseur, Maurice; Lizotte, Martine; Curran, Mark A. J.; Jones, Graham B.</t>
  </si>
  <si>
    <t>Rapid DMSP production by an Antarctic phytoplankton community exposed to natural surface irradiances in late spring</t>
  </si>
  <si>
    <t>AQUATIC MICROBIAL ECOLOGY</t>
  </si>
  <si>
    <t>DMSP; Light stress; Antarctica; Phaeocystis antarctica</t>
  </si>
  <si>
    <t>AMBIENT UV-RADIATION; DIMETHYL-SULFIDE; SEA-ICE; DIMETHYLSULFONIOPROPIONATE DMSP; OCEANIC PHYTOPLANKTON; PHAEOCYSTIS-POUCHETII; SOLAR-RADIATION; SOUTHERN-OCEAN; DAVIS STATION; PRYMNESIOPHYCEAE</t>
  </si>
  <si>
    <t>Natural marine microbial communities sourced from under fast ice at an Antarctic coastal site were incubated in tanks under differently attenuated natural sunlight for 2 wk in late spring (Expt 1) and early summer (Expt 2). In the 18 d period between the 2 sampling episodes, the ice edge retreated from 10 to within 1.5 km of the sampling site, and the fast ice began to break up. Expt 1 rapidly produced significant quantities of total DMSP (DMSPt) with concentrations increasing from 16.6 nmol l(-1) to 192.7-204.5 nmol l(-1) in 2 d. We believe this is the largest observed increase in DMSPt in a semi-natural community over this time frame. Abundances of Phaeocystis antarctica increased significantly during this initial period, while other phytoplankton species/groups remained stable. DMSPt concentrations then declined at rates averaging 39.2-50.0 nmol l(-1) d(-1) between Days 2 and 4. No major DMSPt production event occurred during Expt 2 despite strong community similarities. Sea ice breakout exposes phytoplankton to significant light-related oxidative stress, and these results suggest the rapid production of DMSPt during Expt 1 was due to the initiation of anti-oxidant mechanisms by a low-light-acclimated community in response to solar radiation stress. DMS concentrations remained comparatively low throughout Expt 1, suggesting oxidation of DMSP to products other than DMS. Rapid sea ice breakout in coastal regions of Antarctica may result in similar fast DMSP production events during spring.</t>
  </si>
  <si>
    <t>[Vance, Tessa R.; Davidson, Andrew T.; Curran, Mark A. J.] Univ Tasmania, Antarctic Climate &amp; Ecosyst Cooperat Res Ctr, Hobart, Tas 7001, Australia; [Davidson, Andrew T.; Curran, Mark A. J.] Australian Antarctic Div, Kingston, Tas 7050, Australia; [Thomson, Paul G.] Univ Western Australia, Sch Environm Syst Engn, Crawley, WA 6009, Australia; [Thomson, Paul G.] Univ Western Australia, UWA Oceans Inst, Crawley, WA 6009, Australia; [Levasseur, Maurice; Lizotte, Martine] Univ Laval, Quebec Ocean, Quebec City, PQ G1V 0A6, Canada; [Jones, Graham B.] So Cross Univ, Marine Ecol Res Ctr, Lismore, NSW 2480, Australia</t>
  </si>
  <si>
    <t>Antarctic Climate &amp; Ecosystems Cooperative Research Centre (ACE CRC); University of Tasmania; Australian Antarctic Division; University of Western Australia; University of Western Australia; Laval University; Southern Cross University</t>
  </si>
  <si>
    <t>Vance, TR (corresponding author), Univ Tasmania, Antarctic Climate &amp; Ecosyst Cooperat Res Ctr, Private Bag 80, Hobart, Tas 7001, Australia.</t>
  </si>
  <si>
    <t>Lizotte, Martine/0000-0002-7639-2819; Vance, Tessa/0000-0001-6970-8646; Jones, Graham/0000-0002-2815-6395</t>
  </si>
  <si>
    <t>Australian Government's Cooperative Research Centres Program (Antarctic Climate &amp; Ecosystems CRC); Australian Antarctic Division AAS grants [40, 2100, 1172, 757]</t>
  </si>
  <si>
    <t>Australian Government's Cooperative Research Centres Program (Antarctic Climate &amp; Ecosystems CRC)(Australian GovernmentDepartment of Industry, Innovation and ScienceCooperative Research Centres (CRC) Programme); Australian Antarctic Division AAS grants</t>
  </si>
  <si>
    <t>This project was supported by the Australian Government's Cooperative Research Centres Program (Antarctic Climate &amp; Ecosystems CRC) and Australian Antarctic Division AAS grants 40, 2100, 1172 and 757. We thank S. Wright for analysis assistance.</t>
  </si>
  <si>
    <t>INTER-RESEARCH</t>
  </si>
  <si>
    <t>OLDENDORF LUHE</t>
  </si>
  <si>
    <t>NORDBUNTE 23, D-21385 OLDENDORF LUHE, GERMANY</t>
  </si>
  <si>
    <t>0948-3055</t>
  </si>
  <si>
    <t>1616-1564</t>
  </si>
  <si>
    <t>AQUAT MICROB ECOL</t>
  </si>
  <si>
    <t>Aquat. Microb. Ecol.</t>
  </si>
  <si>
    <t>10.3354/ame01670</t>
  </si>
  <si>
    <t>Ecology; Marine &amp; Freshwater Biology; Microbiology</t>
  </si>
  <si>
    <t>Environmental Sciences &amp; Ecology; Marine &amp; Freshwater Biology; Microbiology</t>
  </si>
  <si>
    <t>293DO</t>
  </si>
  <si>
    <t>WOS:000329951800002</t>
  </si>
  <si>
    <t>Andersen, OB; Knudsen, P; Berry, P; Smith, R; Rémy, F; Flament, T; Calmant, S; Cipollini, P; Laxon, S; Shephard, A; McAdoo, D; Scharroo, R; Smith, W; Sandwell, D; Schaeffer, P; Bamber, J; Shum, CK; Yi, Y; Benveniste, J</t>
  </si>
  <si>
    <t>Fletcher, K</t>
  </si>
  <si>
    <t>Andersen, O. B.; Knudsen, P.; Berry, P.; Smith, R.; Remy, F.; Flament, T.; Calmant, S.; Cipollini, P.; Laxon, S.; Shephard, A.; McAdoo, D.; Scharroo, R.; Smith, W.; Sandwell, D.; Schaeffer, P.; Bamber, J.; Shum, C. K.; Yi, Y.; Benveniste, J.</t>
  </si>
  <si>
    <t>New Views of Earth using ERS Satellite Altimetry</t>
  </si>
  <si>
    <t>ERS MISSIONS: 20 YEARS OF OBSERVING OF EARTH</t>
  </si>
  <si>
    <t>ESA Special Publications</t>
  </si>
  <si>
    <t>MEAN SEA-SURFACE; DIGITAL ELEVATION MODEL; ANTARCTIC ICE-SHEET; GRAVITY-FIELD; WATER LEVELS; RADAR ALTIMETRY; GREAT-LAKES; OCEAN TIDES; LEVEL; GREENLAND</t>
  </si>
  <si>
    <t>[Andersen, O. B.; Knudsen, P.] Danish Natl Space Inst DTU Space, Copenhagen, Denmark; [Berry, P.; Smith, R.] De Montfort Univ, Leicester LE1 9BH, Leics, England; [Remy, F.; Flament, T.; Calmant, S.] Lab Etud Geophys &amp; Oceanog Spatiales, Toulouse, France; [Cipollini, P.] Natl Oceanog Ctr, Southampton, Hants, England; [Laxon, S.] UCL, London WC1E 6BT, England; [Shephard, A.] Univ Leeds, Leeds LS2 9JT, W Yorkshire, England; [McAdoo, D.; Scharroo, R.; Smith, W.] NOAA, Washington, DC USA; [Sandwell, D.] Scripps Inst, La Jolla, CA USA; [Schaeffer, P.] CLS, Toulouse, France; [Bamber, J.] Univ Bristol, Bristol BS8 1TH, Avon, England; [Shum, C. K.; Yi, Y.] Ohio State Univ, Columbus, OH 43210 USA; [Benveniste, J.] ESA Ctr Earth Observat ESRIN, Rome, Italy</t>
  </si>
  <si>
    <t>Technical University of Denmark; De Montfort University; Universite de Toulouse; Universite Toulouse III - Paul Sabatier; Centre National de la Recherche Scientifique (CNRS); Institut de Recherche pour le Developpement (IRD); Laboratoire d'Etudes en Geophysique et oceanographie spatiales; NERC National Oceanography Centre; University of London; University College London; University of Leeds; National Oceanic Atmospheric Admin (NOAA) - USA; Scripps Research Institute; University of Bristol; University System of Ohio; Ohio State University; European Space Agency</t>
  </si>
  <si>
    <t>Andersen, OB (corresponding author), Danish Natl Space Inst DTU Space, Copenhagen, Denmark.</t>
  </si>
  <si>
    <t>Benveniste, Jérôme/JWP-2537-2024; Bamber, Jonathan/C-7608-2011; McAdoo, Dave C/F-5612-2010; Smith, Walter/F-5627-2010; Andersen, Ole Baltazar/H-7481-2016; Cipollini, Paolo/B-5294-2012</t>
  </si>
  <si>
    <t>Bamber, Jonathan/0000-0002-2280-2819; Sandwell, David/0000-0001-5657-8707; Smith, Walter/0000-0002-8814-015X; Andersen, Ole Baltazar/0000-0002-6685-3415; Shum, C K/0000-0001-9378-4067; Flament, Thomas/0000-0001-9702-302X; Cipollini, Paolo/0000-0002-3682-5675</t>
  </si>
  <si>
    <t>ESA PUBLICATIONS DIVISION C/O ESTEC</t>
  </si>
  <si>
    <t>2200 AG NOORDWIJK</t>
  </si>
  <si>
    <t>PO BOX 299, 2200 AG NOORDWIJK, NETHERLANDS</t>
  </si>
  <si>
    <t>0379-6566</t>
  </si>
  <si>
    <t>978-92-9221-424-1</t>
  </si>
  <si>
    <t>ESA SPEC PUBL</t>
  </si>
  <si>
    <t>Astronomy &amp; Astrophysics; Remote Sensing</t>
  </si>
  <si>
    <t>BJG59</t>
  </si>
  <si>
    <t>WOS:000328085700008</t>
  </si>
  <si>
    <t>Radu, A; Radu, T; McGraw, C; Dillingham, P; Anastasva-Ivanova, S; Diamond, D</t>
  </si>
  <si>
    <t>Radu, Aleksandar; Radu, Tanja; McGraw, Christina; Dillingham, Peter; Anastasva-Ivanova, Salzitsa; Diamond, Dermot</t>
  </si>
  <si>
    <t>Ion selective electrodes in environmental analysis</t>
  </si>
  <si>
    <t>JOURNAL OF THE SERBIAN CHEMICAL SOCIETY</t>
  </si>
  <si>
    <t>potentiometric sensors; wireless sensing networks; reference electrode; sensor precision</t>
  </si>
  <si>
    <t>POLYMERIC MEMBRANE ELECTRODES; STATE REFERENCE ELECTRODES; LOWER DETECTION LIMIT; SOLID-CONTACT; POTENTIOMETRIC SENSORS; CARBON NANOTUBES; LIQUIDS; FLUXES; PH; POLY(3-OCTYLTHIOPHENE)</t>
  </si>
  <si>
    <t>An overview is given dealing with the application of ion-selective electrodes (ISEs) in environmental analysis. ISEs are placed into the context of the trend of development of sensors for extensive and frequent monitoring. Discussed are the issues such as sensing platforms and their mass-production, improvement of precision, diagnostic of sensor functionality, and development of reference electrodes. Several examples of real-life application of ISEs in environmental analysis are given. The main emphasis of this article is directed towards summarizing recent results of the authors during the past several years..</t>
  </si>
  <si>
    <t>[Radu, Aleksandar] Keele Univ, Birchall Ctr, Stoke On Trent ST5 2BG, Staffs, England; [Radu, Aleksandar] Keele Univ, Environm Phys Sci &amp; Math EPSAM Res Inst, Lennard Jones Labs, Stoke On Trent ST5 2BG, Staffs, England; [Radu, Tanja] Univ Loughborough, Sch Civil &amp; Bldg Engn, Loughborough LE11 3TU, Leics, England; [McGraw, Christina] Univ Tasmania, Inst Marine &amp; Antarctic Studies, Hobart, Tas 7005, Australia; [Dillingham, Peter] Univ New England, Sch Sci &amp; Technol, Armidale, NSW, Australia; [Anastasva-Ivanova, Salzitsa] Queen Maty Univ London, Sch Engn &amp; Math Sci, London E1 4NS, England; [Diamond, Dermot] Dublin City Univ, CLARITY Ctr Sensors Web Technol, Natl Ctr Sensor Res, Dublin 7, Ireland</t>
  </si>
  <si>
    <t>Keele University; Keele University; Loughborough University; University of Tasmania; University of New England; Dublin City University</t>
  </si>
  <si>
    <t>Radu, A (corresponding author), Keele Univ, Birchall Ctr, Stoke On Trent ST5 2BG, Staffs, England.</t>
  </si>
  <si>
    <t>a.radu@keele.ac.uk</t>
  </si>
  <si>
    <t>Dillingham, Peter/AAC-6856-2022; Dillingham, Peter/B-3972-2014</t>
  </si>
  <si>
    <t>Dillingham, Peter/0000-0001-6302-3275; Dillingham, Peter/0000-0001-6302-3275; Radu, Tanja/0000-0001-7594-2850; Radu, Aleksandar/0000-0002-5141-1884; McGraw, Christina/0000-0001-5841-0748</t>
  </si>
  <si>
    <t>Keele University; Royal Society [RG120118]</t>
  </si>
  <si>
    <t>Keele University; Royal Society(Royal Society)</t>
  </si>
  <si>
    <t>The corresponding author gratefully acknowledges support from Keele University and Royal Society (RG120118).</t>
  </si>
  <si>
    <t>SERBIAN CHEMICAL SOC</t>
  </si>
  <si>
    <t>BELGRADE</t>
  </si>
  <si>
    <t>KARNEGIJEVA 4, 11 120 BELGRADE, SERBIA</t>
  </si>
  <si>
    <t>0352-5139</t>
  </si>
  <si>
    <t>J SERB CHEM SOC</t>
  </si>
  <si>
    <t>J. Serb. Chem. Soc.</t>
  </si>
  <si>
    <t>10.2298/JSC130829098R</t>
  </si>
  <si>
    <t>Chemistry, Multidisciplinary</t>
  </si>
  <si>
    <t>Chemistry</t>
  </si>
  <si>
    <t>283RT</t>
  </si>
  <si>
    <t>WOS:000329265400009</t>
  </si>
  <si>
    <t>Giovannetti, R; Alibabaei, L; Zannotti, M; Ferraro, S; Petetta, L</t>
  </si>
  <si>
    <t>Giovannetti, Rita; Alibabaei, Leila; Zannotti, Marco; Ferraro, Stefano; Petetta, Laura</t>
  </si>
  <si>
    <t>HPLC-DAD-ESI/MS Identification of Light Harvesting and Light Screening Pigments in the Lake Sediments at Edmonson Point</t>
  </si>
  <si>
    <t>SCIENTIFIC WORLD JOURNAL</t>
  </si>
  <si>
    <t>ULTRAVIOLET-RADIATION; ANTARCTICA; CHLOROPHYLL; SCYTONEMIN</t>
  </si>
  <si>
    <t>The composition of sedimentary pigments in the Antarctic lake at Edmonson Point has been investigated and compared with the aim to provide a useful analytical method for pigments separation and identification, providing reference data for future assessment of possible changes in environmental conditions. Reversed phase high performance liquid chromatography (HPLC) with electrospray-mass spectrometry (ESI-MS) detection and diode array detection (DAD) has been used to identify light screening and light harvesting pigments. The results are discussed in terms of local environmental conditions.</t>
  </si>
  <si>
    <t>[Giovannetti, Rita; Alibabaei, Leila; Zannotti, Marco; Ferraro, Stefano; Petetta, Laura] Univ Camerino, Chem Sect, Sch Sci &amp; Technol, I-62032 Camerino, Italy</t>
  </si>
  <si>
    <t>University of Camerino</t>
  </si>
  <si>
    <t>Giovannetti, R (corresponding author), Univ Camerino, Chem Sect, Sch Sci &amp; Technol, Via S Agostino 1, I-62032 Camerino, Italy.</t>
  </si>
  <si>
    <t>rita.giovannetti@unicam.it</t>
  </si>
  <si>
    <t>Zannotti, Marco/I-7124-2019; Ferraro, Stefano/AAD-9223-2020; Giovannetti, Rita/C-8941-2018</t>
  </si>
  <si>
    <t>Zannotti, Marco/0000-0003-2527-9856; Ferraro, Stefano/0000-0001-7193-0668; Giovannetti, Rita/0000-0001-8099-6028</t>
  </si>
  <si>
    <t>PNRA (Progetto Nazionale Ricerche in Antartide)</t>
  </si>
  <si>
    <t>The authors wish to thank PNRA (Progetto Nazionale Ricerche in Antartide) for providing funding and the opportunity to undertake the research and would like to express their gratitude to Professor V. Bartocci for important scientific suggestions.</t>
  </si>
  <si>
    <t>HINDAWI PUBLISHING CORPORATION</t>
  </si>
  <si>
    <t>410 PARK AVENUE, 15TH FLOOR, #287 PMB, NEW YORK, NY 10022 USA</t>
  </si>
  <si>
    <t>1537-744X</t>
  </si>
  <si>
    <t>SCI WORLD J</t>
  </si>
  <si>
    <t>Sci. World J.</t>
  </si>
  <si>
    <t>10.1155/2013/741906</t>
  </si>
  <si>
    <t>289RE</t>
  </si>
  <si>
    <t>WOS:000329698900001</t>
  </si>
  <si>
    <t>Wheeler, M; de Villiers, MS; Altwegg, R</t>
  </si>
  <si>
    <t>Wheeler, M.; de Villiers, M. S.; Altwegg, R.</t>
  </si>
  <si>
    <t>Effect of human disturbance on the behavioural responses and offspring survival of grey-headed albatrosses Thalassarche chrysostoma at Subantarctic Marion Island</t>
  </si>
  <si>
    <t>AFRICAN JOURNAL OF MARINE SCIENCE</t>
  </si>
  <si>
    <t>behaviour; fixed-point photography; non-intrusive monitoring; research disturbance</t>
  </si>
  <si>
    <t>BREEDING SUCCESS; GIANT PETRELS; INVESTIGATOR DISTURBANCE; WANDERING ALBATROSSES; HEART-RATE; POPULATION; PENGUINS; PREDATION; BIRD; COLONIALITY</t>
  </si>
  <si>
    <t>Nest monitoring is commonly used to gather important seabird demographic data, but monitoring itself can affect seabird behaviour and offspring survival. The effect of monitoring on grey-headed albatrosses Thalassarche chrysostoma at Subantarctic Marion Island was investigated. The behaviour of chicks close to fledging and of brooding adults was recorded in research and non-research sections of the colony. This was done prior to, during and after researcher/s entered the research sections of the colony. During disturbance, both chicks and adults in research sections were more likely to be standing and to be more responsive than during the pre-disturbance phase. However, adults appeared to be more sensitised to disturbance and this is likely because of being previously handled. Offspring survival in research sections was compared with survival in (a) sections less-frequently entered (2004/2005) and (b) sections monitored through fixed-point photography (2005/2006 and 2006/2007). In February of each of the three years of study, offspring survival was 62.5%, 55.8% and 71.8% respectively. Disturbance level, size of section and the interaction of these two factors did not explain significant amounts of the among-section survival variance, but rainfall explained almost all of the temporal variation in offspring survival in 2006/2007. Although research activities influenced the short-term behavioural responses of chicks and adults in the research sections of the colony, it did not seem to influence the survival of offspring. Nevertheless, fixed-point photography is recommended as a non-intrusive monitoring method.</t>
  </si>
  <si>
    <t>[Wheeler, M.; de Villiers, M. S.; Altwegg, R.] Univ Cape Town, Dept Zool, Anim Demog Unit, ZA-7701 Rondebosch, South Africa</t>
  </si>
  <si>
    <t>University of Cape Town</t>
  </si>
  <si>
    <t>Wheeler, M (corresponding author), Dept Environm Affairs, Branch Oceans &amp; Coasts, POB 52126, ZA-2000 Cape Town, South Africa.</t>
  </si>
  <si>
    <t>mariettewheeler@yahoo.com</t>
  </si>
  <si>
    <t>National Research Foundation (NRF); NRF; Swiss National Science Foundation (SNF)</t>
  </si>
  <si>
    <t>National Research Foundation (NRF); NRF; Swiss National Science Foundation (SNF)(Swiss National Science Foundation (SNSF))</t>
  </si>
  <si>
    <t>The South African National Antarctic Programme of the Department of Environmental Affairs provided permission to conduct research and logistic support. MW held a Prestigious PhD bursary and MSdeV held a grant from the National Research Foundation (NRF). RA was supported by the NRF and the Swiss National Science Foundation (SNF). The South African Weather Service provided data. EK Turner assisted during the 2004/05 season. L Clokie, MGW Jones, P Majiedt and I Peters took the photographs. T Carpenter-Kling assisted with obtaining coordinates for the sections on the ridge. Three anonymous reviewers are thanked for comments on a previous manuscript.</t>
  </si>
  <si>
    <t>NATL INQUIRY SERVICES CENTRE PTY LTD</t>
  </si>
  <si>
    <t>GRAHAMSTOWN</t>
  </si>
  <si>
    <t>19 WORCESTER STREET, PO BOX 377, GRAHAMSTOWN 6140, SOUTH AFRICA</t>
  </si>
  <si>
    <t>1814-232X</t>
  </si>
  <si>
    <t>1814-2338</t>
  </si>
  <si>
    <t>AFR J MAR SCI</t>
  </si>
  <si>
    <t>Afr. J. Mar. Sci.</t>
  </si>
  <si>
    <t>10.2989/1814232X.2013.860048</t>
  </si>
  <si>
    <t>279DM</t>
  </si>
  <si>
    <t>WOS:000328940500007</t>
  </si>
  <si>
    <t>Leppäranta, M; Järvinen, O; Lindgren, E</t>
  </si>
  <si>
    <t>Lepparanta, Matti; Jarvinen, Onni; Lindgren, Elisa</t>
  </si>
  <si>
    <t>Mass and heat balance of snowpatches in Basen nunatak, Dronning Maud Land, Antarctica, in summer</t>
  </si>
  <si>
    <t>JOURNAL OF GLACIOLOGY</t>
  </si>
  <si>
    <t>OPTICAL-PROPERTIES; SNOW ACCUMULATION; WINDS; ICE</t>
  </si>
  <si>
    <t>An experimental study concerning the mass and heat balance of snowpatches was performed during the Finnish Antarctic Research Programme (FINNARP) 2004 and 2010 summer expeditions to Basen nunatak (73 degrees 03'S, 13 degrees 25'W). Data were collected from a snow stake line, snow pits and automated weather and snow recording systems. One 100 m perennial snowpatch and several smaller seasonal patches (&lt;10 m) were monitored. Snow thickness decreased by 4.0-6.3 mm d(-1) due to sublimation, compression and, close to lateral boundaries, meltwater runoff. The vertical mass loss was 1-2 mm snow water equivalent (SWE) d(-1) and the lateral decay was similar to 10 cm d(-1). The net radiation was 20.2 W m(-2) and the mean latent heat flux was -15.5 W m(-2). The mean surface energy flux was 4.9 W m(-2) and the heat loss to the ground was 1.5 W m(-2). Thin snow decayed faster due to surface thermomechanical erosion and melt from the bottom where the soil was heated by the solar radiation. Between the summers of 2004 and 2010, the thickness of the perennial snowpatch decreased by 230 mm.</t>
  </si>
  <si>
    <t>[Lepparanta, Matti; Jarvinen, Onni; Lindgren, Elisa] Univ Helsinki, Dept Phys, Helsinki, Finland</t>
  </si>
  <si>
    <t>University of Helsinki</t>
  </si>
  <si>
    <t>Leppäranta, M (corresponding author), Univ Helsinki, Dept Phys, Helsinki, Finland.</t>
  </si>
  <si>
    <t>matti.lepparanta@helsinki.fi</t>
  </si>
  <si>
    <t>Lepparanta, Matti/M-7507-2017</t>
  </si>
  <si>
    <t>Lepparanta, Matti/0000-0002-4754-5564</t>
  </si>
  <si>
    <t>Academy of Finland [54086, 127691]; Academy of Finland (AKA) [127691] Funding Source: Academy of Finland (AKA)</t>
  </si>
  <si>
    <t>Academy of Finland(Research Council of Finland); Academy of Finland (AKA)(Research Council of Finland)</t>
  </si>
  <si>
    <t>Discussions with Hardy B. Granberg are greatly appreciated. We thank Mika Kalakoski and Olli-Pekka Mattila for help with the fieldwork. This research was financed by the Academy of Finland, projects Seasonal snow in Antarctica (54086) and Evolution of snow cover and dynamics of atmospheric deposits in the snow in Antarctica (127691).</t>
  </si>
  <si>
    <t>EDINBURGH BLDG, SHAFTESBURY RD, CB2 8RU CAMBRIDGE, ENGLAND</t>
  </si>
  <si>
    <t>0022-1430</t>
  </si>
  <si>
    <t>1727-5652</t>
  </si>
  <si>
    <t>J GLACIOL</t>
  </si>
  <si>
    <t>J. Glaciol.</t>
  </si>
  <si>
    <t>10.3189/2013JoG12J236</t>
  </si>
  <si>
    <t>280FI</t>
  </si>
  <si>
    <t>WOS:000329013700009</t>
  </si>
  <si>
    <t>Chen, QQ; Liu, XD; Nie, YG; Sun, LG</t>
  </si>
  <si>
    <t>Chen, Qianqian; Liu, Xiaodong; Nie, Yaguang; Sun, Liguang</t>
  </si>
  <si>
    <t>Using visible reflectance spectroscopy to reconstruct historical changes in chlorophyll a concentration in East Antarctic ponds</t>
  </si>
  <si>
    <t>POLAR RESEARCH</t>
  </si>
  <si>
    <t>Reflectance spectroscopy; ornithogenic sediments; chlorophyll a; Antarctic ponds; primary productivity; VRS</t>
  </si>
  <si>
    <t>NEAR-INFRARED SPECTROSCOPY; CARBON-ISOTOPE DISTRIBUTIONS; ROSS SEA REGION; ICE-FREE; LARSEMANN HILLS; LAKE-SEDIMENTS; ISLAND; WATER; SOIL; PENGUIN</t>
  </si>
  <si>
    <t>The visible reflectance spectroscopy (VRS) and chlorophyll a concentration were determined in three sediment profiles collected from East Antarctica to investigate the potential application of VRS in reconstructing historical changes in Antarctic lake primary productivity. The results showed that the appearance of a trough at 650-700 nm is an important marker for chlorophyll a concentration and can therefore be used to distinguish the sedimentary organic matter source from guano and algae. The measured chlorophyll a content had significant positive correlations with the trough area between 650 and 700 nm, and no distinct trough was found in the sediments with organic matter completely derived from guano. Modelling results showed that the spectra spectrally inferred chlorophyll a content, and the measured data exhibit consistent trends with depth, showing that the dimensionless trough area can serve as an independent proxy for reconstructing historical fluctuations in the primary production of Antarctic ponds. The correlation of phosphorus (P) with measured and inferred chlorophyll a contents in ornithogenic sediments near penguin colonies indicates that the change in primary productivity in the Antarctic ponds investigated was closely related to the amount of guano input from these birds.</t>
  </si>
  <si>
    <t>[Chen, Qianqian; Liu, Xiaodong; Nie, Yaguang; Sun, Liguang] Univ Sci &amp; Technol China, Inst Polar Environm, Sch Earth &amp; Space Sci, Hefei 230026, Anhui, Peoples R China; [Chen, Qianqian] Anhui Xinhua Univ, Sch Civil &amp; Environm Engn, Hefei 230088, Anhui, Peoples R China</t>
  </si>
  <si>
    <t>Chinese Academy of Sciences; University of Science &amp; Technology of China, CAS; Anhui Xinhua University</t>
  </si>
  <si>
    <t>Liu, XD (corresponding author), Univ Sci &amp; Technol China, Inst Polar Environm, Sch Earth &amp; Space Sci, Hefei 230026, Anhui, Peoples R China.</t>
  </si>
  <si>
    <t>ycx@ustc.edu.cn</t>
  </si>
  <si>
    <t>National Natural Science Foundation of China [41076123, 40876096]; Chinese Polar Environment Comprehensive Investigation &amp; Assessment Programmes [CHINARE2013-04-04-09]</t>
  </si>
  <si>
    <t>National Natural Science Foundation of China(National Natural Science Foundation of China (NSFC)); Chinese Polar Environment Comprehensive Investigation &amp; Assessment Programmes</t>
  </si>
  <si>
    <t>We thank the Arctic and Antarctic Administration of the National Oceanic Bureau of China for project support. We also thank the United States Antarctic Program and in particular S. Emslie, J. Smykla, E. Gruber and L. Coats for their valuable assistance in the field. This study was supported by the National Natural Science Foundation of China (grant nos. 41076123 and 40876096) and the Chinese Polar Environment Comprehensive Investigation &amp; Assessment Programmes (CHINARE2013-04-04-09).</t>
  </si>
  <si>
    <t>NORWEGIAN POLAR INST</t>
  </si>
  <si>
    <t>TROMSO</t>
  </si>
  <si>
    <t>POLAR ENVIRONMENTAL CENTRE, HJALMAR JOHANSENSGATE 14, TROMSO, FRAMSENTERET, NORWAY</t>
  </si>
  <si>
    <t>0800-0395</t>
  </si>
  <si>
    <t>1751-8369</t>
  </si>
  <si>
    <t>POLAR RES</t>
  </si>
  <si>
    <t>Polar Res.</t>
  </si>
  <si>
    <t>10.3402/polar.v32i0.19932</t>
  </si>
  <si>
    <t>Ecology; Geosciences, Multidisciplinary; Oceanography</t>
  </si>
  <si>
    <t>Environmental Sciences &amp; Ecology; Geology; Oceanography</t>
  </si>
  <si>
    <t>281VB</t>
  </si>
  <si>
    <t>WOS:000329128000001</t>
  </si>
  <si>
    <t>Gallbán-Malagón, CJ; Del Vento, S; Cabrerizo, A; Dachs, J</t>
  </si>
  <si>
    <t>Gallban-Malagon, C. J.; Del Vento, S.; Cabrerizo, A.; Dachs, J.</t>
  </si>
  <si>
    <t>Factors affecting the atmospheric occurrence and deposition of polychlorinated biphenyls in the Southern Ocean</t>
  </si>
  <si>
    <t>ATMOSPHERIC CHEMISTRY AND PHYSICS</t>
  </si>
  <si>
    <t>PERSISTENT ORGANIC POLLUTANTS; AIR-WATER EXCHANGE; POLYCYCLIC AROMATIC-HYDROCARBONS; KING GEORGE ISLAND; DRONNING MAUD LAND; PARTITION-COEFFICIENT; DRY DEPOSITION; ORGANOCHLORINE PESTICIDES; BIOGEOCHEMICAL CONTROLS; CHLORINATED PESTICIDES</t>
  </si>
  <si>
    <t>Persistent organic pollutants, such as polychlorinated biphenyls, reach the Southern Ocean atmosphere through long-range atmospheric transport. In this study we report the largest dataset available for the atmospheric occurrence of PCBs in the Southern Ocean surrounding the Antarctic Peninsula from samples obtained during three cruises in 2005, 2008 and 2009. The gas phase concentrations of total PCBs (Sigma(25)PCBs) ranged from 1 to 70 pgm(-3), while the aerosol phase concentrations were significantly lower (0.04 to 0.4 pgm(-3)). The aerosol phase is enriched in the more hydrophobic congeners consistent with the model predictions of gas-particle partitioning. There is a net air-to-water diffusive flux of PCBs to the Southern Ocean, up to 100 times higher than the dry deposition flux of aerosol-bound PCBs. The air-water disequilibrium is higher for the more hydrophobic congeners consistent with the role of the biological pump removing PCBs from the water column by settling of PCBs bound to organic matter. The atmospheric half-lives of PCB 52 and 180 are of 3.8 and 1 days, respectively, as calculated from the measured atmospheric concentration and depositional fluxes. The volatilization of PCBs from Antarctic soils during the austral summer drives higher gas phase concentrations in the atmosphere over Antarctica during the warmer periods. This temperature dependence is not observed for PCBs over the adjacent Southern Ocean, probably due to the importance of long-range atmospheric transport and atmospheric deposition modulating the atmospheric occurrence of PCBs.</t>
  </si>
  <si>
    <t>[Gallban-Malagon, C. J.; Del Vento, S.; Cabrerizo, A.; Dachs, J.] IDAEA CSIC, Dept Environm Chem, Barcelona 08034, Catalunya, Spain; [Del Vento, S.] Univ Lancaster, Lancaster Environm Ctr, Lancaster LA1 4YQ, England</t>
  </si>
  <si>
    <t>Consejo Superior de Investigaciones Cientificas (CSIC); CSIC - Centro de Investigacion y Desarrollo Pascual Vila (CID-CSIC); CSIC - Instituto de Diagnostico Ambiental y Estudios del Agua (IDAEA); Lancaster University</t>
  </si>
  <si>
    <t>Dachs, J (corresponding author), IDAEA CSIC, Dept Environm Chem, Jordi Girona 18-26, Barcelona 08034, Catalunya, Spain.</t>
  </si>
  <si>
    <t>jordi.dachs@idaea.csic.es</t>
  </si>
  <si>
    <t>Galbán-Malagón, Cristobal/B-2170-2017; Cabrerizo, Ana/AAA-9050-2020; Galban Malagon, Cristobal/J-2384-2015; Cabrerizo, Ana/D-8256-2018</t>
  </si>
  <si>
    <t>Galban Malagon, Cristobal/0000-0001-8397-5804; Dachs, Jordi/0000-0002-4237-169X; Cabrerizo, Ana/0000-0002-5933-1483</t>
  </si>
  <si>
    <t>DEPANT project of the Spanish Ministry of Science and Innovation; BIOAEROSOL project of the Spanish Ministry of Science and Innovation; ATOS project of the Spanish Ministry of Science and Innovation; Spanish Ministry of Science and Innovation; Natural Environment Research Council [ceh010010] Funding Source: researchfish</t>
  </si>
  <si>
    <t>DEPANT project of the Spanish Ministry of Science and Innovation; BIOAEROSOL project of the Spanish Ministry of Science and Innovation; ATOS project of the Spanish Ministry of Science and Innovation; Spanish Ministry of Science and Innovation(Spanish Government); Natural Environment Research Council(UK Research &amp; Innovation (UKRI)Natural Environment Research Council (NERC))</t>
  </si>
  <si>
    <t>The crew of R/V Hesperides and UTM-CSIC team are acknowledged for support during the ICEPOS, ESSASI and ATOS II, sampling cruise and C. Duarte and D. Gomis for their contribution as chief scientists of the ICEPOS and ESSASSI cruises. This work was funded by DEPANT, BIOAEROSOL and ATOS projects of the Spanish Ministry of Science and Innovation. Galban-Malagon is grateful for a pre-doctoral fellowship provided by the Spanish Ministry of Science and Innovation.</t>
  </si>
  <si>
    <t>1680-7316</t>
  </si>
  <si>
    <t>1680-7324</t>
  </si>
  <si>
    <t>ATMOS CHEM PHYS</t>
  </si>
  <si>
    <t>Atmos. Chem. Phys.</t>
  </si>
  <si>
    <t>10.5194/acp-13-12029-2013</t>
  </si>
  <si>
    <t>274OV</t>
  </si>
  <si>
    <t>WOS:000328616800028</t>
  </si>
  <si>
    <t>Marsh, OJ; Rack, W; Floricioiu, D; Golledge, NR; Lawson, W</t>
  </si>
  <si>
    <t>Marsh, O. J.; Rack, W.; Floricioiu, D.; Golledge, N. R.; Lawson, W.</t>
  </si>
  <si>
    <t>Tidally induced velocity variations of the Beardmore Glacier, Antarctica, and their representation in satellite measurements of ice velocity</t>
  </si>
  <si>
    <t>RADAR INTERFEROMETRY; SHEET MOTION; GPS DATA; SHELF; STREAM; TIDE; GREENLAND; MOVEMENT; SURFACE</t>
  </si>
  <si>
    <t>Ocean tides close to the grounding line of outlet glaciers around Antarctica have been shown to directly influence ice velocity, both linearly and non-linearly. These fluctuations can be significant and have the potential to affect satellite measurements of ice discharge, which assume displacement between satellite passes to be consistent and representative of annual means. Satellite observations of horizontal velocity variation in the grounding zone are also contaminated by vertical tidal effects, the importance of which is highlighted here in speckle tracking measurements. Eight TerraSAR-X scenes from the grounding zone of the Beardmore Glacier are analysed in conjunction with GPS measurements to determine short-term and decadal trends in ice velocity. Diurnal tides produce horizontal velocity fluctuations of &gt; 50% on the ice shelf, recorded in the GPS data 4 km downstream of the grounding line. This variability decreases rapidly to &lt; 5% only 15 km upstream of the grounding line. Daily fluctuations are smoothed to &lt; 1% in the 11-day repeat pass TerraSAR-X imagery, but fortnightly variations over this period are still visible and show that satellite-velocity measurements can be affected by tides over longer periods. The measured tidal displacement observed in radar look direction over floating ice also allows the grounding line to be identified, using differential speckle tracking where phase information cannot be easily unwrapped.</t>
  </si>
  <si>
    <t>[Marsh, O. J.; Rack, W.] Univ Canterbury, Gateway Antarctica, Christchurch 1, New Zealand; [Floricioiu, D.] German Aerosp Ctr DLR, D-82234 Oberpfaffenhofen, Wessling, Germany; [Golledge, N. R.] Victoria Univ Wellington, Antarctic Res Ctr, Wellington, New Zealand; [Golledge, N. R.] GNS Sci, Lower Hutt 5011, New Zealand; [Lawson, W.] Univ Canterbury, Dept Geog, Christchurch 1, New Zealand</t>
  </si>
  <si>
    <t>University of Canterbury; Helmholtz Association; German Aerospace Centre (DLR); Victoria University Wellington; GNS Science - New Zealand; University of Canterbury</t>
  </si>
  <si>
    <t>Marsh, OJ (corresponding author), Univ Canterbury, Gateway Antarctica, Private Bag 4800, Christchurch 1, New Zealand.</t>
  </si>
  <si>
    <t>oliver.marsh@pg.canterbury.ac.nz</t>
  </si>
  <si>
    <t>Marsh, Oliver J/K-7436-2014; Rack, Wolfgang/U-8898-2017</t>
  </si>
  <si>
    <t>Golledge, Nicholas/0000-0001-7676-8970; Rack, Wolfgang/0000-0003-2447-377X; Marsh, Oliver/0000-0001-7874-514X</t>
  </si>
  <si>
    <t>US Antarctic Program, Antarctica New Zealand Event [K001BI]; Ministry of Business, Innovation and Employment [CO5X1001]</t>
  </si>
  <si>
    <t>US Antarctic Program, Antarctica New Zealand Event; Ministry of Business, Innovation and Employment(New Zealand Ministry of Business, Innovation and Employment (MBIE))</t>
  </si>
  <si>
    <t>TerraSAR-X data were provided by DLR from science proposal HYD1421. ASTER data were provided through the GLIMS project. Fieldwork on the Beardmore Glacier was supported by the US Antarctic Program, Antarctica New Zealand Event K001BI and with assistance from Dean Arthur. Weather station data were provided by the UW-Madison AWS Program. This research was funded, in part, by the Ministry of Business, Innovation and Employment through research contract CO5X1001 to GNS Science. Comments by two anonymous reviewers led to revisions and improvement of the paper.</t>
  </si>
  <si>
    <t>10.5194/tc-7-1375-2013</t>
  </si>
  <si>
    <t>273OM</t>
  </si>
  <si>
    <t>gold, Green Accepted</t>
  </si>
  <si>
    <t>WOS:000328544800004</t>
  </si>
  <si>
    <t>Cohen, L; Dean, S</t>
  </si>
  <si>
    <t>Cohen, L.; Dean, S.</t>
  </si>
  <si>
    <t>Snow on the Ross Ice Shelf: comparison of reanalyses and observations from automatic weather stations</t>
  </si>
  <si>
    <t>SURFACE MASS-BALANCE; ANTARCTIC PRECIPITATION; VARIABILITY; ACCUMULATION; MCMURDO; REGIONS; LAND</t>
  </si>
  <si>
    <t>Snow accumulation measurements from automatic weather stations (AWS) around the Ross Ice Shelf (RIS), Antarctica, are used to provide a new set of ground-based observations which are compared to precipitation from the ECMWF ERA-Interim and NCEP/NCAR Reanalysis-2 datasets. The high temporal resolution of the AWS snow accumulation measurements allow for an event-based comparison of reanalyses precipitation to the in situ observations. Snow accumulation records from nine AWS provide multiple years of accumulation data between 2008 and 2012 over a relatively large, homogeneous region of Antarctica, and also provide the basis for a statistical evaluation of accumulation and precipitation events. The complex effects of wind on snow accumulation (which can both limit and enhance accumulation) complicate the use of the accumulation measurements, but this analysis shows that they can provide a valuable source of ground-based observations for comparisons to modelled precipitation on synoptic timescales. The analysis shows that ERA-Interim reproduces more precipitation events than NCEP-2, and these events correspond to an average 8.2% more precipitation. Significant correlations between reanalyses and AWS event sizes are seen at several stations and show that ERA-Interim consistently produces larger precipitation events than NCEP-2.</t>
  </si>
  <si>
    <t>[Cohen, L.] Victoria Univ Wellington, Antarctic Res Ctr, Wellington, New Zealand; [Dean, S.] Natl Inst Water &amp; Atmospher Res, Wellington, New Zealand</t>
  </si>
  <si>
    <t>Victoria University Wellington; National Institute of Water &amp; Atmospheric Research (NIWA) - New Zealand</t>
  </si>
  <si>
    <t>Cohen, L (corresponding author), Victoria Univ Wellington, Antarctic Res Ctr, Wellington, New Zealand.</t>
  </si>
  <si>
    <t>lana.cohen@vuw.ac.nz</t>
  </si>
  <si>
    <t>Dean, Samuel/F-7711-2011</t>
  </si>
  <si>
    <t>Dean, Samuel/0000-0001-6338-4601</t>
  </si>
  <si>
    <t>Wisconsin-Madison Automatic Weather Station Program for the acoustic depth gauge AWS dataset, NSF [ANT-0944018]; NIWA</t>
  </si>
  <si>
    <t>Wisconsin-Madison Automatic Weather Station Program for the acoustic depth gauge AWS dataset, NSF; NIWA</t>
  </si>
  <si>
    <t>The authors appreciate the support of the University of Wisconsin-Madison Automatic Weather Station Program for the acoustic depth gauge AWS dataset, NSF grant number ANT-0944018. We also appreciate use of the NCEP Reanalysis-2 data provided by the NOAA/OAR/ESRL PSD, Boulder, Colorado, and the use of ERA-Interim data provided by the European Centre for Medium-Range Forecasts. S. Dean's contribution to this manuscript was funded by NIWA under the Climate Present and Past project of the National Climate Centre's Climate Observations Programme (2012/13 SCI).</t>
  </si>
  <si>
    <t>10.5194/tc-7-1399-2013</t>
  </si>
  <si>
    <t>WOS:000328544800006</t>
  </si>
  <si>
    <t>Barletta, VR; Sorensen, LS; Forsberg, R</t>
  </si>
  <si>
    <t>Barletta, V. R.; Sorensen, L. S.; Forsberg, R.</t>
  </si>
  <si>
    <t>Scatter of mass changes estimates at basin scale for Greenland and Antarctica</t>
  </si>
  <si>
    <t>ICE-SHEET; GEOCENTER MOTION; GRACE; BALANCE; CONSTRAINTS; INFORMATION; SURFACE; SYSTEM; SIGNAL</t>
  </si>
  <si>
    <t>During the last decade, the GRACE mission has provided valuable data for determining the mass changes of the Greenland and Antarctic ice sheets. Yet, discrepancies still exist in the published mass balance results, and comprehensive analyses on the sources of errors and discrepancies are lacking. Here, we present monthly mass changes together with trends derived from GRACE data at basin scale for both the Greenland and Antarctic ice sheets, and we assess the variability and errors for each of the possible sources of discrepancies, and we do this in an unprecedented systematic way, taking into account mass inference methods, data sets and background models. We find a very good agreement between the monthly mass change results derived from two independent methods, which represents a cross validation. For the monthly solutions, we find that most of the scatter is caused by the use of the two different data sets rather than the two different methods applied. Besides the well-known GIA trend uncertainty, we find that the geocenter motion and the recent de-aliasing corrections significantly impact the trends, with contributions of +13.2 Gt yr(-1) and -20 Gt yr(-1), respectively, for Antarctica, which is more affected by these than Greenland. We show differences between the use of release RL04 and the new RL05 and confirm a lower noise content in the new release. The overall scatter of the solutions well exceeds the uncertainties propagated from the data errors and the leakage (as done in the past); hence we calculate new sound total errors for the monthly solutions and the trends. We find that the scatter in the monthly solutions caused by applying different estimates of geocenter motion time series (degree-1 corrections) is significant - contributing with up to 40% of the total error. For the whole GRACE period (2003-2011) our trend estimate for Greenland is -234 +/- 20 Gt yr(-1) and -83 +/- 36 Gt yr(-1) for Antarctica (-111 +/- 15 Gt yr(-1) in the western part). We also find a clear (with respect to our errors) increase of mass loss in the last four years.</t>
  </si>
  <si>
    <t>[Barletta, V. R.; Sorensen, L. S.; Forsberg, R.] DTU Space, Geodynam Dept, DK-2800 Lyngby, Denmark</t>
  </si>
  <si>
    <t>Technical University of Denmark</t>
  </si>
  <si>
    <t>Barletta, VR (corresponding author), DTU Space, Geodynam Dept, DK-2800 Lyngby, Denmark.</t>
  </si>
  <si>
    <t>vr.barletta@gmail.com</t>
  </si>
  <si>
    <t>Barletta, Valentina R./E-9128-2012; Sorensen, Louise Sandberg/E-5282-2014</t>
  </si>
  <si>
    <t>Sorensen, Louise Sandberg/0000-0002-3771-4061; Barletta, Valentina Roberta/0000-0003-4427-0830; Forsberg, Rene/0000-0002-7288-9545</t>
  </si>
  <si>
    <t>European Union [226375, ice2sea116]; COST Action [ES0701]; European Commission [FP7-Space-2009-1, 242446]</t>
  </si>
  <si>
    <t>European Union(European Union (EU)); COST Action(European Cooperation in Science and Technology (COST)); European Commission(European Union (EU)European Commission Joint Research Centre)</t>
  </si>
  <si>
    <t>This work was supported by funding to the ice2sea program from the European Union 7th Framework Programme, grant number 226375 (ice2sea contribution number ice2sea116). We also acknowledge support by COST Action ES0701 Improved Constraints on Models of Glacial Isostatic Adjustment and by the European Commission 7th Framework Programme through the MONARCH-A Collaborative Project, FP7-Space-2009-1 contract no. 242446. We are very grateful for the two comments of anonymous reviwers and Martin Horwath.</t>
  </si>
  <si>
    <t>10.5194/tc-7-1411-2013</t>
  </si>
  <si>
    <t>WOS:000328544800007</t>
  </si>
  <si>
    <t>Kutuzov, S; Shahgedanova, M; Mikhalenko, V; Ginot, P; Lavrentiev, I; Kemp, S</t>
  </si>
  <si>
    <t>Kutuzov, S.; Shahgedanova, M.; Mikhalenko, V.; Ginot, P.; Lavrentiev, I.; Kemp, S.</t>
  </si>
  <si>
    <t>High-resolution provenance of desert dust deposited on Mt. Elbrus, Caucasus in 2009-2012 using snow pit and firn core records</t>
  </si>
  <si>
    <t>SAHARAN DUST; ICE CORE; SIZE DISTRIBUTION; ATMOSPHERIC DUST; CHEMICAL-COMPOSITION; AEROSOL PROPERTIES; NORTH-AFRICA; FRENCH ALPS; SATELLITE; TRANSPORT</t>
  </si>
  <si>
    <t>The first record of dust deposition events on Mt. Elbrus, Caucasus Mountains derived from a snow pit and a shallow firn core is presented for the 2009-2012 period. A combination of isotopic analysis, SEVIRI red-green-blue composite imagery, MODIS atmospheric optical depth fields derived using the Deep Blue algorithm, air mass trajectories derived using the HYSPLIT model and analyses of meteorological data enabled identification of dust source regions with high temporal (hours) and spatial (ca. 20-100 km) resolution. Seventeen dust deposition events were detected; fourteen occurred in March-June, one in February and two in October. Four events originated in the Sahara, predominantly in northeastern Libya and eastern Algeria. Thirteen events originated in the Middle East, in the Syrian Desert and northern Mesopotamia, from a mixture of natural and anthropogenic sources. Dust transportation from Sahara was associated with vigorous Saharan depressions, strong surface winds in the source region and mid-tropospheric southwesterly flow with daily winds speeds of 20-30 m s(-1) at 700 hPa level. Although these events were less frequent than those originating in the Middle East, they resulted in higher dust concentrations in snow. Dust transportation from the Middle East was associated with weaker depressions forming over the source region, high pressure centred over or extending towards the Caspian Sea and a weaker southerly or southeasterly flow towards the Caucasus Mountains with daily wind speeds of 12-18 m s(-1) at 700 hPa level. Higher concentrations of nitrates and ammonium characterised dust from the Middle East deposited on Mt. Elbrus in 2009 indicating contribution of anthropogenic sources. The modal values of particle size distributions ranged between 1.98 mu m and 4.16 mu m. Most samples were characterised by modal values of 2.0-2.8 mu m with an average of 2.6 mu m and there was no significant difference between dust from the Sahara and the Middle East.</t>
  </si>
  <si>
    <t>[Kutuzov, S.; Shahgedanova, M.; Kemp, S.] Univ Reading, Dept Geog &amp; Environm Sci, Reading RG6 AB, Berks, England; [Kutuzov, S.; Shahgedanova, M.; Kemp, S.] Univ Reading, Walker Inst Climate Syst Res, Reading RG6 AB, Berks, England; [Kutuzov, S.; Mikhalenko, V.; Lavrentiev, I.] Russian Acad Sci, Inst Geog, Lab Glaciol, Moscow V71, Russia; [Ginot, P.] Univ Savoie, IRD, Univ Grenoble, CNRS,INPG,IFSTTAR,CNRM,OSUG, F-38041 Grenoble, France; [Ginot, P.] Univ Grenoble Alpes, CNRS, LGGE, UMR5183, F-38041 Grenoble, France</t>
  </si>
  <si>
    <t>University of Reading; University of Reading; Russian Academy of Sciences; Universite Gustave-Eiffel; Laboratoire Central des Ponts et Chaussees (LCPC); Communaute Universite Grenoble Alpes; Institut National Polytechnique de Grenoble; Universite Grenoble Alpes (UGA); Centre National de la Recherche Scientifique (CNRS); Institut de Recherche pour le Developpement (IRD); Universite Savoie Mont Blanc; Centre National de la Recherche Scientifique (CNRS); Communaute Universite Grenoble Alpes; Universite Grenoble Alpes (UGA)</t>
  </si>
  <si>
    <t>Kutuzov, S (corresponding author), Univ Reading, Dept Geog &amp; Environm Sci, Reading RG6 AB, Berks, England.</t>
  </si>
  <si>
    <t>s.kutuzov@reading.ac.uk</t>
  </si>
  <si>
    <t>Kutuzov, Stanislav/A-2775-2013; Lavrentiev, Ivan/E-2224-2017; Shahgedanova, Maria/AAU-6231-2020; Lavrentiev, Ivan/AAG-8519-2021; IPO, PAGES/JXY-7546-2024; Mikhalenko, Vladimir N/A-4253-2014; Shahgedanova, Maria/D-3900-2011</t>
  </si>
  <si>
    <t>Kutuzov, Stanislav/0000-0003-2007-0922; Lavrentiev, Ivan/0000-0002-6902-7186; Lavrentiev, Ivan/0000-0002-6902-7186; Shahgedanova, Maria/0000-0002-2320-3885</t>
  </si>
  <si>
    <t>European Union [PIIF-GA-2010-275071]; Royal Society International Joint Project Impacts of Dust Deposition on Glacier Melt in the Caucasus Mountains, Russia [N JP100235]; Russian Foundation for Basic Research [11-05-00304, 13-05-10069]; University of Reading UROP scheme</t>
  </si>
  <si>
    <t>European Union(European Union (EU)); Royal Society International Joint Project Impacts of Dust Deposition on Glacier Melt in the Caucasus Mountains, Russia; Russian Foundation for Basic Research(Russian Foundation for Basic Research (RFBR)Spanish Government); University of Reading UROP scheme</t>
  </si>
  <si>
    <t>The research leading to these results has received funding from the European Union Seventh Framework Programme FP7-PEOPLE-2010-IIF under grant agreement PIIF-GA-2010-275071, Royal Society International Joint Project Impacts of Dust Deposition on Glacier Melt in the Caucasus Mountains, Russia (project N JP100235) and Russian Foundation for Basic Research (grants 11-05-00304 and 13-05-10069). The University of Reading UROP scheme funded SEM analysis. We are grateful to the Climate and Environment Research Laboratory (CERL), Arctic and Antarctic Research Institute, St. Petersburg, Russia for isotopic analysis and the University of Reading Centre for Advanced Microscopy for providing access to and help with SEM. We thank Nigel Cameron, Environmental Change Research Centre, University College London for classifying diatoms and Kevin White, Department of Geography and Environmental Science, University of Reading for sharing his vast knowledge of geomorphology of the Sahara and deserts of the Middle East.</t>
  </si>
  <si>
    <t>10.5194/tc-7-1481-2013</t>
  </si>
  <si>
    <t>Green Accepted, gold, Green Submitted</t>
  </si>
  <si>
    <t>WOS:000328544800012</t>
  </si>
  <si>
    <t>MacDonell, S; Kinnard, C; Mölg, T; Nicholson, L; Abermann, J</t>
  </si>
  <si>
    <t>MacDonell, S.; Kinnard, C.; Moelg, T.; Nicholson, L.; Abermann, J.</t>
  </si>
  <si>
    <t>Meteorological drivers of ablation processes on a cold glacier in the semi-arid Andes of Chile</t>
  </si>
  <si>
    <t>SURFACE-ENERGY BALANCE; MCMURDO DRY VALLEYS; MASS-BALANCE; ANTARCTIC SNOW; CERRO-TAPADO; PARAMETERIZATION; RECONSTRUCTION; KILIMANJARO; SUBLIMATION; RADIATION</t>
  </si>
  <si>
    <t>Meteorological and surface change measurements collected during a 2.5 yr period are used to calculate surface mass and energy balances at 5324 m a.s.l. on Guanaco Glacier, a cold-based glacier in the semi-arid Andes of Chile. Meteorological conditions are marked by extremely low vapour pressures (annual mean of 1.1 hPa), strong winds (annual mean of 10 m s(-1)), shortwave radiation receipt persistently close to the theoretical site maximum during cloud-free days (mean annual 295 W m(-2); summer hourly maximum 1354 W m(-2)) and low precipitation rates (mean annual 45 mm w.e.). Snowfall occurs sporadically throughout the year and is related to frontal events in the winter and convective storms during the summer months. Net shortwave radiation provides the greatest source of energy to the glacier surface, and net longwave radiation dominates energy losses. The turbulent latent heat flux is always negative, which means that the surface is always losing mass via sublimation, which is the main form of ablation at the site. Sublimation rates are most strongly correlated with net shortwave radiation, incoming shortwave radiation, albedo and vapour pressure. Low glacier surface temperatures restrict melting for much of the period, however episodic melting occurs during the austral summer, when warm, humid, calm and high pressure conditions restrict sublimation and make more energy available for melting. Low accumulation (131 mm w.e. over the period) and relatively high ablation (1435 mm w.e.) means that mass change over the period was negative (-1304 mm w.e.), which continued the negative trend recorded in the region over the last few decades.</t>
  </si>
  <si>
    <t>[MacDonell, S.; Kinnard, C.; Abermann, J.] Ctr Estudios Avanzados Zonas Aridas, La Serena, Chile; [Moelg, T.] Tech Univ Berlin, Chair Climatol, Berlin, Germany; [Nicholson, L.] Univ Innsbruck, Ctr Climate &amp; Cryosphere, A-6020 Innsbruck, Austria</t>
  </si>
  <si>
    <t>Technical University of Berlin; University of Innsbruck</t>
  </si>
  <si>
    <t>MacDonell, S (corresponding author), Ctr Estudios Avanzados Zonas Aridas, La Serena, Chile.</t>
  </si>
  <si>
    <t>shelley.macdonell@gmail.com</t>
  </si>
  <si>
    <t>MacDonell, Shelley/0000-0001-9641-4547; Moelg, Thomas/0000-0001-8029-8887; Nicholson, Lindsey/0000-0003-0430-7950</t>
  </si>
  <si>
    <t>FONDECYT [3110053]</t>
  </si>
  <si>
    <t>FONDECYT(Comision Nacional de Investigacion Cientifica y Tecnologica (CONICYT)CONICYT FONDECYT)</t>
  </si>
  <si>
    <t>S. MacDonell was supported by FONDECYT Postdoctoral grant No. 3110053. We also thank the Barrick Gold Corporation for logistical support of this study as part of a glacier monitoring project in the semi-arid Andes, and the glaciology group at CEAZA for help in the field and the AWS installation. We are grateful for helpful comments from J. Corripio, the two anonymous reviewers and the handling editor V. Radic.</t>
  </si>
  <si>
    <t>10.5194/tc-7-1513-2013</t>
  </si>
  <si>
    <t>gold, Green Submitted</t>
  </si>
  <si>
    <t>WOS:000328544800014</t>
  </si>
  <si>
    <t>Schwikowski, M; Schläppi, M; Santibañez, P; Rivera, A; Casassa, G</t>
  </si>
  <si>
    <t>Schwikowski, M.; Schlaeppi, M.; Santibanez, P.; Rivera, A.; Casassa, G.</t>
  </si>
  <si>
    <t>Net accumulation rates derived from ice core stable isotope records of Pio XI glacier, Southern Patagonia Icefield</t>
  </si>
  <si>
    <t>MASS-BALANCE; ANTARCTIC PENINSULA; FIRN-CORE; ANDES; SENSITIVITY; SATELLITE; ELEVATION; AMERICA; ADVANCE; CAP</t>
  </si>
  <si>
    <t>Pio XI, the largest glacier of the Southern Patagonia Icefield, reached its neoglacial maximum extent in 1994 and is one of the few glaciers in that area which is not retreating. In view of the recent warming it is important to understand glacier responses to climate changes. Due to its remoteness and the harsh conditions in Patagonia, no systematic mass balance studies have been performed. In this study we derived net accumulation rates for the period 2000-2006 from a 50 m (33.2 4 m weq) ice core collected in the accumulation area of Pio XI (2600 m a.s.l., 49A degrees 16'40'S, 73A degrees 21'14'W). Borehole temperatures indicate near temperate ice, but the average melt percent is only 16 +/- 14%. Records of stable isotopes are well preserved and were used for identification of annual layers. Net accumulation rates range from 3.4-7.1 water equivalent (m weq) with an average of 5.8 m weq, comparable to precipitation amounts at the Chilean coast, but not as high as expected for the Icefield. Ice core stable isotope data correlate well with upper air temperatures and may be used as temperature proxy.</t>
  </si>
  <si>
    <t>[Schwikowski, M.; Schlaeppi, M.] Paul Scherrer Inst, Villigen, Switzerland; [Schwikowski, M.; Schlaeppi, M.] Univ Bern, Dept Chem &amp; Biochem, CH-3012 Bern, Switzerland; [Schwikowski, M.; Schlaeppi, M.] Univ Bern, Oeschger Ctr Climate Change Res, CH-3012 Bern, Switzerland; [Santibanez, P.; Rivera, A.; Casassa, G.] Ctr Estudios Cient, Valdivia, Chile; [Rivera, A.] Univ Chile, Dept Geog, Santiago, Chile</t>
  </si>
  <si>
    <t>Swiss Federal Institutes of Technology Domain; Paul Scherrer Institute; University of Bern; University of Bern; Universidad de Chile</t>
  </si>
  <si>
    <t>Schwikowski, M (corresponding author), Paul Scherrer Inst, Villigen, Switzerland.</t>
  </si>
  <si>
    <t>margit.schwikowski@psi.ch</t>
  </si>
  <si>
    <t>Casassa, Gino/AAX-6142-2020; Santibanez, Pamela/HII-2820-2022; IPO, PAGES/JXY-7546-2024</t>
  </si>
  <si>
    <t>Santibanez, Pamela/0000-0001-7022-3232; Rivera, Andres/0000-0002-2779-4192; Schwikowski, Margit/0000-0002-0856-5183</t>
  </si>
  <si>
    <t>National Geographic [7587-04]; FONDECYT; Centro de Estudios Cientificos (CECs), Valdivia, Chile; Swiss State Secretariat for Education and Research SER [CJRP-1004]; CONICYT</t>
  </si>
  <si>
    <t>National Geographic(National Geographic Society); FONDECYT(Comision Nacional de Investigacion Cientifica y Tecnologica (CONICYT)CONICYT FONDECYT); Centro de Estudios Cientificos (CECs), Valdivia, Chile; Swiss State Secretariat for Education and Research SER; CONICYT(Comision Nacional de Investigacion Cientifica y Tecnologica (CONICYT))</t>
  </si>
  <si>
    <t>Special thanks go to the drilling team which did an exceptional job in the field. Precipitation data were kindly provided by Jorge Carrasco, Direccion Meteorologica de Chile. Financial support from National Geographic (Grant No. 7587-04), FONDECYT, Centro de Estudios Cientificos (CECs), Valdivia, Chile, and the Swiss State Secretariat for Education and Research SER (Grant No. CJRP-1004) is highly acknowledged. CECs is funded by the Basal fund programme of CONICYT among other grants.</t>
  </si>
  <si>
    <t>10.5194/tc-7-1635-2013</t>
  </si>
  <si>
    <t>WOS:000328544800023</t>
  </si>
  <si>
    <t>Borstad, CP; Rignot, E; Mouginot, J; Schodlok, MP</t>
  </si>
  <si>
    <t>Borstad, C. P.; Rignot, E.; Mouginot, J.; Schodlok, M. P.</t>
  </si>
  <si>
    <t>Creep deformation and buttressing capacity of damaged ice shelves: theory and application to Larsen C ice shelf</t>
  </si>
  <si>
    <t>FORCE-PERTURBATION ANALYSIS; FRACTURE-MECHANICS APPROACH; PINE ISLAND GLACIER; ANTARCTIC PENINSULA; RADAR INTERFEROMETRY; BOTTOM CREVASSES; RIFT PROPAGATION; SURFACE; SHEET; RHEOLOGY</t>
  </si>
  <si>
    <t>Around the perimeter of Antarctica, much of the ice sheet discharges to the ocean through floating ice shelves. The buttressing provided by ice shelves is critical for modulating the flux of ice into the ocean, and the presently observed thinning of ice shelves is believed to be reducing their buttressing capacity and contributing to the acceleration and thinning of the grounded ice sheet. However, relatively little attention has been paid to the role that fractures play in the ability of ice shelves to sustain and transmit buttressing stresses. Here, we present a new framework for quantifying the role that fractures play in the creep deformation and buttressing capacity of ice shelves. We apply principles of continuum damage mechanics to derive a new analytical relation for the creep of an ice shelf that accounts for the softening influence of fractures on longitudinal deformation using a state damage variable. We use this new analytical relation, combined with a temperature calculation for the ice, to partition an inverse method solution for ice shelf rigidity into independent solutions for softening damage and stabilizing backstress. Using this new approach, field and remote sensing data can be utilized to monitor the structural integrity of ice shelves, their ability to buttress the flow of ice at the grounding line, and thus their indirect contribution to ice sheet mass balance and global sea level. We apply this technique to the Larsen C ice shelf using remote sensing and Operation Ice-Bridge data, finding damage in areas with known crevasses and rifts. Backstress is highest near the grounding line and upstream of ice rises, in agreement with patterns observed on other ice shelves. The ice in contact with the Bawden ice rise is weakened by fractures, and additional damage or thinning in this area could diminish the backstress transmitted upstream. We model the consequences for the ice shelf if it loses contact with this small ice rise, finding that flow speeds would increase by 25% or more over an area the size of the former Larsen B ice shelf. Such a perturbation could potentially destabilize the northern part of Larsen C along pre-existing lines of weakness, highlighting the importance of the feedback between buttressing and fracturing in an ice shelf.</t>
  </si>
  <si>
    <t>[Borstad, C. P.; Rignot, E.; Schodlok, M. P.] CALTECH, Jet Prop Lab, Pasadena, CA 91125 USA; [Rignot, E.; Mouginot, J.] Univ Calif Irvine, Dept Earth Syst Sci, Irvine, CA USA; [Schodlok, M. P.] Univ Calif Los Angeles, Joint Inst Reg Earth Syst Sci &amp; Engn, Los Angeles, CA USA</t>
  </si>
  <si>
    <t>National Aeronautics &amp; Space Administration (NASA); NASA Jet Propulsion Laboratory (JPL); California Institute of Technology; University of California System; University of California Irvine; University of California System; University of California Los Angeles</t>
  </si>
  <si>
    <t>Borstad, CP (corresponding author), CALTECH, Jet Prop Lab, Pasadena, CA 91125 USA.</t>
  </si>
  <si>
    <t>cborstad@jpl.nasa.gov</t>
  </si>
  <si>
    <t>Mouginot, Jeremie/G-7045-2015; Rignot, Eric/A-4560-2014</t>
  </si>
  <si>
    <t>Mouginot, Jeremie/0000-0001-9155-5455; Rignot, Eric/0000-0002-3366-0481; Borstad, Christopher/0000-0001-6992-1770</t>
  </si>
  <si>
    <t>NASA Postdoctoral Program at the Jet Propulsion Laboratory; NASA; NASA MEaSUREs (Making Earth System Data Records for Use in Research Environments) program; NASA MAP (Modeling Analysis and Prediction) program</t>
  </si>
  <si>
    <t>NASA Postdoctoral Program at the Jet Propulsion Laboratory(National Aeronautics &amp; Space Administration (NASA)); NASA(National Aeronautics &amp; Space Administration (NASA)); NASA MEaSUREs (Making Earth System Data Records for Use in Research Environments) program; NASA MAP (Modeling Analysis and Prediction) program</t>
  </si>
  <si>
    <t>CB was supported by an appointment to the NASA Postdoctoral Program at the Jet Propulsion Laboratory, administered by Oak Ridge Associated Universities through a contract with NASA. JM was supported by the NASA MEaSUREs (Making Earth System Data Records for Use in Research Environments) program, MS was supported by the NASA MAP (Modeling Analysis and Prediction) program. We thank O. Gagliardini, J. Bassis and two anonymous reviewers for their constructive comments.</t>
  </si>
  <si>
    <t>10.5194/tc-7-1931-2013</t>
  </si>
  <si>
    <t>273OY</t>
  </si>
  <si>
    <t>WOS:000328546300020</t>
  </si>
  <si>
    <t>Siingh, D; Singh, RP; Gopalakrishnan, V; Selvaraj, C; Panneerselvam, C</t>
  </si>
  <si>
    <t>Siingh, Devendraa; Singh, R. P.; Gopalakrishnan, V.; Selvaraj, C.; Panneerselvam, C.</t>
  </si>
  <si>
    <t>Fair-weather atmospheric electricity study at Maitri (Antarctica)</t>
  </si>
  <si>
    <t>EARTH PLANETS AND SPACE</t>
  </si>
  <si>
    <t>Antarctica; electric field; Maxwell current density; global electric circuit; surface conductivity; atmospheric ions; potential gradient; air-Earth current density</t>
  </si>
  <si>
    <t>DIURNAL-VARIATION; ION CONCENTRATIONS; EARTHS ATMOSPHERE; MAXWELL CURRENT; SOLAR-ACTIVITY; FIELD; CIRCUIT; STATION; CONDUCTIVITY; PARTICLES</t>
  </si>
  <si>
    <t>Results of near-surface measurements of atmospheric electric field and meteorological parameters at the Indian Antarctic station, Maitri, during 12 fair-weather days of January and February, 2005, are presented. Data are analyzed to study the diurnal variation of the electric field and its departure, if any, from the global electric fields. Fair-weather days are classified into two groups depending upon the average of the hourly surface temperature. Group one, when the average of the hourly surface temperature is mostly above the freezing point, and group two, when the same is below the freezing point. The role of different ion sizes on the Maxwell current density and the air-Earth current density for the two groups are quite different under different conditions. To study the effect of ions on the atmospheric electric fields, ions are grouped as small ions, intermediate ions and large ions. We find that the small and the large ions largely influence the air-Earth current density with a correlation coefficient higher than 70%. The intermediate ions have a negative correlation in the case of group one fair-weather days, whereas for group two days no correlation is found. The diurnal variations of the Maxwell current density and the electric field show a peak between 1800 UT and 2000 UT and the nature of the variation can be attributed to the variation in worldwide thunderstorm activity. The correlation coefficient between the measured electric field and the electric field from the Carnegie curve is 0.93 with a &lt;0.0001 significance level. Thus, the observed electric field at Maitri represents the global electric field. The results show that a wind velocity of less than 10 m/s and a surface temperature of lower than +7 degrees C have almost no impact on the electric field and Maxwell current density.</t>
  </si>
  <si>
    <t>[Siingh, Devendraa; Gopalakrishnan, V.] Indian Inst Trop Meteorol, Pune 411008, Maharashtra, India; [Singh, R. P.] Banaras Hindu Univ, Dept Phys, Varanasi 221005, Uttar Pradesh, India; [Selvaraj, C.; Panneerselvam, C.] Indian Inst Geomagnetism, Equatorial Geophys Res Lab, Krishnapur 627011, Tirunelveli, India</t>
  </si>
  <si>
    <t>Ministry of Earth Sciences (MoES) - India; Indian Institute of Tropical Meteorology (IITM); Banaras Hindu University (BHU); Department of Science &amp; Technology (India); Indian Institute of Geomagnetism (IIG)</t>
  </si>
  <si>
    <t>Siingh, D (corresponding author), Indian Inst Trop Meteorol, Pune 411008, Maharashtra, India.</t>
  </si>
  <si>
    <t>devendraasiingh@tropmet.res.in</t>
  </si>
  <si>
    <t>Siingh, Dr Devendraa/ABF-2491-2021; Singh, Ravi P/C-6022-2011</t>
  </si>
  <si>
    <t>Siingh, Dr Devendraa/0000-0003-3044-596X; Siingh, Devendraa Siingh/0000-0002-1716-3688; V, GOPALAKRISHNAN/0000-0002-0003-1785</t>
  </si>
  <si>
    <t>IITM, Pune; BHU Varanasi</t>
  </si>
  <si>
    <t>Devendraa Siingh (DS) gratefully acknowledges the National Centre for Antarctic and Ocean Research (NCAOR), Goa, India, for giving him an opportunity to participate in the 24th Indian Scientific Expedition to Antarctica (ISEA), and to the India Meteorological Department for providing the Meteorological data. Thanks are due to Dr. A. K. Kamra for the support extended during the expedition and Vimlesh Pant (research scholar) for his support during the period of observation. DS and VG are grateful to the Ministry of Earth Sciences, Govt. of India, New Delhi, also express their sincere gratitude to Professor B. N. Goswami, Director, Indian Institute of Tropical Meteorology, Pune, for his continuous encouragement and support. This work is partially supported under the collaboration programme of IITM, Pune and BHU Varanasi. We gratefully acknowledge the constructive remarks of the anonymous reviewers, which has improved the quality of the work.</t>
  </si>
  <si>
    <t>SPRINGEROPEN</t>
  </si>
  <si>
    <t>CAMPUS, 4 CRINAN ST, LONDON, N1 9XW, ENGLAND</t>
  </si>
  <si>
    <t>1880-5981</t>
  </si>
  <si>
    <t>EARTH PLANETS SPACE</t>
  </si>
  <si>
    <t>Earth Planets Space</t>
  </si>
  <si>
    <t>10.5047/eps.2013.09.011</t>
  </si>
  <si>
    <t>275VB</t>
  </si>
  <si>
    <t>WOS:000328705000012</t>
  </si>
  <si>
    <t>Sewell, MA; Hofmann, GE</t>
  </si>
  <si>
    <t>Johnson, C</t>
  </si>
  <si>
    <t>Sewell, M. A.; Hofmann, G. E.</t>
  </si>
  <si>
    <t>Ocean acidification and echinoderms: How bad will it be for our favourite phylum?</t>
  </si>
  <si>
    <t>ECHINODERMS IN A CHANGING WORLD</t>
  </si>
  <si>
    <t>13th International Echinoderm Conference</t>
  </si>
  <si>
    <t>JAN 05-09, 2009</t>
  </si>
  <si>
    <t>Univ Tasmania, Hobart, AUSTRALIA</t>
  </si>
  <si>
    <t>Univ Tasmania</t>
  </si>
  <si>
    <t>CARBON-DIOXIDE; CLIMATE-CHANGE; COLD-WATER; SEA; CO2; IMPACT; CALCITE; SYSTEM; TEMPERATURE; ECHINOIDEA</t>
  </si>
  <si>
    <t>Marine ecosystems world-wide will be affected by Ocean Acidification( OA) and the accompanying changes to carbonate concentrations. Here we consider how OA might impact echinoderms by considering two contrasting reproductive strategies in sea urchins: planktotrophic larvae, and the brooded young of deep-sea Antarctic echinoids. In planktotrophic sea urchins previous research has shown that larvae developing in elevated CO2 are smaller, with skeletal abnormalities at high [CO2]. Recent research with Lytechinus pictus using gene expression profiling further shows that numerous genes central to energy metabolism and biomineralization are down-regulated in high CO2 conditions. Skeletal formation in adult Antarctic sea urchins, and their developing broods, is also likely to be affected by shallowing of the high Mg-calcite saturation horizon, potentially impacting growth, bathymetric distribution and local population persistence. Thus, OA will affect sea urchins with both brooding and larval developmental modes, suggesting broad-scale impacts on other calcified echinoderm classes.</t>
  </si>
  <si>
    <t>[Sewell, M. A.] Univ Auckland, Sch Biol Sci, Auckland 1, New Zealand</t>
  </si>
  <si>
    <t>University of Auckland</t>
  </si>
  <si>
    <t>Sewell, MA (corresponding author), Univ Auckland, Sch Biol Sci, Auckland 1, New Zealand.</t>
  </si>
  <si>
    <t>m.sewell@auckland.ac.nz</t>
  </si>
  <si>
    <t>Sewell, Mary A/C-9017-2009</t>
  </si>
  <si>
    <t>Sewell, Mary A/0000-0002-1595-7951</t>
  </si>
  <si>
    <t>CRC PRESS-TAYLOR &amp; FRANCIS GROUP</t>
  </si>
  <si>
    <t>BOCA RATON</t>
  </si>
  <si>
    <t>6000 BROKEN SOUND PARKWAY NW, STE 300, BOCA RATON, FL 33487-2742 USA</t>
  </si>
  <si>
    <t>978-0-203-63156-0; 978-1-138-00010-0</t>
  </si>
  <si>
    <t>BJI58</t>
  </si>
  <si>
    <t>WOS:000328334100001</t>
  </si>
  <si>
    <t>Ling, SD; Johnson, CR</t>
  </si>
  <si>
    <t>Ling, S. D.; Johnson, C. R.</t>
  </si>
  <si>
    <t>Native spider crab causes high incidence of sub-lethal injury to the introduced seastar Asterias amurensis</t>
  </si>
  <si>
    <t>SEA STAR; STICHASTER-STRIATUS; ARM DAMAGE; AUTOTOMY; ASTEROIDEA; TASMANIA; ECHINODERMATA; REPRODUCTION; ALLOCATION; GROWTH</t>
  </si>
  <si>
    <t>The northern Pacific seastar, Asterias amurensis (Lutken), is an invasive species established throughout the Derwent Estuary, southeast Tasmania. Here we report on field observations of predation on the seastar within its new environment. The spider crab Leptomithrax gaimardii (family Majidae), which characteristically aggregates in shallow water in winter, used its chelae to tear the body wall of A. amurensis and completely consume the seastar. Typically, the predatory interaction resulted in sub-lethal injury (arm damage) to the seastar. Sampling in the area of an aggregation of spider crabs revealed that similar to 70% (ranging from 50-87%) of the A. amurensis population incurred sub-lethal arm damage consistent with spider crab attack. Spider crabs were observed at other sites in the estuary, but were transient and rates of arm injury at these sites were much lower, ranging from 7-33%. The most common form of injury sustained by A. amurensis in the presence of spider crabs was damage to arm tips (62% of all injuries), followed by full arm loss (34%) and half-arm loss (5%). Near the peak of the similar to 2 month spider crab aggregation, very few injured seastars displayed evidence of arm regeneration, however rates of arm regeneration increased rapidly as the localised spider crab aggregation dispersed. Smaller A. amurensis were disproportionately represented among the injured seastars, while observations in situ and in aquaria revealed that injury may frequently occur during competition for mussel prey. These observations suggest that native predators within the seastar's new range may be capable of inflicting localised seasonal impacts on this important introduced pest.</t>
  </si>
  <si>
    <t>[Ling, S. D.; Johnson, C. R.] Univ Tasmania, Inst Marine &amp; Antarctic Studies, Hobart, Tas, Australia</t>
  </si>
  <si>
    <t>Ling, SD (corresponding author), Univ Tasmania, Inst Marine &amp; Antarctic Studies, Hobart, Tas, Australia.</t>
  </si>
  <si>
    <t>sdling@utas.edu.au; craig.johnson@utas.edu.au</t>
  </si>
  <si>
    <t>Ling, Scott/J-7161-2014; Johnson, Craig/E-1788-2013</t>
  </si>
  <si>
    <t>Ling, Scott/0000-0002-5544-8174; Johnson, Craig/0000-0002-9511-905X</t>
  </si>
  <si>
    <t>WOS:000328334100021</t>
  </si>
  <si>
    <t>O'Loughlin, M</t>
  </si>
  <si>
    <t>O'Loughlin, M.</t>
  </si>
  <si>
    <t>Diversity and distribution of holothuroid species south of the Antarctic Convergence (Echinodermata: Holothuroidea)</t>
  </si>
  <si>
    <t>[O'Loughlin, M.] Museum Victoria, Marine Biol Sect, Melbourne, Vic, Australia</t>
  </si>
  <si>
    <t>Melbourne Genomics Health Alliance; Museum Victoria</t>
  </si>
  <si>
    <t>WOS:000328334100074</t>
  </si>
  <si>
    <t>Ziegler, A; Grygier, MJ</t>
  </si>
  <si>
    <t>Ziegler, A.; Grygier, M. J.</t>
  </si>
  <si>
    <t>First report of Ulophysema (Crustacea: Ascothoracida) outside northern seas, parasitizing the bathyal Antarctic species Pourtalesia hispida (Echinoidea: Holasteroida)</t>
  </si>
  <si>
    <t>[Ziegler, A.] Free Univ Berlin, Inst Biol, Berlin, Germany</t>
  </si>
  <si>
    <t>Free University of Berlin</t>
  </si>
  <si>
    <t>aziegler@zoosyst-berlin.de</t>
  </si>
  <si>
    <t>WOS:000328334100138</t>
  </si>
  <si>
    <t>Scott, SV</t>
  </si>
  <si>
    <t>Molenaar, EJ; Elferink, AGO; Rothwell, DR</t>
  </si>
  <si>
    <t>Scott, Shirley V.</t>
  </si>
  <si>
    <t>THE EVOLVING ANTARCTIC TREATY SYSTEM: IMPLICATIONS OF ACCOMMODATING DEVELOPMENTS IN THE LAW OF THE SEA</t>
  </si>
  <si>
    <t>LAW OF THE SEA AND THE POLAR REGIONS: INTERACTIONS BETWEEN GLOBAL AND REGIONAL REGIMES</t>
  </si>
  <si>
    <t>Publications on Ocean Development</t>
  </si>
  <si>
    <t>Conference on Law of the Sea and the Polar Regions - Interactions between Global and Regional Regimes</t>
  </si>
  <si>
    <t>MAY 14-15, 2012</t>
  </si>
  <si>
    <t>Utrecht Univ, Utrecht, NETHERLANDS</t>
  </si>
  <si>
    <t>Utrecht Univ</t>
  </si>
  <si>
    <t>[Scott, Shirley V.] Univ New S Wales, Master Program Int Law &amp; Int Relat, Sydney, NSW 2052, Australia</t>
  </si>
  <si>
    <t>University of New South Wales Sydney</t>
  </si>
  <si>
    <t>BRILL</t>
  </si>
  <si>
    <t>LEIDEN</t>
  </si>
  <si>
    <t>PO BOX 9000, 2300 PA LEIDEN, NETHERLANDS</t>
  </si>
  <si>
    <t>0924-1922</t>
  </si>
  <si>
    <t>978-90-04-25521-0; 978-90-04-25520-3</t>
  </si>
  <si>
    <t>PUBL OCEAN</t>
  </si>
  <si>
    <t>Law</t>
  </si>
  <si>
    <t>Government &amp; Law</t>
  </si>
  <si>
    <t>BJI60</t>
  </si>
  <si>
    <t>WOS:000328337400002</t>
  </si>
  <si>
    <t>Serdy, A</t>
  </si>
  <si>
    <t>Serdy, Andrew</t>
  </si>
  <si>
    <t>ANTARCTIC FISHERIES MANAGEMENT</t>
  </si>
  <si>
    <t>[Serdy, Andrew] Univ Southampton, Southampton SO9 5NH, Hants, England</t>
  </si>
  <si>
    <t>University of Southampton</t>
  </si>
  <si>
    <t>Rothwell, Donald R/V-1403-2018; Serdy, Andrew/AFK-3793-2022</t>
  </si>
  <si>
    <t>WOS:000328337400010</t>
  </si>
  <si>
    <t>Mossop, J</t>
  </si>
  <si>
    <t>Mossop, Joanna</t>
  </si>
  <si>
    <t>MARINE MAMMALS IN THE ANTARCTIC TREATY SYSTEM</t>
  </si>
  <si>
    <t>[Mossop, Joanna] Victoria Univ Wellington, Wellington, New Zealand</t>
  </si>
  <si>
    <t>Mossop, Joanna/0000-0002-4038-0103</t>
  </si>
  <si>
    <t>WOS:000328337400012</t>
  </si>
  <si>
    <t>Lefeber, R</t>
  </si>
  <si>
    <t>Lefeber, Rene</t>
  </si>
  <si>
    <t>MARINE SCIENTIFIC RESEARCH IN THE ANTARCTIC TREATY SYSTEM</t>
  </si>
  <si>
    <t>WOS:000328337400014</t>
  </si>
  <si>
    <t>Cheng, WF; Zhang, J; Zhang, BC; Yang, R</t>
  </si>
  <si>
    <t>Khaddaj, S</t>
  </si>
  <si>
    <t>Cheng, Wenfang; Zhang, Jie; Zhang, Beichen; Yang, Rui</t>
  </si>
  <si>
    <t>A Multidisciplinary Scientific data sharing system for the Polar Region</t>
  </si>
  <si>
    <t>2013 12TH INTERNATIONAL SYMPOSIUM ON DISTRIBUTED COMPUTING AND APPLICATIONS TO BUSINESS, ENGINEERING &amp; SCIENCE (DCABES)</t>
  </si>
  <si>
    <t>12th International Symposium on Distributed Computing and Applications to Business, Engineering and Science (DCABES)</t>
  </si>
  <si>
    <t>SEP 02-04, 2012</t>
  </si>
  <si>
    <t>Kingston Univ, London, ENGLAND</t>
  </si>
  <si>
    <t>Kingston Univ</t>
  </si>
  <si>
    <t>Python; Antarctic and Arctic metadata; data management</t>
  </si>
  <si>
    <t>A polar scientific data sharing platform information system integrating a number of functions like data retrieval, data publishing, data application for approval and data applications based on Python in the paper, realizing effective management of polar scientific data. Now the system has begun to provide data service, becoming the first polar metadata platform of China opened and shared by both domestic and foreign users. The paper introduces the design and realization of the system by elaboration of key functional modules, and then demonstrate it's by actual data and service.</t>
  </si>
  <si>
    <t>[Cheng, Wenfang; Zhang, Jie; Zhang, Beichen; Yang, Rui] Polar Res Inst China, Dept Informat, Shanghai 200136, Peoples R China</t>
  </si>
  <si>
    <t>Polar Research Institute of China</t>
  </si>
  <si>
    <t>Cheng, WF (corresponding author), Polar Res Inst China, Dept Informat, Shanghai 200136, Peoples R China.</t>
  </si>
  <si>
    <t>chengwenfang@pric.gov.cn</t>
  </si>
  <si>
    <t>978-0-7695-5060-2</t>
  </si>
  <si>
    <t>10.1109/DCABES.2013.54</t>
  </si>
  <si>
    <t>Computer Science, Interdisciplinary Applications; Computer Science, Theory &amp; Methods</t>
  </si>
  <si>
    <t>Computer Science</t>
  </si>
  <si>
    <t>BJG80</t>
  </si>
  <si>
    <t>WOS:000328118300033</t>
  </si>
  <si>
    <t>Ahmad, SA; Shukor, MY; Shamaan, NA; Mac Cormack, WP; Syed, MA</t>
  </si>
  <si>
    <t>Ahmad, S. A.; Shukor, M. Y.; Shamaan, N. A.; Mac Cormack, W. P.; Syed, M. A.</t>
  </si>
  <si>
    <t>Molybdate Reduction to Molybdenum Blue by an Antarctic Bacterium</t>
  </si>
  <si>
    <t>BIOMED RESEARCH INTERNATIONAL</t>
  </si>
  <si>
    <t>HEAVY-METAL CONTAMINATION; HEXAVALENT MOLYBDENUM; CHROMATE REDUCTION; SOILS; DEGRADATION; SENSITIVITY; ARSENITE; TOXICITY; CHROMIUM; STRAINS</t>
  </si>
  <si>
    <t>A molybdenum-reducing bacterium from Antarctica has been isolated. The bacterium converts sodium molybdate or Mo6+ to molybdenum blue (Mo-blue). Electron donors such as glucose, sucrose, fructose, and lactose supported molybdate reduction. Ammonium sulphate was the best nitrogen source for molybdate reduction. Optimal conditions for molybdate reduction were between 30 and 50 mM molybdate, between 15 and 20 degrees C, and initial pH between 6.5 and 7.5. The Mo-blue produced had a unique absorption spectrum with a peak maximum at 865 nm and a shoulder at 710 nm. Respiratory inhibitors such as antimycin A, sodium azide, potassium cyanide, and rotenone failed to inhibit the reducing activity. The Mo- reducing enzyme was partially purified using ion exchange and gel filtration chromatography. The partially purified enzyme showed optimal pH and temperature for activity at 6.0 and 20 degrees C, respectively. Metal ions such as cadmium, chromium, copper, silver, lead, and mercury caused more than 95% inhibition of the molybdenum- reducing activity at 0.1 mM. The isolate was tentatively identified as Pseudomonas sp. strain DRY1 based on partial 16s rDNA molecular phylogenetic assessment and the Biolog microbial identification system. The characteristics of this strain would make it very useful in bioremediation works in the polar and temperate countries.</t>
  </si>
  <si>
    <t>[Ahmad, S. A.; Shukor, M. Y.; Syed, M. A.] Univ Putra Malaysia, Fac Biotechnol &amp; Biomol Sci, Dept Biochem, Serdang 43400, Selangor, Malaysia; [Shamaan, N. A.] Univ Sains Islam Malaysia, Fac Med &amp; Hlth Sci, Persiaran MPAJ, Kuala Lumpur 55100, Malaysia; [Mac Cormack, W. P.] Inst Antartico Argentino, RA-1010 Buenos Aires, DF, Argentina</t>
  </si>
  <si>
    <t>Universiti Putra Malaysia; Universiti Sains Islam Malaysia; Instituto Antartico Argentino</t>
  </si>
  <si>
    <t>Shukor, MY (corresponding author), Univ Putra Malaysia, Fac Biotechnol &amp; Biomol Sci, Dept Biochem, Serdang 43400, Selangor, Malaysia.</t>
  </si>
  <si>
    <t>mohdyunus@upm.edu.my</t>
  </si>
  <si>
    <t>shukor, yunus/AAB-7087-2020</t>
  </si>
  <si>
    <t>shukor, yunus/0000-0002-6150-2114; Ahmad, Siti Aqlima/0000-0002-7625-3704; Mac Cormack, Walter/0000-0002-5280-5463</t>
  </si>
  <si>
    <t>Minister of Science, Technology and Innovation (MOSTI); Academy Sciences of Malaysia (ASM)</t>
  </si>
  <si>
    <t>This work was supported by the research grants from the Minister of Science, Technology and Innovation (MOSTI) and the Academy Sciences of Malaysia (ASM). The authors would like to thank the Argentinean Institute of Antarctica (IAA) for providing logistics support during the expedition to Antarctica.</t>
  </si>
  <si>
    <t>HINDAWI LTD</t>
  </si>
  <si>
    <t>ADAM HOUSE, 3RD FLR, 1 FITZROY SQ, LONDON, W1T 5HF, ENGLAND</t>
  </si>
  <si>
    <t>2314-6133</t>
  </si>
  <si>
    <t>2314-6141</t>
  </si>
  <si>
    <t>BIOMED RES INT</t>
  </si>
  <si>
    <t>Biomed Res. Int.</t>
  </si>
  <si>
    <t>10.1155/2013/871941</t>
  </si>
  <si>
    <t>Biotechnology &amp; Applied Microbiology; Medicine, Research &amp; Experimental</t>
  </si>
  <si>
    <t>Biotechnology &amp; Applied Microbiology; Research &amp; Experimental Medicine</t>
  </si>
  <si>
    <t>271SM</t>
  </si>
  <si>
    <t>WOS:000328411900001</t>
  </si>
  <si>
    <t>Zawierucha, K</t>
  </si>
  <si>
    <t>Zawierucha, Krzysztof</t>
  </si>
  <si>
    <t>Tardigrada from Arctic tundra (Spitsbergen) with description of Isohypsibius karenae sp n. (Isohypsibiidae)</t>
  </si>
  <si>
    <t>POLISH POLAR RESEARCH</t>
  </si>
  <si>
    <t>Arctic; Hornsund; Ariekammen; Eutardigrada; moss fauna; taxonomy</t>
  </si>
  <si>
    <t>RE-DESCRIPTION; EUTARDIGRADA; HYPSIBIIDAE; REDESCRIPTION</t>
  </si>
  <si>
    <t>Five species of Tardigrada were found in two moss samples collected from the Hornsund area (Ariekammen, Spitsbergen) including one new to science. The new species, Isohypsibius karenae sp. n., differs from the other similar congeners mainly by having a different type of cuticular sculpture, a different macroplacoid length sequence, by the presence of lunules and cuticular bars under claws as well as by some morphometric characters. The current study increases the number of Isohypsibius species known from Svalbard to thirteen.</t>
  </si>
  <si>
    <t>Adam Mickiewicz Univ, Wydzial Biol, Zaklad Takson &amp; Ekol Zwierzat, PL-61614 Poznan, Poland</t>
  </si>
  <si>
    <t>Adam Mickiewicz University</t>
  </si>
  <si>
    <t>Zawierucha, K (corresponding author), Adam Mickiewicz Univ, Wydzial Biol, Zaklad Takson &amp; Ekol Zwierzat, Ul Umultowska 89, PL-61614 Poznan, Poland.</t>
  </si>
  <si>
    <t>k.p.zawierucha@gmail.com</t>
  </si>
  <si>
    <t>Zawierucha, Krzysztof/HTP-6506-2023; Zawierucha, Krzysztof/HDN-5985-2022</t>
  </si>
  <si>
    <t>Zawierucha, Krzysztof/0000-0002-0754-1411</t>
  </si>
  <si>
    <t>Polish Ministry of Science and Higher Education [DI2011 035241]</t>
  </si>
  <si>
    <t>Polish Ministry of Science and Higher Education(Ministry of Science and Higher Education, Poland)</t>
  </si>
  <si>
    <t>I am grateful to Sandra McInnes (British Antarctic Survey) for the loan of the type material of I. laevis and improvements to the manuscript, and to Roberto Bertolani (University of Modena) for morphometric data and photomicrographs of I. marii and professional consultations. I would like to express my thanks to Lukasz Kaczmarek (Adam Mickiewicz University) and Lukasz Michalczyk (Jagiellonian University) for their help and comments on the manuscript. I am also grateful to Nigel Marley (University of Plymouth) for his valuable improvements to manuscript. I would like to thanks to Malgorzata Kuznik for her help in preparing the figures. My research was supported by the Polish Ministry of Science and Higher Education via the Diamond Grant (Diamentowy Grant) scheme, grant no. DI2011 035241.</t>
  </si>
  <si>
    <t>POLSKA AKAD NAUK, POLISH ACAD SCIENCES</t>
  </si>
  <si>
    <t>WARSZAWA</t>
  </si>
  <si>
    <t>PL DEFILAD 1, WARSZAWA, 00-901, POLAND</t>
  </si>
  <si>
    <t>0138-0338</t>
  </si>
  <si>
    <t>2081-8262</t>
  </si>
  <si>
    <t>POL POLAR RES</t>
  </si>
  <si>
    <t>Pol. Polar. Res.</t>
  </si>
  <si>
    <t>10.2478/popore-2013-0016</t>
  </si>
  <si>
    <t>Ecology; Geosciences, Multidisciplinary</t>
  </si>
  <si>
    <t>Environmental Sciences &amp; Ecology; Geology</t>
  </si>
  <si>
    <t>272EJ</t>
  </si>
  <si>
    <t>WOS:000328442800004</t>
  </si>
  <si>
    <t>Hospitaleche, CA</t>
  </si>
  <si>
    <t>Acosta Hospitaleche, Carolina</t>
  </si>
  <si>
    <t>New crania from Seymour Island (Antarctica) shed light on anatomy of Eocene penguins</t>
  </si>
  <si>
    <t>Antarctica; Sphenisciformes; crania; La Meseta Formation; late Eocene</t>
  </si>
  <si>
    <t>LA MESETA FORMATION; MIOCENE PENGUIN; FOSSIL PENGUIN; STRATIGRAPHY; PATAGONIA; EVOLUTION</t>
  </si>
  <si>
    <t>Antarctic skulls attributable to fossil penguins are rare. Three new penguin crania from Antarctica are here described providing an insight into their feeding function. One of the specimens studied is largely a natural endocast, slightly damaged, and lacking preserved osteological details. Two other specimens are the best preserved fossil penguin crania from Antarctica, enabling the study of characters not observed so far. All of them come from the uppermost Submeseta Allomember of the La Meseta Formation (Eocene-?Oligocene), Seymour (Marambio) Island, Antarctic Peninsula. The results of the comparative studies suggest that Paleogene penguins were long-skulled birds, with strong nuchal crests and deep temporal fossae. The configuration of the nuchal crests, the temporal fossae, and the parasphenoidal processes, appears to indicate the presence of powerful muscles. The nasal gland sulcus devoid of a supraorbital edge is typical of piscivorous species.</t>
  </si>
  <si>
    <t>Museo La Plata, CONICET, Div Paleontol Vertebrados, La Plata, Buenos Aires, Argentina</t>
  </si>
  <si>
    <t>Hospitaleche, CA (corresponding author), Museo La Plata, CONICET, Div Paleontol Vertebrados, Paseo Bosque S-N,B1900FWA, La Plata, Buenos Aires, Argentina.</t>
  </si>
  <si>
    <t>acostacaro@fcnym.unlp.edit.ar</t>
  </si>
  <si>
    <t>Acosta Hospitaleche, Carolina/E-5740-2017</t>
  </si>
  <si>
    <t>Acosta Hospitaleche, Carolina/0000-0002-2614-1448</t>
  </si>
  <si>
    <t>Instituto Antartico Argentino; Consejo Nacional de Investigaciones Cientificas y Tecnicas; Agencia Nacional de Promocion Cientifica y Tecnologica</t>
  </si>
  <si>
    <t>Instituto Antartico Argentino; Consejo Nacional de Investigaciones Cientificas y Tecnicas(Consejo Nacional de Investigaciones Cientificas y Tecnicas (CONICET)); Agencia Nacional de Promocion Cientifica y Tecnologica(ANPCyTSpanish Government)</t>
  </si>
  <si>
    <t>Special thanks go to the Instituto Antartico Argentino, Consejo Nacional de Investigaciones Cientificas y Tecnicas and Agencia Nacional de Promocion Cientifica y Tecnologica for constant support the Heidi group (Javier N. Gelfo, Marcelo Reguero, Guillermo Lopez, Sergio Santillana), for assistance during field and laboratory research, and to Ariana Paulina Carabajal for help; Marcelo Reguero and Eduardo Tonni (MLP) for the access to the material under study, Miguel Griffin (MLP) for English grammar improvement, Bruno Pianzola (MLP) for taking the photographs, and the reviewers for improving the present manuscript.</t>
  </si>
  <si>
    <t>10.2478/popore-2013-0018</t>
  </si>
  <si>
    <t>Green Published, Green Submitted</t>
  </si>
  <si>
    <t>WOS:000328442800005</t>
  </si>
  <si>
    <t>Luan, QS; Wang, CH; Wang, XL; Sun, JX; Niu, MX; Wang, J</t>
  </si>
  <si>
    <t>Luan, Qingshan; Wang, Chenghua; Wang, Xinliang; Sun, Jianqiang; Niu, Mingxiang; Wang, Jun</t>
  </si>
  <si>
    <t>Microphytoplankton communities off the Antarctic Peninsula region in austral summer 2010/2011</t>
  </si>
  <si>
    <t>Antarctic; phytoplankton; community structure; chlorophyll a</t>
  </si>
  <si>
    <t>NORTHWESTERN WEDDELL SEA; MARGINAL ICE-ZONE; SOUTHERN-OCEAN; PHYTOPLANKTON DISTRIBUTIONS; SIZE STRUCTURE; SCOTIA SEA; ROSS SEA; ASSEMBLAGES; EDGE; WEST</t>
  </si>
  <si>
    <t>Microphytoplankton communities in waters near the Antarctic Peninsula were investigated using collections made during two harvesting cruises in austral summer 2010/2011. Twenty-five net-haul samples were collected. The species composition was assessed, and the cell abundance was counted with a light microscope. A total of forty-four species were recorded, with diatoms being the most abundant group. The predominant species near the South Shetland Islands (SSIs) were Fragilariopsis kerguelensis, Pseudo-nitzschia lineola and Thalassiothrix antarctica, while Rhizosolenia antennata f. semispina was the most common species near the South Orkney Islands (SOIs). Habitat use was preferentially distributed. The average cell abundance of total phytoplanlcton was 6.6x10(11) cells m(-2) with high densities detected at the southwest tip of the Antarctic Peninsula. Cluster analysis clearly illustrated that the microphytoplankton communities were different at the SSIs and SOIs. Correlation analysis was applied to interpret the relationship between phytoplankton distribution and associated hydrographic conditions. Total phytoplankton abundance showed a significant negative correlation with sea surface salinity (p &lt;0.01). The results implied that the high phytoplankton biomass was supported primarily by suitable physical conditions in the upper water column, i.e., relatively stable, stratified and well-lighted seawaters. Water stability in combination with the depth of the upper mixed layer might be the main factor controlling the phytoplankton distribution in waters near the Antarctic Peninsula.</t>
  </si>
  <si>
    <t>[Luan, Qingshan; Wang, Chenghua; Wang, Xinliang; Sun, Jianqiang; Niu, Mingxiang; Wang, Jun] Chinese Acad Fishery Sci, Yellow Sea Fisheries Res Inst, Minist Agr, Key Lab Sustainable Dev Marine Fisheries, Qingdao 266071, Peoples R China</t>
  </si>
  <si>
    <t>Ministry of Agriculture &amp; Rural Affairs; Chinese Academy of Fishery Sciences; Yellow Sea Fisheries Research Institute, CAFS</t>
  </si>
  <si>
    <t>Wang, J (corresponding author), Chinese Acad Fishery Sci, Yellow Sea Fisheries Res Inst, Minist Agr, Key Lab Sustainable Dev Marine Fisheries, Qingdao 266071, Peoples R China.</t>
  </si>
  <si>
    <t>wangjun@ysfri.ac.cn</t>
  </si>
  <si>
    <t>wang, xinliang/0000-0002-9321-3069</t>
  </si>
  <si>
    <t>Ministry of Agriculture of the People's Republic of China [D-8003-09-0158]; Special Scientific Research Funds for Central Nonprofit Institutes; Yellow Sea Fisheries Research Institute [20603022011001]; Ministry of Science and Technology of the People's Republic of China [2012BAD18B01]</t>
  </si>
  <si>
    <t>Ministry of Agriculture of the People's Republic of China(Ministry of Agriculture &amp; Rural Affairs); Special Scientific Research Funds for Central Nonprofit Institutes; Yellow Sea Fisheries Research Institute; Ministry of Science and Technology of the People's Republic of China(Ministry of Science and Technology, China)</t>
  </si>
  <si>
    <t>The authors are grateful for the language editing services of M. Rajkumar at Annamalai University. We would like to thank the crews of the RV Kaixin, and RV Anxinghai, for their help in sample collection. We thank the anonymous referees for their comments. This research was supported by the Ministry of Agriculture of the People's Republic of China (grant number D-8003-09-0158), Special Scientific Research Funds for Central Nonprofit Institutes, the Yellow Sea Fisheries Research Institute (grant number 20603022011001) and the Ministry of Science and Technology of the People's Republic of China (grant number 2012BAD18B01).</t>
  </si>
  <si>
    <t>POLISH ACAD SCIENCES</t>
  </si>
  <si>
    <t>PL DEFILAD 1, WARSZAWA, 00000, POLAND</t>
  </si>
  <si>
    <t>10.2478/popore-2013-0025</t>
  </si>
  <si>
    <t>WOS:000328442800006</t>
  </si>
  <si>
    <t>Zdzitowiecki, K; Ozouf-Costaz, C</t>
  </si>
  <si>
    <t>Zdzitowiecki, Krzysztof; Ozouf-Costaz, Catherine</t>
  </si>
  <si>
    <t>Contribution to the knowledge of the parasitic fauna of fish off Ade lie Land, Antarctica</t>
  </si>
  <si>
    <t>Antarctica; Adelie Land; fish parasites</t>
  </si>
  <si>
    <t>HELICOMETRA; OPECOELIDAE; DIGENEA; WORMS</t>
  </si>
  <si>
    <t>In total, 42 fish belonging to 16 species were examined. All fish were infected. Parasiticsworms were endoparasites: Digenea (eight species), Cestoda (three mixed groups of larval forms), Acanthocephala (two species) and Nematoda (one species in adult and one in larval stage, and two Contracaecum spp. in larval stage). Undetermined parasitic Copepoda and Hirudinea were external parasites. Summing up previous and new data 25 species and mixed groups were found. Parasites in larval stage using fish as intermediate or paratenic hosts were more numerous than species maturing in fish. For example, 1913 nematodes Contracaecum spp. were recorded in one fish, whereas the digenean, Genolinea bowersi, was the most numerous maturing parasite (168 specimens in one fish).</t>
  </si>
  <si>
    <t>[Zdzitowiecki, Krzysztof] Polish Acad Sci, Inst Parazytol, PL-00818 Warsaw, Poland; [Ozouf-Costaz, Catherine] Museum Natl Hist Nat, F-75231 Paris 05, France</t>
  </si>
  <si>
    <t>Polish Academy of Sciences; Witold Stefanski Institute of Parasitology of the Polish Academy of Sciences; Museum National d'Histoire Naturelle (MNHN)</t>
  </si>
  <si>
    <t>Zdzitowiecki, K (corresponding author), Polish Acad Sci, Inst Parazytol, Ul Twarda 51-55, PL-00818 Warsaw, Poland.</t>
  </si>
  <si>
    <t>kzdzit@twarda.pan.pl; ozouf@mnhn.fr</t>
  </si>
  <si>
    <t>Institut francais pour la recherche et la technologie polaire; CAML-CEAMARC Programme (IPY) [53]; CNRS; Museum National d'Histoire Naturelle in Paris</t>
  </si>
  <si>
    <t>Institut francais pour la recherche et la technologie polaire; CAML-CEAMARC Programme (IPY); CNRS(Centre National de la Recherche Scientifique (CNRS)); Museum National d'Histoire Naturelle in Paris</t>
  </si>
  <si>
    <t>The authors are very grateful for members of the Antarctic expedition for assistance in collection of the fish. This work was supported by the Institut francais pour la recherche et la technologie polaire (ICOTA and REVOLTA programmes) the CAML-CEAMARC Programme (IPY project no 53) the CNRS and the Museum National d'Histoire Naturelle in Paris.</t>
  </si>
  <si>
    <t>POLISH ACAD SCIENCES COMMITTEE POLAR RESEARCH</t>
  </si>
  <si>
    <t>KSIECIA JANUSZA 64, 01-452 WARSAW, POLAND</t>
  </si>
  <si>
    <t>10.2478/popore-2013-0023</t>
  </si>
  <si>
    <t>WOS:000328442800007</t>
  </si>
  <si>
    <t>Correia, E; Paz, AJ; Gende, MA</t>
  </si>
  <si>
    <t>Correia, Emilia; Paz, Amanda Junqueira; Gende, Mauricio A.</t>
  </si>
  <si>
    <t>Characterization of GPS total electron content (GPS-TEC) in Antarctica from 2004 to 2011</t>
  </si>
  <si>
    <t>LOW SOLAR-ACTIVITY; SEMIANNUAL VARIATIONS; IONOSPHERIC MAPS; ACTIVITY PHASE; STATION; MAXIMUM; REGION; PERIOD</t>
  </si>
  <si>
    <t>The vertical total electron content (VTEC) obtained from 2004 to 2011 at Comandante Ferraz Brazilian Antarctic Station (62.1 degrees S, 58.4 degrees W) is analyzed to study the mean diurnal, seasonal and annual variations. The maximum daytime VTEC had an annual variation that decreased from 2004 to 2008, and then starting to increase in 2009, which followed the variation of the solar activity. The daily VTEC shows good linear correlation with solar radiation intensity, which is also dependent on the solar zenithal angle. The mean diurnal VTEC shows a semiannual variation, with larger peaks in equinoxes for all years; no winter anomaly was observed, and in summer, there was no clear diurnal variation. The semiannual variation of the VTEC is also modulated by solar activity, with larger VTEC peaks when the solar activity was higher.</t>
  </si>
  <si>
    <t>[Correia, Emilia] Inst Nacl Pesquisas Espaciais, BR-12201 Sao Jose Dos Campos, Brazil; [Correia, Emilia; Paz, Amanda Junqueira] Univ Presbiteriana Mackenzie, CRAAM, Sao Paulo, Brazil; [Gende, Mauricio A.] Univ La Plata, La Plata, Buenos Aires, Argentina</t>
  </si>
  <si>
    <t>Instituto Nacional de Pesquisas Espaciais (INPE); Universidade Presbiteriana Mackenzie; National University of La Plata</t>
  </si>
  <si>
    <t>Correia, E (corresponding author), Univ Presbiteriana Mackenzie, CRAAM, Sao Paulo, Brazil.</t>
  </si>
  <si>
    <t>ecorreia@craam.mackenzie.br</t>
  </si>
  <si>
    <t>Correia, Emilia/F-6802-2012; Gende, Mauricio/G-3811-2013</t>
  </si>
  <si>
    <t>Correia, Emilia/0000-0003-4778-3834; Gende, Mauricio/0000-0003-2600-4969</t>
  </si>
  <si>
    <t>CNPq/PROANTAR [proc. 0520186/06-0, proc. 556872/2009-6]; INCT-APA (Instituto Nacional de Ciencia e Tecnologia Antartico de Pesquisas Ambientais, CNPq) [proc. 574018/2008-5]; INCT-APA (Instituto Nacional de Ciencia e Tecnologia Antartico de Pesquisas Ambientais, FAPERJ) [proc. E-16/170.023/2008]</t>
  </si>
  <si>
    <t>CNPq/PROANTAR(Conselho Nacional de Desenvolvimento Cientifico e Tecnologico (CNPQ)); INCT-APA (Instituto Nacional de Ciencia e Tecnologia Antartico de Pesquisas Ambientais, CNPq)(Conselho Nacional de Desenvolvimento Cientifico e Tecnologico (CNPQ)); INCT-APA (Instituto Nacional de Ciencia e Tecnologia Antartico de Pesquisas Ambientais, FAPERJ)(Fundacao Carlos Chagas Filho de Amparo a Pesquisa do Estado do Rio De Janeiro (FAPERJ))</t>
  </si>
  <si>
    <t>This study was supported by CNPq/PROANTAR (proc. 0520186/06-0 and 556872/2009-6) and partially by INCT-APA (Instituto Nacional de Ciencia e Tecnologia Antartico de Pesquisas Ambientais, CNPq proc. 574018/2008-5 and FAPERJ proc. E-16/170.023/2008). EC thanks the CNPq (proc. 300710/2006-2) and the SECIRM, and the Brazilian Antarctic Program (PROANTAR) for logistic support at Comandante Ferraz Brazilian Antarctic Station. We also thank the referee for suggestions that helped to improve our manuscript.</t>
  </si>
  <si>
    <t>R0217</t>
  </si>
  <si>
    <t>10.4401/ag-6223</t>
  </si>
  <si>
    <t>269PD</t>
  </si>
  <si>
    <t>WOS:000328252900003</t>
  </si>
  <si>
    <t>Fernandez, JH; Correia, E</t>
  </si>
  <si>
    <t>Fernandez, Jose Henrique; Correia, Emilia</t>
  </si>
  <si>
    <t>Electron precipitation events in the lower ionosphere and the geospace conditions</t>
  </si>
  <si>
    <t>VLF WAVES</t>
  </si>
  <si>
    <t>We present an analysis of localized ionospheric perturbations detected at Comandante Ferraz Brazilian Antarctic Station (McIlwain parameter L similar to 2.25) as fast-amplitude variations of very low frequency (VLF) signals transmitted from Hawaii (NPM, at 21.4 kHz), also known as Trimpi events. The study covers the first six months of 2007, during the period of minimum activity in the 23rd solar cycle. The occurrence of Trimpi events in the Antarctica peninsula region was studied in association with solar-wind parameters in the neighborhood of the Earth (geospace), along with the geomagnetic activity level (Ap, Dst indices). The analysis shows that the Trimpi events occurred predominantly during geomagnetically disturbed periods, but they have a more intricate association with the geospace regimes. The events achieve higher occurrence during the recovery phase of some geomagnetic storms, and also show a close association with electron flux enhancements in the belt region, especially those with higher energy. The higher event incidence occurred a few hours after what we call the 'angle bracket' phenomenon: when the solar wind velocity rises simultaneous with a decrease in its density.</t>
  </si>
  <si>
    <t>[Fernandez, Jose Henrique] Univ Fed Rio Grande Norte UFRN, Natal, RN, Brazil; [Correia, Emilia] Inst Nacl Pesquisas Espaciais, BR-12201 Sao Jose Dos Campos, Brazil; [Correia, Emilia] Univ Presbiteriana Mackenzie, CRAAM, Sao Paulo, Brazil</t>
  </si>
  <si>
    <t>Universidade Federal do Rio Grande do Norte; Instituto Nacional de Pesquisas Espaciais (INPE); Universidade Presbiteriana Mackenzie</t>
  </si>
  <si>
    <t>Fernandez, JH (corresponding author), Univ Fed Rio Grande Norte UFRN, Campus Lagoa Nova, Natal, RN, Brazil.</t>
  </si>
  <si>
    <t>jhfernandez@ect.ufrn.br</t>
  </si>
  <si>
    <t>Correia, Emilia/F-6802-2012</t>
  </si>
  <si>
    <t>Correia, Emilia/0000-0003-4778-3834; Fernandez, Jose Henrique/0000-0002-7993-2972</t>
  </si>
  <si>
    <t>CNPq/PROANTAR Brazilian Antarctic Program</t>
  </si>
  <si>
    <t>The authors wish to thank the World Data Center for Geomagnetism at Kyoto University, Japan, for the geomagnetic indices, and the ACE Satellite group for the solar wind data used in this study. This study was partially support by the CNPq/PROANTAR Brazilian Antarctic Program. We also thank the reviewers for their comments/ suggestions that helped us to improve our manuscript.</t>
  </si>
  <si>
    <t>R0218</t>
  </si>
  <si>
    <t>10.4401/ag-6242</t>
  </si>
  <si>
    <t>WOS:000328252900004</t>
  </si>
  <si>
    <t>Romano, V; Pau, S; Pezzopane, M; Spogli, L; Zuccheretti, E; Aquino, M; Hancock, CM</t>
  </si>
  <si>
    <t>Romano, Vincenzo; Pau, Silvia; Pezzopane, Michael; Spogli, Luca; Zuccheretti, Enrico; Aquino, Marcio; Hancock, Craig M.</t>
  </si>
  <si>
    <t>eSWua: a tool to manage and access GNSS ionospheric data from mid-to-high latitudes</t>
  </si>
  <si>
    <t>The electronic space weather upper atmosphere (eSWua) is a hardware-software system that is based on measurements collected by instruments installed by the Upper Atmosphere Physics Group of the Istituto Nazionale di Geofisica e Vulcanologia (INGV, Italy). More recently, it has also included the Global Navigation Satellite System (GNSS) ionospheric scintillation and total electron content (TEC) monitor (GISTM) stations that are managed and operated by the University of Nottingham (UK). By visiting the eSWua website, it is possible to access the database that has been implemented to organize and manage the large amount of information acquired. The section of the database designed for the TEC and scintillation data has been designed to address the needs of the space weather community as well as of scientific users. Through the web tools, it is possible to visualize, plot, extract and download the data from each station. This interactive website is supported by a structured database, and it provides a powerful tool for the scientific and technological community in the field of telecommunications and space weather. At present, the data transmission procedure, the database population algorithm, the linear plot and polar plot visualization tools, the statistics page, and the user management system are fully operational. Web access to the data and tools has been realized to handle the data from the sites at low, mid and high latitudes. In this report, we present the results of the system for the GNSS data in the Arctic, the Antarctica, and the three GISTM stations operated by the University of Nottingham: Nottingham, Trondheim and Dourbes. Case studies of the efficacy of this system for scientific and application purposes are also presented and discussed.</t>
  </si>
  <si>
    <t>[Romano, Vincenzo; Pau, Silvia; Pezzopane, Michael; Spogli, Luca; Zuccheretti, Enrico] Ist Nazl Geofis &amp; Vulcanol, Sez Roma 2, Rome, Italy; [Romano, Vincenzo; Aquino, Marcio; Hancock, Craig M.] Univ Nottingham, Nottingham Geospatial Inst, Nottingham NG7 2RD, England</t>
  </si>
  <si>
    <t>Istituto Nazionale Geofisica e Vulcanologia (INGV); University of Nottingham</t>
  </si>
  <si>
    <t>Romano, V (corresponding author), Ist Nazl Geofis &amp; Vulcanol, Sez Roma 2, Rome, Italy.</t>
  </si>
  <si>
    <t>vincenzo.romano@ingv.it</t>
  </si>
  <si>
    <t>Zuccheretti, Enrico/G-5821-2011; Romano, Vincenzo/HKV-6552-2023; Hancock, Craig M/JBJ-5756-2023; Spogli, Luca/AAD-1980-2021; Hancock, Craig M/F-4175-2015</t>
  </si>
  <si>
    <t>Zuccheretti, Enrico/0000-0003-1732-4557; Romano, Vincenzo/0000-0002-7532-4507; SPOGLI, Luca/0000-0003-2310-0306; Pezzopane, Michael/0000-0001-5800-2322; Hancock, Craig/0000-0002-9692-0439</t>
  </si>
  <si>
    <t>Italian Antarctic Research Program (PNRA)</t>
  </si>
  <si>
    <t>Part of this study was carried out in the framework of the PhD research project Scintillation effects on GNSS: monitoring and data treatment development at the Nottingham Geospatial Institute of the University of Nottingham, UK. This study is also a part of the framework of the GRAPE SCAR Expert Group activities (www.grape.scar.org), and is partially supported by the Italian Antarctic Research Program (PNRA). The authors also thank the National Space Science Data Center (NSSDC) for the use of the software for the calculation of the auroral oval positions through the model prepared by Feldstein, Holzworth and Meng.</t>
  </si>
  <si>
    <t>R0223</t>
  </si>
  <si>
    <t>10.4401/ag-6244</t>
  </si>
  <si>
    <t>WOS:000328252900009</t>
  </si>
  <si>
    <t>Romano, V; Spogli, L; Salvati, A; Rafanelli, C; Cafarella, L</t>
  </si>
  <si>
    <t>Romano, Vincenzo; Spogli, Luca; Salvati, Alberto; Rafanelli, Claudio; Cafarella, Lili</t>
  </si>
  <si>
    <t>The IDIPOS project: is a multidisciplinary data infrastructure for weather and space weather feasible?</t>
  </si>
  <si>
    <t>The Italian National Antarctic Programme (PNRA) has long supported scientific and technological activities addressed to the implementation, upgrade and maintenance of infrastructure and instruments supporting geosciences and physical sciences in the polar region. This report describes the first results of the Italian Database Infrastructure for Polar Observation Sciences (IDIPOS) project, which was recently approved by the PNRA. The project aims to study the feasibility of the hardware and software infrastructure for the construction of relational databases of acquisitions from past and current experiments in the polar areas. The study is based on the fundamental characteristics of the infrastructure: its implementation in Italy, with locations across the country, and its integration into the existing and future telematics infrastructure that will be available at the Italian bases. The project proposes a modern and high-tech infrastructure dedicated to data treatment, accessibility and archiving, in line with international standards. This infrastructure will allow modern, rapid and reliable treatment of the acquired data. The IDIPOS infrastructure is crucial during the planning phase of scientific and monitoring activities of the PNRA, especially of those included in the Scientific Committe for Antarctic Research (SCAR) projects, the International Polar Year, and the framework of international cooperation. In the first phase of the project, the observations are related to research projects in different PNRA sectors. The infrastructure will be potentially extendable to other observational activities. In this report, the infrastructure is introduced, while highlighting its usefulness for weather and space-weather forecasting for the scientific community and in the framework of Global Navigation Satellite System (GNSS) Research and Application for Polar Environment (GRAPE) in particular.</t>
  </si>
  <si>
    <t>[Romano, Vincenzo; Spogli, Luca; Cafarella, Lili] Ist Nazl Geofis &amp; Vulcanol, Sez Roma 2, Rome, Italy; [Salvati, Alberto] CNR, Ufficio Sistemi Informat &amp; Documentali, Rome, Italy; [Rafanelli, Claudio] CNR, Ist Acust &amp; Sensorist Orso Mario Corbino, Rome, Italy</t>
  </si>
  <si>
    <t>Istituto Nazionale Geofisica e Vulcanologia (INGV); Consiglio Nazionale delle Ricerche (CNR); Consiglio Nazionale delle Ricerche (CNR); Istituto di Acustica e Sensoristica Orso Mario Corbino (IDASC-CNR)</t>
  </si>
  <si>
    <t>Romano, Vincenzo/HKV-6552-2023; Spogli, Luca/AAD-1980-2021; Cafarella, Lili/HTO-5890-2023; Salvati, Alberto/I-7823-2014; cafarella, lili/G-4160-2011</t>
  </si>
  <si>
    <t>Romano, Vincenzo/0000-0002-7532-4507; Salvati, Alberto/0000-0002-3466-6631; cafarella, lili/0000-0003-2005-8923; SPOGLI, Luca/0000-0003-2310-0306</t>
  </si>
  <si>
    <t>R0224</t>
  </si>
  <si>
    <t>10.4401/ag-6257</t>
  </si>
  <si>
    <t>WOS:000328252900010</t>
  </si>
  <si>
    <t>Sarti, P; Negusini, M; Tomasi, C; Petkov, BH; Capra, A</t>
  </si>
  <si>
    <t>Sarti, Pierguido; Negusini, Monia; Tomasi, Claudio; Petkov, Boyan H.; Capra, Alessandro</t>
  </si>
  <si>
    <t>Thirteen years of integrated precipitable water derived by GPS at Mario Zucchelli Station, Antarctica</t>
  </si>
  <si>
    <t>MEAN VERTICAL PROFILES; ABSOLUTE-HUMIDITY; REPROCESSED GPS; VICTORIA LAND; TEMPERATURE; VAPOR; RADIOSONDE; PRESSURE; GEODYNAMICS; METEOROLOGY</t>
  </si>
  <si>
    <t>Since 1998, the Italian Antarctic Programme has been funding space geodetic activities based on the use of episodic and permanent global positioning system (GPS) observations. As well as their exploitation in geodynamics, these data can be used to sense the atmosphere and to retrieve and monitor its water vapor content and variations. The surface pressure p and temperature T-s at the GPS tracking sites are necessary to compute the zenith hydrostatic delay (ZHD), and consequently, the precipitable water. At sites where no surface information is recorded, the p and T-s values can be retrieved from, e. g., global numerical weather prediction models. Alternatively, the site-specific ZHD values can be computed by interpolation of the ZHD values provided in a grid model (2.5 degrees x 2.0 degrees). We have processed the data series of the permanent GPS site TNB1 (Mario Zucchelli Station, Antarctica) from 1998 to 2010, with the purpose of comparing the use of grid ZHD values as an alternative to the use of real surface records. With these approaches, we estimate almost 7 x 10(4) hourly values of precipitable water over 13 years, and we find discrepancies that vary between 1.8 (+/- 0.2) mm in summer and 3.3 (+/- 0.5) mm in winter. In addition, the discrepancies of the two solutions show a clear seasonal dependency. Radiosounding measurements were used to derive an independent series of precipitable water. These agree better with the GPS precipitable water derived from real surface data. However, the GPS precipitable water time series is dry biased, as it is ca. 77% of the total moisture measured by the radiosoundings. Both the GPS and radiosounding observations are processed through the most up-to-date strategies, to reduce known systematic errors.</t>
  </si>
  <si>
    <t>[Sarti, Pierguido; Negusini, Monia] Ist Nazl Astrofis INAF, Ist Radioastron IRA, Bologna, Italy; [Tomasi, Claudio; Petkov, Boyan H.] CNR, ISAC, I-40126 Bologna, Italy; [Petkov, Boyan H.] Abdus Salaam Int Ctr Theoret Phys, Trieste, Italy; [Capra, Alessandro] Univ Modena &amp; Reggio Emilia, DIEF, Modena, Italy</t>
  </si>
  <si>
    <t>Istituto Nazionale Astrofisica (INAF); Consiglio Nazionale delle Ricerche (CNR); Istituto di Scienze dell'Atmosfera e del Clima (ISAC-CNR); Abdus Salam International Centre for Theoretical Physics (ICTP); Universita di Modena e Reggio Emilia</t>
  </si>
  <si>
    <t>Sarti, P (corresponding author), Ist Nazl Astrofis INAF, Ist Radioastron IRA, Bologna, Italy.</t>
  </si>
  <si>
    <t>p.sarti@ira.inaf.it</t>
  </si>
  <si>
    <t>Negusini, Monia/N-6493-2015; Capra, Alessandro/L-9743-2015; Sarti, Pierguido/D-2391-2009</t>
  </si>
  <si>
    <t>Negusini, Monia/0000-0002-0064-5533; Capra, Alessandro/0000-0001-6660-3291; Sarti, Pierguido/0000-0003-1260-5587; Petkov, Boyan/0000-0002-8328-340X</t>
  </si>
  <si>
    <t>PNRA S.C.r.l.</t>
  </si>
  <si>
    <t>The authors thank two anonymous reviewers for their constructive comments. This study was carried out in the framework of the Programma Nazionale di Ricerche in Antartide (PNRA) and financially supported by PNRA S.C.r.l.. The authors thank the Meteo-Climatological Observatory of PNRA for providing the radiosounding measurements, and particularly Dr. A. Pellegrini and Dr. P. Grigioni. Figures 2 and 3 were produced using the Generic Mapping Tools [Wessel and Smith 1998].</t>
  </si>
  <si>
    <t>R0221</t>
  </si>
  <si>
    <t>10.4401/ag-6228</t>
  </si>
  <si>
    <t>WOS:000328252900007</t>
  </si>
  <si>
    <t>Spogli, L; Alfonsi, L; Cilliers, PJ; Correia, E; De Franceschi, G; Mitchell, CN; Romano, V; Kinrade, J; Cabrera, MA</t>
  </si>
  <si>
    <t>Spogli, Luca; Alfonsi, Lucilla; Cilliers, Pierre J.; Correia, Emilia; De Franceschi, Giorgiana; Mitchell, Cathryn N.; Romano, Vincenzo; Kinrade, Joe; Angel Cabrera, Miguel</t>
  </si>
  <si>
    <t>GPS scintillations and total electron content climatology in the southern low, middle and high latitude regions</t>
  </si>
  <si>
    <t>PHASE SCREEN MODEL; IONOSPHERIC SCINTILLATION; PLASMA DRIFTS; SPREAD-F; IRREGULARITIES; SCATTER</t>
  </si>
  <si>
    <t>In recent years, several groups have installed high-frequency sampling receivers in the southern middle and high latitude regions, to monitor ionospheric scintillations and the total electron content (TEC) changes. Taking advantage of the archive of continuous and systematic observations of the ionosphere on L-band by means of signals from the Global Positioning System (GPS), we present the first attempt at ionospheric scintillation and TEC mapping from Latin America to Antarctica. The climatology of the area considered is derived through Ground-Based Scintillation Climatology, a method that can identify ionospheric sectors in which scintillations are more likely to occur. This study also introduces the novel ionospheric scintillation 'hot-spot' analysis. This analysis first identifies the crucial areas of the ionosphere in terms of enhanced probability of scintillation occurrence, and then it studies the seasonal variation of the main scintillation and TEC-related parameters. The results produced by this sophisticated analysis give significant indications of the spatial/ temporal recurrences of plasma irregularities, which contributes to the extending of current knowledge of the mechanisms that cause scintillations, and consequently to the development of efficient tools to forecast space-weather-related ionospheric events.</t>
  </si>
  <si>
    <t>[Spogli, Luca; Alfonsi, Lucilla; De Franceschi, Giorgiana; Romano, Vincenzo] Ist Nazl Geofis &amp; Vulcanol, Sez Roma 2, Rome, Italy; [Cilliers, Pierre J.] SANSA, Space Sci Directorate, Western Cape, South Africa; [Correia, Emilia] Inst Nacl Pesquisas Espaciais, CRAAM, BR-12201 Sao Jose Dos Campos, Brazil; [Mitchell, Cathryn N.; Kinrade, Joe] Univ Bath, Bath BA2 7AY, Avon, England; [Angel Cabrera, Miguel] Univ Nacl Tucuman, Lab Telecomunicac, Fac Ciencias Exactas &amp; Tecnol FACET, Dept Elect Elect &amp; Comp, San Miguel De Tucuman, Argentina</t>
  </si>
  <si>
    <t>Istituto Nazionale Geofisica e Vulcanologia (INGV); Instituto Nacional de Pesquisas Espaciais (INPE); University of Bath; Universidad Nacional de Tucuman</t>
  </si>
  <si>
    <t>Spogli, L (corresponding author), Ist Nazl Geofis &amp; Vulcanol, Sez Roma 2, Rome, Italy.</t>
  </si>
  <si>
    <t>luca.spogli@ingv.it</t>
  </si>
  <si>
    <t>Cilliers, Pierre/AAA-2032-2019; Cilliers, Pierre/ABI-2944-2020; Spogli, Luca/AAD-1980-2021; Romano, Vincenzo/HKV-6552-2023; Correia, Emilia/F-6802-2012; Alfonsi, Lucilla/V-2969-2018</t>
  </si>
  <si>
    <t>Cilliers, Pierre/0000-0003-3175-5134; Romano, Vincenzo/0000-0002-7532-4507; Correia, Emilia/0000-0003-4778-3834; SPOGLI, Luca/0000-0003-2310-0306; Alfonsi, Lucilla/0000-0002-1806-9327; Mitchell, Cathryn/0000-0003-1964-8723; De Franceschi, Giorgiana/0000-0002-3943-6798; Kinrade, Joe/0000-0001-9740-130X</t>
  </si>
  <si>
    <t>SCAR; South African National Antarctic Programme (SANAP) [SNA2011120100008]; STFC [PP/D002230/1] Funding Source: UKRI</t>
  </si>
  <si>
    <t>SCAR; South African National Antarctic Programme (SANAP); STFC(UK Research &amp; Innovation (UKRI)Science &amp; Technology Facilities Council (STFC))</t>
  </si>
  <si>
    <t>This study is part of the activities of the GRAPE Expert group (www.grape.scar.org), funded by SCAR, within the framework of which a fruitful and close collaboration was born among different groups operating scintillation monitors. LS, LA, GDF and VR thank the Programma Nazionale di Ricerche in Antartide (PNRA, Italian National Program for Antarctic Research). PC thanks the South African National Antarctic Programme (SANAP grant SNA2011120100008) for logistic support. EC thanks the CNPq/PROANTAR (proc. 0520186/06-0 and 556872/2009-6), INCT-APA (Instituto Nacional de Ciencia e Tecnologia Antartico de Pesquisas Ambientais, CNPq proc. 574018/2008-5 and FAPERJ proc. E-16/170.023/2008) and the SECIRM and Brazilian Antarctic Program (PROANTAR). The authors also thank the SCAR, the National Space Science Data Center (NSSDC) for the software calculating the auroral oval position and the authors of the model (Feldstein, Holzworth and Meng).</t>
  </si>
  <si>
    <t>R0220</t>
  </si>
  <si>
    <t>10.4401/ag-6240</t>
  </si>
  <si>
    <t>WOS:000328252900006</t>
  </si>
  <si>
    <t>Bockheim, JG</t>
  </si>
  <si>
    <t>Bockheim, J. G.</t>
  </si>
  <si>
    <t>Paleosols in the Transantarctic Mountains: indicators of environmental change</t>
  </si>
  <si>
    <t>SOLID EARTH</t>
  </si>
  <si>
    <t>ICE-SURFACE FLUCTUATIONS; CENTRAL WRIGHT VALLEY; UPPER TAYLOR GLACIER; DEVELOPMENT RATES; SIRIUS GROUP; ANTARCTICA; GEOMORPHOLOGY; PALEOCLIMATE; GEOLOGY; REGION</t>
  </si>
  <si>
    <t>The Transantarctic Mountains (TAMs), a 3500 km long chain that subdivides East Antarctica from West Antarctica, are important for reconstructing the tectonic, glacial, and climatic history of Antarctica. With an ice-free area of 24 200 km(2) (50% of the total in Antarctica), the TAMs contain an unusually high proportion of paleosols, including relict and buried soils. The unconsolidated paleosols range from late Quaternary to Miocene in age, the semi-consolidated paleosols are of early Miocene to Oligocene age, and the consolidated paleosols are of Paleozoic age. Paleosols on unconsolidated deposits are emphasized in this study. Examples are given from the McMurdo Dry Valleys (78 degrees S) and two outlet glaciers in the central and southern TAMS, including the Hatherton-Darwin Glacier region (80 degrees S) and the Beardmore Glacier region (85 degrees 30' S). Relict soils constitute 73% of all of the soils examined; 10% of the soils featured burials. About 26% of the soils examined are from the last glaciation (&lt; 117 ka) and have not undergone any apparent change in climate. As an example, paleosols comprise 65% of a mapped portion of central Wright Valley. Paleosols in the TAMs feature recycled ventifacts and buried glacial ice in excess of 8 Ma in age, and volcanic ash of Pliocene to Miocene age has buried some soils. Relict soils are more strongly developed than nearby modern soils and often are dry-frozen and feature sand-wedge casts when ice-cemented permafrost is present. The preservation of paleosols in the TAMs can be attributed to cold-based glaciers that are able to override landscapes while causing minimal disturbance.</t>
  </si>
  <si>
    <t>Univ Wisconsin, Dept Soil Sci, Madison, WI 53706 USA</t>
  </si>
  <si>
    <t>University of Wisconsin System; University of Wisconsin Madison</t>
  </si>
  <si>
    <t>Bockheim, JG (corresponding author), Univ Wisconsin, Dept Soil Sci, Madison, WI 53706 USA.</t>
  </si>
  <si>
    <t>bockheim@wisc.edu</t>
  </si>
  <si>
    <t>US National Science Foundation, Office of Polar Programs, Antarctic Sciences; New Zealand Ministry of Science and Innovation</t>
  </si>
  <si>
    <t>The author appreciates the field assistance of G. H. Denton, S. C. Wilson, M. McLeod, and many students. This work was supported by the US National Science Foundation, Office of Polar Programs, Antarctic Sciences, and the New Zealand Ministry of Science and Innovation.</t>
  </si>
  <si>
    <t>1869-9510</t>
  </si>
  <si>
    <t>1869-9529</t>
  </si>
  <si>
    <t>Solid Earth</t>
  </si>
  <si>
    <t>10.5194/se-4-451-2013</t>
  </si>
  <si>
    <t>269QE</t>
  </si>
  <si>
    <t>WOS:000328256200016</t>
  </si>
  <si>
    <t>Hosseinpour, M; Müller, RD; Williams, SE; Whittaker, JM</t>
  </si>
  <si>
    <t>Hosseinpour, M.; Mueller, R. D.; Williams, S. E.; Whittaker, J. M.</t>
  </si>
  <si>
    <t>Full-fit reconstruction of the Labrador Sea and Baffin Bay</t>
  </si>
  <si>
    <t>NORTH-ATLANTIC; CRUSTAL THICKNESS; CONJUGATE MARGINS; SEISMIC-REFLECTION; ELLESMERE-ISLAND; WEST GREENLAND; RIFTED MARGIN; OCEANIC-CRUST; DAVIS STRAIT; CANADA</t>
  </si>
  <si>
    <t>Reconstructing the opening of the Labrador Sea and Baffin Bay between Greenland and North America remains controversial. Recent seismic data suggest that magnetic lineations along the margins of the Labrador Sea, originally interpreted as seafloor spreading anomalies, may lie within the crust of the continent-ocean transition. These data also suggest a more seaward extent of continental crust within the Greenland margin near Davis Strait than assumed in previous full-fit reconstructions. Our study focuses on reconstructing the full-fit configuration of Greenland and North America using an approach that considers continental deformation in a quantitative manner. We use gravity inversion to map crustal thickness across the conjugate margins, and assimilate observations from available seismic profiles and potential field data to constrain the likely extent of different crustal types. We derive end-member continental margin restorations following alternative interpretations of published seismic profiles. The boundaries between continental and oceanic crust (COB) are restored to their pre-stretching locations along small circle motion paths across the region of Cretaceous extension. Restored COBs are fitted quantitatively to compute alternative total-fit reconstructions. A preferred full-fit model is chosen based on the strongest compatibility with geological and geophysical data. Our preferred model suggests that (i) the COB lies oceanward of magnetic lineations interpreted as magnetic anomaly 31 (70 Ma) in the Labrador Sea, (ii) all previously identified magnetic lineations landward of anomaly 27 reflect intrusions into continental crust and (iii) the Ungava fault zone in Davis Strait acted as a leaky transform fault during rifting. This robust plate reconstruction reduces gaps and overlaps in Davis Strait and suggests that there is no need for alternative models proposed for reconstructions of this area including additional plate boundaries in North America or Greenland. Our favoured model implies that break-up and formation of continent-ocean transition (COT) first started in the southern Labrador Sea and Davis Strait around 88 Ma and then propagated north and southwards up to the onset of real seafloor spreading at 63 Ma in the Labrador Sea. In Baffin Bay, continental stretching lasted longer and actual break-up and seafloor spreading started around 61 Ma (chron 26).</t>
  </si>
  <si>
    <t>[Hosseinpour, M.; Mueller, R. D.; Williams, S. E.] Univ Sydney, Sch Geosci, EarthByte Grp, Sydney, NSW 2006, Australia; [Whittaker, J. M.] Univ Tasmania, Inst Marine &amp; Antarctic Studies, Hobart, Tas 7005, Australia</t>
  </si>
  <si>
    <t>University of Sydney; University of Tasmania</t>
  </si>
  <si>
    <t>Hosseinpour, M (corresponding author), Univ Sydney, Sch Geosci, EarthByte Grp, Sydney, NSW 2006, Australia.</t>
  </si>
  <si>
    <t>maral.hosseinpour@sydney.edu.au</t>
  </si>
  <si>
    <t>Müller, Dietmar/L-1200-2019; Whittaker, Joanne/B-3695-2010</t>
  </si>
  <si>
    <t>Müller, Dietmar/0000-0002-3334-5764; Whittaker, Joanne/0000-0002-3170-3935</t>
  </si>
  <si>
    <t>ARC [FL0992245]; CSIRO OCE Ph.D. scholarship</t>
  </si>
  <si>
    <t>ARC(Australian Research Council); CSIRO OCE Ph.D. scholarship</t>
  </si>
  <si>
    <t>M. Hosseinpour, S. E. Williams and R. D. Muller gratefully acknowledge the support received from the ARC through grant no. FL0992245. M. Hosseinpour also expresses gratitude for the CSIRO OCE Ph.D. scholarship. J. M. Whittaker wishes to thank Statoil for the support provided. We also thank F. Rossetti for their constructive reviews.</t>
  </si>
  <si>
    <t>10.5194/se-4-461-2013</t>
  </si>
  <si>
    <t>Green Submitted, Green Accepted, gold</t>
  </si>
  <si>
    <t>WOS:000328256200017</t>
  </si>
  <si>
    <t>Tétard, C; Fussen, D; Vanhellemont, F; Bingen, C; Dekemper, E; Mateshvili, N; Pieroux, D; Robert, C; Kyrölä, E; Tamminen, J; Sofieva, V; Hauchecorne, A; Dalaudier, F; Bertaux, JL; d'Andon, OF; Barrot, G; Blanot, L; Dehn, A; de Miguel, LS</t>
  </si>
  <si>
    <t>Tetard, C.; Fussen, D.; Vanhellemont, F.; Bingen, C.; Dekemper, E.; Mateshvili, N.; Pieroux, D.; Robert, C.; Kyrola, E.; Tamminen, J.; Sofieva, V.; Hauchecorne, A.; Dalaudier, F.; Bertaux, J. -L.; d'Andon, O. Fanton; Barrot, G.; Blanot, L.; Dehn, A.; de Miguel, L. Saavedra</t>
  </si>
  <si>
    <t>OClO slant column densities derived from GOMOS averaged transmittance measurements</t>
  </si>
  <si>
    <t>ATMOSPHERIC MEASUREMENT TECHNIQUES</t>
  </si>
  <si>
    <t>ARCTIC POLAR VORTEX; OZONE; WINTER; NO2; OCCULTATION; ANTARCTICA; RETRIEVAL; DEPLETION; CHEMISTRY</t>
  </si>
  <si>
    <t>The Global Ozone Monitoring by Occultation of Stars (GOMOS) instrument on board the European platform ENVISAT (ENVironment SATellite) was dedicated to the study of the of Earth's atmosphere using the stellar occultation technique. The spectral range of the GOMOS spectrometer extends from the UV (ultra violet) to the near infrared, allowing for the retrieval of species such as O-3, NO2, NO3, H2O, O-2, air density, aerosol extinction and OClO. Nevertheless, OClO cannot be retrieved using a single GOMOS measurement because of the weak signal-to-noise ratio and the small optical thickness associated with this molecule. We present here the method used to detect this molecule by using several GOMOS measurements. It is based on a two-step approach. First, several co-located measurements are combined in a statistical way to build an averaged measurement with a higher signal-to-noise ratio; then, a differential optical absorption spectroscopy (DOAS) method is applied to retrieve OClO slant column densities (SCD). The statistics of the sets of GOMOS measurements used to build the averaged measurement and the spectral window selection are analyzed. The obtained retrievals are compared to results from two balloon-borne instruments. It appears that the inter-comparisons of OClO are generally satisfying (relative differences are about 15-60 %). Two nighttime climatologies of OClO based on GOMOS averaged measurements are presented. The first depicts annual global pictures of OClO from 2003 to 2011. From this climatology, the presence of an OClO SCD peak in the equatorial region at about 35 km is confirmed and strong OClO SCD in both polar regions are observed (more than 1016 cm(-2) in the Antarctic region and slightly less in the Arctic region), a sign of chlorine activation. The second climatology is a monthly time series. It clearly shows the chlorine activation of the lower stratosphere during winter. Moreover the equatorial OClO SCD peak is observed during all years without any significant variations. This very promising method, applied on GOMOS measurements, allowed us to build the first nighttime climatology of OClO using limb-viewing instruments.</t>
  </si>
  <si>
    <t>[Tetard, C.; Fussen, D.; Vanhellemont, F.; Bingen, C.; Dekemper, E.; Mateshvili, N.; Pieroux, D.; Robert, C.] Inst Aeron Spatiale Belgique, B-1180 Brussels, Belgium; [Kyrola, E.; Tamminen, J.; Sofieva, V.] Finnish Meteorol Inst, FIN-00101 Helsinki, Finland; [Hauchecorne, A.; Dalaudier, F.; Bertaux, J. -L.] Univ Versailles St Quentin, CNRS INSU, Lab Atmospheres, Guyancourt, France; [d'Andon, O. Fanton; Barrot, G.; Blanot, L.] ACRI ST, Sophia Antipolis, France; [Dehn, A.] European Space Agcy, European Space Res Inst ESRIN, Frascati, Italy; [de Miguel, L. Saavedra] IDEAS, Frascati, Italy</t>
  </si>
  <si>
    <t>Finnish Meteorological Institute; Universite Paris Saclay; Centre National de la Recherche Scientifique (CNRS); CNRS - National Institute for Earth Sciences &amp; Astronomy (INSU); European Space Agency</t>
  </si>
  <si>
    <t>Tétard, C (corresponding author), Inst Aeron Spatiale Belgique, B-1180 Brussels, Belgium.</t>
  </si>
  <si>
    <t>cedric.tetard@aeronomie.be</t>
  </si>
  <si>
    <t>Hauchecorne, Alain/A-8489-2013; Kyrölä, Erkki T/E-1835-2014; Tamminen, Johanna/D-7959-2014; Sofieva, Viktoria/E-1958-2014</t>
  </si>
  <si>
    <t>Tamminen, Johanna/0000-0003-3095-0069; Dekemper, Emmanuel/0000-0003-0661-4997; Sofieva, Viktoria/0000-0002-9192-2208; Kyrola, Erkki/0000-0001-9197-9549; Hauchecorne, Alain/0000-0001-9888-6994; Robert, Charles/0000-0003-3883-8821</t>
  </si>
  <si>
    <t>PRODEX/RADIAL [PEA 4000102793]; Belgian Space Science Office (BELSPO)</t>
  </si>
  <si>
    <t>PRODEX/RADIAL; Belgian Space Science Office (BELSPO)(Belgian Federal Science Policy Office)</t>
  </si>
  <si>
    <t>This study was funded by the PRODEX/RADIAL (PEA 4000102793) contract under the authority of the Belgian Space Science Office (BELSPO).</t>
  </si>
  <si>
    <t>1867-1381</t>
  </si>
  <si>
    <t>1867-8548</t>
  </si>
  <si>
    <t>ATMOS MEAS TECH</t>
  </si>
  <si>
    <t>Atmos. Meas. Tech.</t>
  </si>
  <si>
    <t>10.5194/amt-6-2953-2013</t>
  </si>
  <si>
    <t>263NS</t>
  </si>
  <si>
    <t>WOS:000327815900002</t>
  </si>
  <si>
    <t>Sugita, T; Kasai, Y; Terao, Y; Hayashida, S; Manney, GL; Daffer, WH; Sagawa, H; Suzuki, M; Shiotani, M; Walker, KA; Boone, CD; Bernath, PF</t>
  </si>
  <si>
    <t>Sugita, T.; Kasai, Y.; Terao, Y.; Hayashida, S.; Manney, G. L.; Daffer, W. H.; Sagawa, H.; Suzuki, M.; Shiotani, M.; Walker, K. A.; Boone, C. D.; Bernath, P. F.</t>
  </si>
  <si>
    <t>HCl and ClO profiles inside the Antarctic vortex as observed by SMILES in November 2009: comparisons with MLS and ACE-FTS instruments</t>
  </si>
  <si>
    <t>MICROWAVE LIMB SOUNDER; FOURIER-TRANSFORM SPECTROMETER; STRATOSPHERIC POLAR VORTEX; LARGE (CO)-C-13 DEFICIT; OZONE HOLE CHEMISTRY; MEAN AGE; CHLORINE RESERVOIRS; ARCTIC VORTEX; VALIDATION; MODEL</t>
  </si>
  <si>
    <t>We present vertical profiles of hydrogen chloride (HCl) and chlorine monoxide (ClO) as observed by the Superconducting Submillimeter-Wave Limb-Emission Sounder (SMILES) on the International Space Station (ISS) inside the Antarctic vortex on 19-24 November 2009. The SMILES HCl value reveals 2.8-3.1 ppbv between 450K and 500K levels in potential temperature (PT). The high value of HCl is highlighted since it is suggested that HCl is a main component of the total inorganic chlorine (Cl-y), defined as Cly similar or equal to HCl + ClO + chlorine nitrate (ClONO2), inside the Antarctic vortex in spring, owing to low ozone values. To confirm the quality of two SMILES level 2 (L2) data products provided by the Japan Aerospace Exploration Agency (JAXA) and Japan's National Institute of Information and Communications Technology (NICT), vis-a-vis the partitioning of Cly, comparisons are made using other satellite data from the Aura Microwave Limb Sounder (MLS) and Atmospheric Chemistry Experiment Fourier Transform Spectrometer (ACE-FTS). HCl values from the SMILES NICT L2 product agree to within 10% (0.3 ppbv) with the MLS HCl data between 450 and 575K levels in PT and with the ACE-FTS HCl data between 425 and 575 K. The SMILES JAXA L2 product is 10 to 20% (0.2-0.5 ppbv) lower than that from MLS between 400 and 700K and from ACE-FTS between 500 and 700 K. For ClO in daytime, the difference between SMILES (JAXA and NICT) and MLS is less than +/- 0.05 ppbv (100 %) between 500K and 650K with the ClO values less than 0.2 ppbv. ClONO2 values as measured by ACE-FTS also reveal 0.2 ppbv at 475-500K level, resulting in the HCl/Cly ratios of 0.91-0.95. The HCl/Cly ratios derived from each retrieval agree to within -5 to 8% with regard to their averages. The high HCl values and HCl/Cly ratios observed by the three instruments in the lower stratospheric Antarctic vortex are consistent with previous observations in late Austral spring.</t>
  </si>
  <si>
    <t>[Sugita, T.; Terao, Y.] Natl Inst Environm Studies, Tsukuba, Ibaraki, Japan; [Kasai, Y.; Sagawa, H.] Natl Inst Informat &amp; Commun Technol NICT, Koganei, Tokyo, Japan; [Hayashida, S.] Nara Womens Univ, Fac Sci, Nara 630, Japan; [Manney, G. L.] NW Res Associates Inc, Socorro, NM USA; [Manney, G. L.] New Mexico Inst Min &amp; Technol, Socorro, NM 87801 USA; [Daffer, W. H.] CALTECH, Jet Prop Lab, Pasadena, CA USA; [Suzuki, M.] Japan Aerosp Explorat Agcy JAXA, Inst Space &amp; Astronaut Sci, Sagamihara, Kanagawa, Japan; [Shiotani, M.] Kyoto Univ, Res Inst Sustainable Humanosphere, Uji, Kyoto, Japan; [Walker, K. A.] Univ Toronto, Dept Phys, Toronto, ON, Canada; [Walker, K. A.; Boone, C. D.] Univ Waterloo, Dept Chem, Waterloo, ON N2L 3G1, Canada; [Bernath, P. F.] Old Dominion Univ, Dept Chem &amp; Biochem, Norfolk, VA USA; [Bernath, P. F.] Univ York, Dept Chem, York YO10 5DD, N Yorkshire, England</t>
  </si>
  <si>
    <t>National Institute for Environmental Studies - Japan; National Institute of Information &amp; Communications Technology (NICT) - Japan; Nara Womens University; NorthWest Research Associates; New Mexico Institute of Mining Technology; National Aeronautics &amp; Space Administration (NASA); NASA Jet Propulsion Laboratory (JPL); California Institute of Technology; Japan Aerospace Exploration Agency (JAXA); Institute of Space &amp; Astronautical Science (ISAS); Kyoto University; University of Toronto; University of Waterloo; Old Dominion University; University of York - UK</t>
  </si>
  <si>
    <t>Sugita, T (corresponding author), Natl Inst Environm Studies, Tsukuba, Ibaraki, Japan.</t>
  </si>
  <si>
    <t>tsugita@nies.go.jp</t>
  </si>
  <si>
    <t>KASAI, Yasuko/Q-3103-2018; Manney, Gloria/JED-7207-2023; Daffer, William/AGV-1399-2022; Sugita, Takafumi/H-6669-2018; Bernath, Peter F/B-6567-2012; Shiotani, Masato/M-8498-2017; Terao, Yukio/A-2099-2008</t>
  </si>
  <si>
    <t>Bernath, Peter F/0000-0002-1255-396X; Shiotani, Masato/0000-0001-5844-4032; Terao, Yukio/0000-0003-2345-7073; Sugita, Takafumi/0000-0002-0508-7040</t>
  </si>
  <si>
    <t>National Aeronautics and Space Administration (NASA); Atmospheric Chemistry Experiment (ACE); Canadian Space Agency (CSA); Natural Sciences and Engineering Research Council (NSERC) of Canada; Grants-in-Aid for Scientific Research [25281006] Funding Source: KAKEN</t>
  </si>
  <si>
    <t>National Aeronautics and Space Administration (NASA)(National Aeronautics &amp; Space Administration (NASA)); Atmospheric Chemistry Experiment (ACE); Canadian Space Agency (CSA)(Canadian Space Agency); Natural Sciences and Engineering Research Council (NSERC) of Canada(Natural Sciences and Engineering Research Council of Canada (NSERC)); Grants-in-Aid for Scientific Research(Ministry of Education, Culture, Sports, Science and Technology, Japan (MEXT)Japan Society for the Promotion of ScienceGrants-in-Aid for Scientific Research (KAKENHI))</t>
  </si>
  <si>
    <t>The JEM/SMILES mission is a joint project of the Japan Aerospace Exploration Agency (JAXA) and the National Institute of Information and Communications Technology (NICT). We thank the JEM/SMILES mission team and the related members before the mission. Work at the Jet Propulsion Laboratory (JPL), California Institute of Technology, was done under contract with the National Aeronautics and Space Administration (NASA). The Atmospheric Chemistry Experiment (ACE), also known as SCISAT-1, is a Canadian-led mission mainly supported by the Canadian Space Agency (CSA) and the Natural Sciences and Engineering Research Council (NSERC) of Canada. The joint IMK/IAA generated MIPAS/Envisat data were obtained from the IMK -Atmospheric Trace Gases and Remote Sensing (ASF) data server (http://www. imk-asf. kit. edu/english/308. php). Instructions on using the MIPAS data from Thomas von Clarmann are acknowledged. Helpful comments from Rolf Muller are also acknowledged. This work was partly done by using resources of the Announcement.</t>
  </si>
  <si>
    <t>10.5194/amt-6-3099-2013</t>
  </si>
  <si>
    <t>WOS:000327815900011</t>
  </si>
  <si>
    <t>Friedlaender, AS; Tyson, RB; Stimpert, AK; Read, AJ; Nowacek, DP</t>
  </si>
  <si>
    <t>Friedlaender, A. S.; Tyson, R. B.; Stimpert, A. K.; Read, A. J.; Nowacek, D. P.</t>
  </si>
  <si>
    <t>Extreme diel variation in the feeding behavior of humpback whales along the western Antarctic Peninsula during autumn</t>
  </si>
  <si>
    <t>MARINE ECOLOGY PROGRESS SERIES</t>
  </si>
  <si>
    <t>Humpback whale; Foraging ecology; Tagging; Antarctica</t>
  </si>
  <si>
    <t>ARCTIC MARINE MAMMALS; MEGAPTERA-NOVAEANGLIAE; FORAGING BEHAVIOR; DIVE; KRILL; CLASSIFICATION; WATERS; DEPTH; TIME</t>
  </si>
  <si>
    <t>Most humpback whale Megaptera novaeangliae populations partition their time between prey-rich feeding and prey-deficient breeding/calving regions. How these whales feed and optimize the consumption of prey resources prior to long-distance migrations and fasting is largely unknown. We deployed multi-sensor tags on humpback whales around the western Antarctic Peninsula to describe their daily activity patterns late in the feeding season to test the hypothesis that feeding behavior varies over the diel cycle so as to maximize energy intake and limit energy expenditure. Dives were assigned to a behavioral state (feeding, resting, traveling, exploring) to determine hourly rates and to build an ethogram of activity patterns. Our results show a distinct diel pattern of whales feeding exclusively at night. Feeding depth was deeper around sunrise/sunset and shallower (similar to 50 m) at night, consistent with diel vertical prey movement. Shallow feeding dives typically contained a single feeding lunge, a strategy known to increase feeding efficiency and maximize intake rates by maintaining proximity to the surface and reducing the energetic costs of deep diving. The lack of feeding during daytime may indicate prey being too deep for efficient foraging. Our results add information where currently there is a paucity of data describing how baleen whales optimize feeding behavior, specifically in relation to prey distribution and movement, to fuel their extraordinary energetic requirements necessary for growth, migration, and reproduction. Understanding behavioral patterns and predator/prey dynamics in rapidly changing marine environments, like the Antarctic Peninsula, is critical for understanding how these changes will affect ecosystem structure and function.</t>
  </si>
  <si>
    <t>[Friedlaender, A. S.; Tyson, R. B.; Read, A. J.; Nowacek, D. P.] Duke Univ, Marine Lab, Div Marine Sci &amp; Conservat, Beaufort, NC 28516 USA; [Stimpert, A. K.] Naval Postgrad Sch, Dept Oceanog, Monterey, CA 93943 USA; [Nowacek, D. P.] Duke Univ, Dept Elect &amp; Comp Engn, Pratt Sch Engn, Durham, NC 27708 USA</t>
  </si>
  <si>
    <t>Duke University; United States Department of Defense; United States Navy; Naval Postgraduate School; Duke University</t>
  </si>
  <si>
    <t>Friedlaender, AS (corresponding author), Duke Univ, Marine Lab, Div Marine Sci &amp; Conservat, 135 Duke Marine Lab Rd, Beaufort, NC 28516 USA.</t>
  </si>
  <si>
    <t>asf7@duke.edu</t>
  </si>
  <si>
    <t>Read, Andrew/AAE-8386-2019</t>
  </si>
  <si>
    <t>Tyson Moore, Reny/0000-0001-5541-193X; Stimpert, Alison/0000-0002-9400-0305</t>
  </si>
  <si>
    <t>National Science Foundation, Office of Polar Programs [ANT-07-39483]</t>
  </si>
  <si>
    <t>National Science Foundation, Office of Polar Programs(National Science Foundation (NSF)NSF - Directorate for Geosciences (GEO))</t>
  </si>
  <si>
    <t>The authors thank members of the Multi-scale and Interdisciplinary Study of Humpback and Prey (MISHAP) field team, including D. Johnston, D. Waples, L. Peavey, A. Allen, C. Ware, A. Westgate, M. Dunphy-Daly, P. Halpin, M. Zhou, Y. Zhu, J. Warren, E. Hazen, and B. Espinasse. We also thank the crews and marine technicians of the RVIB 'Nathaniel B Palmer' and ARSV 'Laurence M Gould' for their efforts. This research was conducted under National Marine Fisheries Service Permit 808-1735, Ant arctic Conservation Act Permit 2009-014, and Duke University Institutional Animal Care &amp; Use Committee A049-112-02 and was supported by National Science Foundation, Office of Polar Programs Grant ANT-07-39483.</t>
  </si>
  <si>
    <t>0171-8630</t>
  </si>
  <si>
    <t>1616-1599</t>
  </si>
  <si>
    <t>MAR ECOL PROG SER</t>
  </si>
  <si>
    <t>Mar. Ecol.-Prog. Ser.</t>
  </si>
  <si>
    <t>10.3354/meps10541</t>
  </si>
  <si>
    <t>Ecology; Marine &amp; Freshwater Biology; Oceanography</t>
  </si>
  <si>
    <t>Environmental Sciences &amp; Ecology; Marine &amp; Freshwater Biology; Oceanography</t>
  </si>
  <si>
    <t>267GX</t>
  </si>
  <si>
    <t>WOS:000328086100021</t>
  </si>
  <si>
    <t>Shi, YJ; Wang, WA; Chen, W</t>
  </si>
  <si>
    <t>Gahegan, MN; Xiong, N</t>
  </si>
  <si>
    <t>Shi, Yingjie; Wang, Weian; Chen, Wen</t>
  </si>
  <si>
    <t>Correlation Analysis between Sea-level Change of China's Coastal Areas and the Mass Change of Antarctic Ice Caps</t>
  </si>
  <si>
    <t>PROCEEDINGS OF THE 2013 THE INTERNATIONAL CONFERENCE ON REMOTE SENSING, ENVIRONMENT AND TRANSPORTATION ENGINEERING (RSETE 2013)</t>
  </si>
  <si>
    <t>Advances in Intelligent Systems Research</t>
  </si>
  <si>
    <t>International Conference on Remote Sensing, Environment and Transportation Engineering (RSETE)</t>
  </si>
  <si>
    <t>JUL 26-28, 2013</t>
  </si>
  <si>
    <t>Nanjing, PEOPLES R CHINA</t>
  </si>
  <si>
    <t>sea-level change; Antarctic ice caps mass change; spatio-temporal correlation; marine environment; glolal change</t>
  </si>
  <si>
    <t>Impact of sea-level change on coastal areas has long been a concern of the world, especially the coastal countries. It is an important part in the research of the marine environment. Sea-level change is caused by various social and environmental reasons, among which the contribution of the Antarctic ice caps mass change is a significant factor. In order to investigate the correlation between sea-level change of Chinese coastal areas and the Antarctic ice caps mass change, several geo-statistical methods were involved in this paper. The Antarctic equivalent water height and sea level anomaly datasets were applied. First, the periods of the two datasets above-mentioned are found though the spectrum analysis and a further analysis of these periods is made. Then the correlation analysis is carried out using the time series which span from January 2004 to March 2010. Through the rapid inverse Fourier transform we obtained the cross-correlation function, drew cross-correlation function diagram and analyzed correlation degree and the lag time of these two time series. Research shows that (1) the sea level change has a year cycle as the leading period, meanwhile equivalent water height change has a half year cycle as the leading factor and display a complicated multi-scale coupling fluctuation characteristic; (2) The cross-correlation function diagram indicates that these two time series highly positive correlated when the lag time is 8 month and highly negative correlated when the lag time is 26 month. There is a teleconnection between these two events.</t>
  </si>
  <si>
    <t>[Shi, Yingjie; Wang, Weian; Chen, Wen] Tongji Univ, Coll Surveying &amp; Geoinformat, Shanghai 200092, Peoples R China</t>
  </si>
  <si>
    <t>Tongji University</t>
  </si>
  <si>
    <t>Shi, YJ (corresponding author), Tongji Univ, Coll Surveying &amp; Geoinformat, Shanghai 200092, Peoples R China.</t>
  </si>
  <si>
    <t>shiyingjie3@126.com</t>
  </si>
  <si>
    <t>Shi, Yingjie/AED-8830-2022</t>
  </si>
  <si>
    <t>Shi, Yingjie/0000-0003-1431-6340</t>
  </si>
  <si>
    <t>ATLANTIS PRESS</t>
  </si>
  <si>
    <t>29 AVENUE LAVMIERE, PARIS, 75019, FRANCE</t>
  </si>
  <si>
    <t>1951-6851</t>
  </si>
  <si>
    <t>978-90-78677-77-2</t>
  </si>
  <si>
    <t>ADV INTEL SYS RES</t>
  </si>
  <si>
    <t>Computer Science, Artificial Intelligence; Remote Sensing</t>
  </si>
  <si>
    <t>Computer Science; Remote Sensing</t>
  </si>
  <si>
    <t>BID97</t>
  </si>
  <si>
    <t>WOS:000327762300073</t>
  </si>
  <si>
    <t>Giordano, D; Coppola, D; Russo, R; Tinajero-Trejo, M; di Prisco, G; Lauro, F; Ascenzi, P; Verde, C</t>
  </si>
  <si>
    <t>Poole, RK</t>
  </si>
  <si>
    <t>Giordano, Daniela; Coppola, Daniela; Russo, Roberta; Tinajero-Trejo, Mariana; di Prisco, Guido; Lauro, Federico; Ascenzi, Paolo; Verde, Cinzia</t>
  </si>
  <si>
    <t>The Globins of Cold-Adapted Pseudoalteromonas haloplanktis TAC125: From the Structure to the Physiological Functions</t>
  </si>
  <si>
    <t>ADVANCES IN MICROBIAL PHYSIOLOGY, VOL 63: MICROBIAL GLOBINS - STATUS AND OPPORTUNITIES</t>
  </si>
  <si>
    <t>Advances in Microbial Physiology</t>
  </si>
  <si>
    <t>Review; Book Chapter</t>
  </si>
  <si>
    <t>MYCOBACTERIUM-TUBERCULOSIS HEMOGLOBIN; NITRIC-OXIDE DIOXYGENASE; SIBERIAN PERMAFROST BACTERIUM; ENTERICA SEROVAR TYPHIMURIUM; PSYCHROBACTER-ARCTICUS 273-4; LIGAND-BINDING PROPERTIES; TRUNCATED HEMOGLOBIN; ESCHERICHIA-COLI; NITROSATIVE STRESS; LOW-TEMPERATURE</t>
  </si>
  <si>
    <t>Evolution allowed Antarctic microorganisms to grow successfully under extreme conditions (low temperature and high O-2 content), through a variety of structural and physiological adjustments in their genomes and development of programmed responses to strong oxidative and nitrosative stress. The availability of genomic sequences from an increasing number of cold-adapted species is providing insights to understand the molecular mechanisms underlying crucial physiological processes in polar organisms. The genome of Pseudoalteromonas haloplanktis TAC125 contains multiple genes encoding three distinct truncated globins exhibiting the 2/2 alpha-helical fold. One of these globins has been extensively characterised by spectroscopic analysis, kinetic measurements and computer simulation. The results indicate unique adaptive structural properties that enhance the overall flexibility of the protein, so that the structure appears to be resistant to pressure-induced stress. Recent results on a genomic mutant strain highlight the involvement of the cold-adapted globin in the protection against the stress induced by high O-2 concentration. Moreover, the protein was shown to catalyse peroxynitrite isomerisation in vitro. In this review, we first summarise how cold temperatures affect the physiology of microorganisms and focus on the molecular mechanisms of cold adaptation revealed by recent biochemical and genetic studies. Next, since only in a very few cases the physiological role of truncated globins has been demonstrated, we also discuss the structural and functional features of the cold-adapted globin in an attempt to put into perspective what has been learnt about these proteins and their potential role in the biology of cold-adapted microorganisms.</t>
  </si>
  <si>
    <t>[Giordano, Daniela; Coppola, Daniela; Russo, Roberta; di Prisco, Guido; Ascenzi, Paolo; Verde, Cinzia] CNR, Inst Prot Biochem, I-80125 Naples, Italy; [Tinajero-Trejo, Mariana] Univ Sheffield, Dept Mol Biol &amp; Biotechnol, Sheffield S10 2TN, S Yorkshire, England; [Lauro, Federico] Univ New S Wales, Sch Biotechnol &amp; Biomol Sci, Sydney, NSW, Australia; [Ascenzi, Paolo] Univ Roma 3, Interdept Lab Elect Microscopy, Rome, Italy; [Verde, Cinzia] Univ Roma 3, Dept Biol, Rome, Italy</t>
  </si>
  <si>
    <t>Consiglio Nazionale delle Ricerche (CNR); Istituto di Biochimica delle Proteine (IBP-CNR); University of Sheffield; University of New South Wales Sydney; Roma Tre University; Roma Tre University</t>
  </si>
  <si>
    <t>Verde, C (corresponding author), CNR, Inst Prot Biochem, I-80125 Naples, Italy.</t>
  </si>
  <si>
    <t>c.verde@ibp.cnr.it</t>
  </si>
  <si>
    <t>Giordano, Daniela/AFK-7772-2022; Coppola, Daniela/ABG-4430-2020; Lauro, Federico/X-2420-2019</t>
  </si>
  <si>
    <t>Giordano, Daniela/0000-0002-8891-6245; Lauro, Federico/0000-0002-8373-1014; VERDE, Cinzia/0000-0001-6185-282X; Coppola, Daniela/0000-0001-6699-8967</t>
  </si>
  <si>
    <t>ACADEMIC PRESS LTD-ELSEVIER SCIENCE LTD</t>
  </si>
  <si>
    <t>125 LONDON WALL, LONDON EC2Y 5AS, ENGLAND</t>
  </si>
  <si>
    <t>0065-2911</t>
  </si>
  <si>
    <t>2162-5468</t>
  </si>
  <si>
    <t>978-0-12-407842-0; 978-0-12-407693-8</t>
  </si>
  <si>
    <t>ADV MICROB PHYSIOL</t>
  </si>
  <si>
    <t>Adv.Microb.Physiol.</t>
  </si>
  <si>
    <t>10.1016/B978-0-12-407693-8.00008-X</t>
  </si>
  <si>
    <t>Biochemistry &amp; Molecular Biology; Microbiology</t>
  </si>
  <si>
    <t>Book Citation Index – Science (BKCI-S); Science Citation Index Expanded (SCI-EXPANDED)</t>
  </si>
  <si>
    <t>BIC82</t>
  </si>
  <si>
    <t>WOS:000327427800009</t>
  </si>
  <si>
    <t>Kawamura, K; Severinghaus, JP; Albert, MR; Courville, ZR; Fahnestock, MA; Scambos, T; Shields, E; Shuman, CA</t>
  </si>
  <si>
    <t>Kawamura, K.; Severinghaus, J. P.; Albert, M. R.; Courville, Z. R.; Fahnestock, M. A.; Scambos, T.; Shields, E.; Shuman, C. A.</t>
  </si>
  <si>
    <t>Kinetic fractionation of gases by deep air convection in polar firn</t>
  </si>
  <si>
    <t>ABRUPT CLIMATE-CHANGE; ANTARCTIC TEMPERATURE; ATMOSPHERIC CO2; ICE; TRANSPORT; MODEL; GREENLAND; RATIO; SNOW; O-2</t>
  </si>
  <si>
    <t>A previously unrecognized type of gas fractionation occurs in firn air columns subjected to intense convection. It is a form of kinetic fractionation that depends on the fact that different gases have different molecular diffusivities. Convective mixing continually disturbs diffusive equilibrium, and gases diffuse back toward diffusive equilibrium under the influence of gravity and thermal gradients. In near-surface firn where convection and diffusion compete as gas transport mechanisms, slow-diffusing gases such as krypton (Kr) and xenon (Xe) are more heavily impacted by convection than fast diffusing gases such as nitrogen (N-2) and argon (Ar), and the signals are preserved in deep firn and ice. We show a simple theory that predicts this kinetic effect, and the theory is confirmed by observations using a newly-developed Kr and Xe stable isotope system in air samples from the Megadunes field site on the East Antarctic plateau. Numerical simulations confirm the effect's magnitude at this site. A main purpose of this work is to support the development of a proxy indicator of past convection in firn, for use in ice-core gas records. To this aim, we also show with the simulations that the magnitude of the kinetic effect is fairly insensitive to the exact profile of convective strength, if the overall thickness of the convective zone is kept constant. These results suggest that it may be feasible to test for the existence of an extremely deep (similar to 30-40 m) convective zone, which has been hypothesized for glacial maxima, by future ice-core measurements.</t>
  </si>
  <si>
    <t>[Kawamura, K.] Natl Inst Polar Res, Tachikawa, Tokyo, Japan; [Kawamura, K.] Japan Agcy Marine Earth Sci &amp; Technol, Inst Biogeosci, Yokosuka, Kanagawa 2370061, Japan; [Severinghaus, J. P.; Shields, E.] Univ Calif San Diego, Scripps Inst Oceanog, San Diego, CA 92103 USA; [Albert, M. R.; Courville, Z. R.] Dartmouth Coll, Thayer Sch Engn, Hanover, NH 03755 USA; [Albert, M. R.; Courville, Z. R.] US Army, Cold Reg Res &amp; Engn Lab, Cryospher &amp; Terr Sci Div, Hanover, NH 03755 USA; [Fahnestock, M. A.] Univ Alaska Fairbanks, Inst Geophys, Fairbanks, AK 99775 USA; [Scambos, T.] Natl Snow &amp; Ice Data Ctr, Boulder, CO USA; [Shuman, C. A.] NASA, Goddard Space Flight Ctr, Cryospher Sci Branch, Greenbelt, MD 20771 USA</t>
  </si>
  <si>
    <t>Research Organization of Information &amp; Systems (ROIS); National Institute of Polar Research (NIPR) - Japan; Japan Agency for Marine-Earth Science &amp; Technology (JAMSTEC); University of California System; University of California San Diego; Scripps Institution of Oceanography; Dartmouth College; United States Department of Defense; United States Army; U.S. Army Corps of Engineers; U.S. Army Engineer Research &amp; Development Center (ERDC); Cold Regions Research &amp; Engineering Laboratory (CRREL); University of Alaska System; University of Alaska Fairbanks; National Aeronautics &amp; Space Administration (NASA); NASA Goddard Space Flight Center</t>
  </si>
  <si>
    <t>Kawamura, K (corresponding author), Natl Inst Polar Res, Tachikawa, Tokyo, Japan.</t>
  </si>
  <si>
    <t>kawamura@nipr.ac.jp</t>
  </si>
  <si>
    <t>Fahnestock, Mark A/N-2678-2013; Kawamura, Kenji/C-7660-2011</t>
  </si>
  <si>
    <t>Courville, Zoe/0000-0002-5968-6620; Severinghaus, Jeffrey/0000-0001-8883-3119; SCAMBOS, Ted A./0000-0003-4268-6322; Kawamura, Kenji/0000-0003-1163-700X</t>
  </si>
  <si>
    <t>NSF-OPP [02-30452]; Gary Comer Abrupt Climate Change Fellowship; JSPS KAKENHI [21671001]; NIPR publication subsidy; Grants-in-Aid for Scientific Research [21221002, 25247082, 22221002, 21671001] Funding Source: KAKEN</t>
  </si>
  <si>
    <t>NSF-OPP(National Science Foundation (NSF)); Gary Comer Abrupt Climate Change Fellowship; JSPS KAKENHI(Ministry of Education, Culture, Sports, Science and Technology, Japan (MEXT)Japan Society for the Promotion of ScienceGrants-in-Aid for Scientific Research (KAKENHI)); NIPR publication subsidy; Grants-in-Aid for Scientific Research(Ministry of Education, Culture, Sports, Science and Technology, Japan (MEXT)Japan Society for the Promotion of ScienceGrants-in-Aid for Scientific Research (KAKENHI))</t>
  </si>
  <si>
    <t>Michael Bender made the nitrogen isotope measurements. Helpful discussions with Ralph Keeling, Bruce Cornuelle, and Bill Young improved the manuscript. We thank the Megadunes Field Team and NY Air National Guard for field support, and the Light Ground Traverse 2003-2004 for preparing the skiway that enabled LC-130 landings at the Megadunes site. Louise Albershardt of Ice Drilling and Design Operations group (IDDO) did the drilling. K. Kawamura acknowledges Fuyuki Saito of JAM-STEC and Jun'ichi Okuno of NIPR for assisting LaTeX editing. Support for this work came from NSF-OPP 02-30452 (J. P. Severinghaus), Gary Comer Abrupt Climate Change Fellowship (for supporting K. Kawamura as a postdoc at SIO) and JSPS KAKENHI 21671001 (K. Kawamura). The production of the paper was supported by an NIPR publication subsidy.</t>
  </si>
  <si>
    <t>10.5194/acp-13-11141-2013</t>
  </si>
  <si>
    <t>253PP</t>
  </si>
  <si>
    <t>WOS:000327101900037</t>
  </si>
  <si>
    <t>Abrantes, KG; Barnett, A; Marwick, TR; Bouillon, S</t>
  </si>
  <si>
    <t>Abrantes, Katya G.; Barnett, Adam; Marwick, Trent R.; Bouillon, Steven</t>
  </si>
  <si>
    <t>Importance of terrestrial subsidies for estuarine food webs in contrasting East African catchments</t>
  </si>
  <si>
    <t>ECOSPHERE</t>
  </si>
  <si>
    <t>Africa; Bayesian mixing models; catchment; estuaries; stable isotopes; terrestrial subsidies</t>
  </si>
  <si>
    <t>NITROGEN STABLE-ISOTOPES; RIVER-DOMINATED ESTUARY; ORGANIC-MATTER; APALACHICOLA BAY; CARBON ISOTOPES; TANA RIVER; BETSIBOKA ESTUARY; TROPICAL ESTUARY; MARINE; WATER</t>
  </si>
  <si>
    <t>Little is known on the degree to which terrestrial organic matter delivered to tropical estuaries contributes to estuarine consumers. Here, stable isotope analysis is used to constrain this contribution for contrasting east African estuaries whose catchments differ in relative C3/C4 vegetation cover. As these two types of vegetation differ strongly in delta C-13, we anticipated that terrestrial subsidies would be reflected in a gradient in estuarine consumer delta C-13 values, following the relative importance of C3 (characterised by low delta C-13) vs. C4 (characterised by high delta C-13) cover. Five estuaries were sampled for aquatic biogeochemical parameters, primary producers and consumers of different trophic ecologies: the Zambezi (catchment with a C3/C4 cover of 61/39%) in Mozambique, the Tana in Kenya (36/64%) and the Betsiboka (42/58%), Rianila (85/15%) and Canal des Pangalanes (C3-dominated) in Madagascar. Sampling was done before and after the 2010/2011 wet season. There were positive relationships between the proportion of C4 cover in the catchment and turbidity, delta C-13(DIC), delta C-13(DOC), delta C-13(POC) and delta N-15(PN). There were also significant positive relationships between delta C-13(POC) and consumer delta C-13 and between delta N-15(PN) and consumer delta N-15 for all consumer trophic guilds, confirming the incorporation of organic material transported from the catchments by estuarine consumers, and implying that this material is transported up to high trophic level fish. Bayesian mixing models confirmed that C4 material was the most important source for the highly turbid, C4-dominated estuaries, contributing up to 61-91% (95% CI) to phytodetritivorous fish in the Betsiboka, whereas for the less turbid C3-dominated estuaries terrestrial subsidies were not as important and consumers relied on a combination of terrestrial and aquatic sources. This shows that the ecology of the overall catchment affects the estuaries at the most basic, energetic level, and activities that alter the turbidity and productivity of rivers and estuaries can affect food webs well beyond the area of impact.</t>
  </si>
  <si>
    <t>[Abrantes, Katya G.; Marwick, Trent R.; Bouillon, Steven] Katholieke Univ Leuven, Dept Earth &amp; Environm Sci, B-3001 Louvain, Belgium; [Barnett, Adam] Deakin Univ, Sch Life &amp; Environm Sci, Burwood, Vic 3125, Australia; [Barnett, Adam] Inst Marine &amp; Antarctic Studies, Fisheries Aquaculture &amp; Coasts Ctr, Hobart, Tas 7001, Australia</t>
  </si>
  <si>
    <t>KU Leuven; Deakin University; University of Tasmania</t>
  </si>
  <si>
    <t>Abrantes, KG (corresponding author), James Cook Univ, Estuary &amp; Tidal Wetland Ecosyst Res Grp, Sch Marine &amp; Trop Biol, Townsville, Qld 4811, Australia.</t>
  </si>
  <si>
    <t>Katya.Abrantes@gmail.com</t>
  </si>
  <si>
    <t>; Bouillon, Steven/C-5177-2011</t>
  </si>
  <si>
    <t>, Adam/0000-0001-7430-8428; Bouillon, Steven/0000-0001-7669-2929; abrantes, katya/0000-0001-8648-8817</t>
  </si>
  <si>
    <t>postdoctoral Marie Curie International Incoming Fellowship within the 7th European Community Framework Programme; European Research Council, AFRIVAL [ERC-StG 240002]; Research Foundation Flanders (FWO-Vlaanderen); Rufford Small Grant</t>
  </si>
  <si>
    <t>postdoctoral Marie Curie International Incoming Fellowship within the 7th European Community Framework Programme(European Union (EU)); European Research Council, AFRIVAL; Research Foundation Flanders (FWO-Vlaanderen)(FWO); Rufford Small Grant</t>
  </si>
  <si>
    <t>We thank Francois Rabemanansoa for all the help in Madagascar, Lilia Rabeharisoa for logistical support in Antananarivo, Zita Kelemen for support with the laboratorial analyses, Adriano Macia for logistic support in Mozambique. Christoffer Still and Rebecca Powell kindly provided GIS datalayers on C3-C4 vegetation cover estimates for the African continent. A special thanks to the many artisanal fishermen that made sampling much easier and faster. Without their help this study would not have been possible. We also thank the anonymous reviewers for valuable comments that greatly improved the manuscript. This study was supported by a postdoctoral Marie Curie International Incoming Fellowship within the 7th European Community Framework Programme, a Starting Grant from the European Research Council (ERC-StG 240002, AFRIVAL), two travel grants to K. A. from the Research Foundation Flanders (FWO-Vlaanderen), and a Rufford Small Grant to K. A. Idea Wild provided some field material.</t>
  </si>
  <si>
    <t>2150-8925</t>
  </si>
  <si>
    <t>Ecosphere</t>
  </si>
  <si>
    <t>JAN</t>
  </si>
  <si>
    <t>10.1890/ES12-00322.1</t>
  </si>
  <si>
    <t>Ecology</t>
  </si>
  <si>
    <t>256JI</t>
  </si>
  <si>
    <t>Green Published, Green Submitted, Green Accepted, gold</t>
  </si>
  <si>
    <t>WOS:000327305900014</t>
  </si>
  <si>
    <t>Kagoshima, H; Imura, S; Suzuki, AC</t>
  </si>
  <si>
    <t>Kagoshima, Hiroshi; Imura, Satoshi; Suzuki, Atsushi C.</t>
  </si>
  <si>
    <t>Molecular and morphological analysis of an Antarctic tardigrade, Acutuncus antarcticus</t>
  </si>
  <si>
    <t>JOURNAL OF LIMNOLOGY</t>
  </si>
  <si>
    <t>Tardigrada; antarctica; cultivation; exuviae; JARE (Japanese Antarctic Research Expedition); 18S rRNA</t>
  </si>
  <si>
    <t>MOSS PILLARS</t>
  </si>
  <si>
    <t>We isolated a species of tardigrade from moss samples collected from Langhovde and Skarvsnes, near Syowa station, East Antarctic, from which we cultured a parthenogenetic strain in Petri dishes with co-occurring cyanobacteria or green algae. This culture was maintained at both 4 and 10 degrees C, though the latter proved more suitable for growth. Eggs were laid free, rather than in exuviae. We isolated the 18S rRNA sequences from this tardigrade, identical to that of Acutuncus antarcticus from King George island, South Shetland islands. Morphological analyses via both light and scanning electron microscopy also show general agreement with characteristics of a. antarcticus: dorsal and ventral apophyses for the insertion of stylet muscles and dorsal longitudinal thickening on the anterior part of buccal tube; presence of pharyngeal apophyses, two macroplacoids and absence of a microplacoid; the surface structure of egg; and claw shape. Peribuccal lamellae were absent, but six oval swellings surrounded the mouth opening. An additional study of moss pillars from lake Hotoke-ike, Skarvsnes, proved the existence of the same tardigrade taxon living at the bottom of the lake.</t>
  </si>
  <si>
    <t>[Kagoshima, Hiroshi] Res Org Informat &amp; Syst, Transdisciplinary Res Intergrat Ctr, Minato Ku, Tokyo 1050001, Japan; [Kagoshima, Hiroshi] Res Org Informat &amp; Syst, Natl Inst Genet, Mishima, Shizuoka 4118540, Japan; [Imura, Satoshi] Natl Inst Polar Res, Tachikawa, Tokyo 1908518, Japan; [Suzuki, Atsushi C.] Keio Univ, Dept Biol, Yokohama, Kanagawa 2238521, Japan</t>
  </si>
  <si>
    <t>Research Organization of Information &amp; Systems (ROIS); Research Organization of Information &amp; Systems (ROIS); National Institute of Genetics (NIG) - Japan; Research Organization of Information &amp; Systems (ROIS); National Institute of Polar Research (NIPR) - Japan; Keio University</t>
  </si>
  <si>
    <t>Suzuki, AC (corresponding author), Keio Univ, Dept Biol, 4-1-1 Hiyoshi, Yokohama, Kanagawa 2238521, Japan.</t>
  </si>
  <si>
    <t>chu@a6.keio.jp</t>
  </si>
  <si>
    <t>Suzuki, Atsushi C/AAO-9231-2020; Suzuki, Atsushi/E-9704-2014</t>
  </si>
  <si>
    <t>Suzuki, Atsushi/0000-0002-3027-7110</t>
  </si>
  <si>
    <t>Japan Society for the Promotion of Science [23247012, 23510239]; Grants-in-Aid for Scientific Research [23247012, 23510239]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</si>
  <si>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</si>
  <si>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Dr. Satoshi Kobayashi and Takeshi Naganuma for providing antarctic moss samples, and Dr. Ryosuke Nakai for preserving the moss pillar samples and his helpful discussion. Dr. Sandra McInnes and anonymous reviewers are also warmly thanked for reading and refining our manuscript. We greatly appreciate for the generous help of Professors Kohara and Niki of NIG. This research was supported by Grant-in-Aid for scientific research (No. 23247012 for S.I. and No. 23510239 for H. K.) from the Japan Society for the Promotion of Science.</t>
  </si>
  <si>
    <t>PAGEPRESS PUBL</t>
  </si>
  <si>
    <t>PAVIA</t>
  </si>
  <si>
    <t>MEDITGROUP, VIA G BELLI, 4, PAVIA, 27100, ITALY</t>
  </si>
  <si>
    <t>1129-5767</t>
  </si>
  <si>
    <t>1723-8633</t>
  </si>
  <si>
    <t>J LIMNOL</t>
  </si>
  <si>
    <t>J. Limnol.</t>
  </si>
  <si>
    <t>10.4081/jlimnol.2013.s1.e3</t>
  </si>
  <si>
    <t>Limnology</t>
  </si>
  <si>
    <t>258UW</t>
  </si>
  <si>
    <t>WOS:000327485200003</t>
  </si>
  <si>
    <t>de Souza Carvalho, Juliana Vanir; Mendonca, Eduardo de Sa; La Scala Junior, Newton; Reis, Cesar; Reis, Efrain Lazaro; Schaefer, Carlos Ernesto G. R.</t>
  </si>
  <si>
    <t>POTENTIOMETRIC CHARACTERIZATION OF HUMIC SUBSTANCES EXTRACTED FROM ANTARCTIC MARINE SOILS</t>
  </si>
  <si>
    <t>QUIMICA NOVA</t>
  </si>
  <si>
    <t>Portuguese</t>
  </si>
  <si>
    <t>redox titrations; redox potencial; C-CO2 emission</t>
  </si>
  <si>
    <t>SUPRAMOLECULAR STRUCTURE; REDOX PROPERTIES; ACIDS</t>
  </si>
  <si>
    <t>Monitoring of soil carbon storage may indicate possible effects of climate change on the terrestrial environment and it is therefore necessary to understand the influence of redox potential and chemical characteristics of humic substances (HS) of Antarctic soil. Five soils from King George Island were used. HS were extracted, quantified and characterized by potentiometry and the content of total carbon and nitrogen determined. HS of these soils had greater aliphatic character, low content of phenolic groups, lower acidity and lower formal standard electrode potential, compared to HS of soils from other regions, suggesting they are more likely to be oxidized.</t>
  </si>
  <si>
    <t>[de Souza Carvalho, Juliana Vanir] Univ Estado Minas Gerais, Dept Ciencias Exatas &amp; Terra, BR-36500000 Uba, MG, Brazil; [Mendonca, Eduardo de Sa] Univ Fed Espirito Santo, Dept Prod Vegetal, BR-29500000 Alegre, ES, Brazil; [La Scala Junior, Newton] Univ Estadual Paulista, BR-14884900 Jaboticabal, SP, Brazil; [Reis, Cesar; Reis, Efrain Lazaro] Univ Fed Vicosa, Dept Quim, BR-36570000 Vicosa, MG, Brazil; [Schaefer, Carlos Ernesto G. R.] Univ Fed Vicosa, Dept Solos, BR-36570000 Vicosa, MG, Brazil</t>
  </si>
  <si>
    <t>Universidade do Estado de Minas Gerais; Universidade Federal do Espirito Santo; Universidade Estadual Paulista; Universidade Federal de Vicosa; Universidade Federal de Vicosa</t>
  </si>
  <si>
    <t>Carvalho, JVD (corresponding author), Univ Estado Minas Gerais, Dept Ciencias Exatas &amp; Terra, Av Olegario Maciel 1427, BR-36500000 Uba, MG, Brazil.</t>
  </si>
  <si>
    <t>eduardo.mendonca@ufes.br</t>
  </si>
  <si>
    <t>Schaefer, Carlos Ernesto/AAY-4977-2020; La Scala Jr., Newton/C-4398-2012</t>
  </si>
  <si>
    <t>Ernesto Goncalves Reynaud Schaefer, Carlos/0000-0001-7060-1598; Ernesto Goncalves Reynaud Schaefer, Carlos/0000-0001-5735-3227; La Scala Jr., Newton/0000-0002-1575-9875</t>
  </si>
  <si>
    <t>SOC BRASILEIRA QUIMICA</t>
  </si>
  <si>
    <t>SAO PAULO</t>
  </si>
  <si>
    <t>CAIXA POSTAL 26037, 05599-970 SAO PAULO, BRAZIL</t>
  </si>
  <si>
    <t>0100-4042</t>
  </si>
  <si>
    <t>1678-7064</t>
  </si>
  <si>
    <t>QUIM NOVA</t>
  </si>
  <si>
    <t>Quim. Nova</t>
  </si>
  <si>
    <t>256LC</t>
  </si>
  <si>
    <t>WOS:000327310700010</t>
  </si>
  <si>
    <t>Catarino, AI; Guibourt, V; Moureaux, C; De Ridder, C; Compere, P; Dubois, P</t>
  </si>
  <si>
    <t>Catarino, Ana I.; Guibourt, Virginie; Moureaux, Claire; De Ridder, Chantal; Compere, Philippe; Dubois, Philippe</t>
  </si>
  <si>
    <t>Antarctic urchin Ctenocidaris speciosa spines: lessons from the deep</t>
  </si>
  <si>
    <t>CAHIERS DE BIOLOGIE MARINE</t>
  </si>
  <si>
    <t>14th International Echinoderm Conference (IEC)</t>
  </si>
  <si>
    <t>AUG 20-24, 2012</t>
  </si>
  <si>
    <t>Royal Acad Sci Belgium, Brussels, BELGIUM</t>
  </si>
  <si>
    <t>Royal Acad Sci Belgium</t>
  </si>
  <si>
    <t>Ocean Acidification; Antarctica; Ctenocidaris speciosa; Cidaroid spines; Calcium carbonate saturation state</t>
  </si>
  <si>
    <t>AMORPHOUS CALCIUM-CARBONATE; OCEAN ACIDIFICATION; MARINE CALCIFIERS; MG/CA; SR/CA; TEMPERATURE; MAGNESIUM; IMPACT; WATER</t>
  </si>
  <si>
    <t>Ocean acidification is leading to changes in the oceanic carbonate system. As a result, calcium carbonate saturation horizon is shallowing, especially at high latitudes. Biogenic high magnesium-calcites could be particularly vulnerable, since their solubility is either similar or greater than that of aragonite. Cidaroid urchins have magnesium-calcite spines covered by a polycrystalline cortex which becomes exposed to seawater when mature (not covered by an epidermis). However, deep species live at low calcium carbonate saturation states, especially at high latitudes. We describe here the morphology and the magnesium content of Ctenocidaris speciosa spines collected at different depths from the Weddell Sea (Antarctica) and relate the features with seawater calcium carbonate saturation. We observed that the spines cortex of C. speciosa presented a thicker inner cortex layer and a lower [Mg2+] below the aragonite saturation horizon. We suggest that the cortex of cidaroid spines is able to resist to low calcium carbonate saturation state.</t>
  </si>
  <si>
    <t>[Catarino, Ana I.; Guibourt, Virginie; Moureaux, Claire; De Ridder, Chantal; Dubois, Philippe] Univ Libre Bruxelles, Lab Biol Marine, B-1050 Brussels, Belgium; [Compere, Philippe] Univ Liege, Dept Sci &amp; Gest Environm, B-4000 Liege, Belgium</t>
  </si>
  <si>
    <t>Universite Libre de Bruxelles; University of Liege</t>
  </si>
  <si>
    <t>Catarino, AI (corresponding author), Univ Libre Bruxelles, Lab Biol Marine, CP 160-10 Av FD Roosevelt 50, B-1050 Brussels, Belgium.</t>
  </si>
  <si>
    <t>catarino.anai@gmail.com</t>
  </si>
  <si>
    <t>C, A/J-9863-2014</t>
  </si>
  <si>
    <t>C, A/0000-0002-8796-0869</t>
  </si>
  <si>
    <t>ROSCOFF</t>
  </si>
  <si>
    <t>STATION BIOLOGIQUE PLACE GEORGES TEISSIER, 29680 ROSCOFF, FRANCE</t>
  </si>
  <si>
    <t>0007-9723</t>
  </si>
  <si>
    <t>2262-3094</t>
  </si>
  <si>
    <t>CAH BIOL MAR</t>
  </si>
  <si>
    <t>Cah. Biol. Mar.</t>
  </si>
  <si>
    <t>251TS</t>
  </si>
  <si>
    <t>WOS:000326954200024</t>
  </si>
  <si>
    <t>Manning, EM; Aumann, HH; Broberg, SE</t>
  </si>
  <si>
    <t>Butler, JJ; Xiong, X; Gu, X</t>
  </si>
  <si>
    <t>Manning, Evan M.; Aumann, Hartmut H.; Broberg, Steven E.</t>
  </si>
  <si>
    <t>Space view issues for hyperspectral sounders</t>
  </si>
  <si>
    <t>EARTH OBSERVING SYSTEMS XVIII</t>
  </si>
  <si>
    <t>Proceedings of SPIE</t>
  </si>
  <si>
    <t>Conference on Earth Observing Systems XVIII</t>
  </si>
  <si>
    <t>AUG 26-29, 2013</t>
  </si>
  <si>
    <t>San Diego, CA</t>
  </si>
  <si>
    <t>AIRS; climate quality; spaceview; calibration; trends</t>
  </si>
  <si>
    <t>The expectation for climate quality measurements from hyperspectral sounders is absolute calibration accuracy at the 100 mK level and stability at the &lt; 40 mK/decade level. The Atmospheric InfraRed Sounder (AIRS)(1), Cross-track Infrared Sounder (CrIS), and Infrared Atmospheric Sounding Interferometer (IASI) hyperspectral sounders currently in orbit have been shown to agree well over most of their brightness temperature range. Some larger discrepancies are seen, however, at the coldest scene temperatures, such as those seen in Antarctic winter and deep convective clouds. A key limiting factor for the calibrated scene radiance accuracy for cold scenes is how well the effective radiance of the cold space view pertains to the scene views. The spaceview signal is composed of external sources and instrument thermal emission at about 270 K from the scan mirror, external baffles, etc. Any difference in any of these contributions between spaceviews and scene views will impact the absolute calibration accuracy, and the impact can be critical for cold scenes. Any change over time in these will show up as an apparent trend in calibrated radiances. We use AIRS data to investigate the validity of the spaceview assumption in view of the 100 mK accuracy and 40 mK/decade trend expectations. We show that the space views used for the cold calibration point for AIRS v5 Level-1B products meet these standards except under special circumstances and that AIRS v6 Level-1B products will meet them under all circumstances. This analysis also shows the value of having multiple distinct space views to give operational redundancy and analytic data, and that reaching climate quality requires continuing monitoring of aging instruments and adjustment of calibration.</t>
  </si>
  <si>
    <t>[Manning, Evan M.; Aumann, Hartmut H.; Broberg, Steven E.] CALTECH, Jet Prop Lab, Pasadena, CA 91109 USA</t>
  </si>
  <si>
    <t>California Institute of Technology; National Aeronautics &amp; Space Administration (NASA); NASA Jet Propulsion Laboratory (JPL)</t>
  </si>
  <si>
    <t>Manning, EM (corresponding author), CALTECH, Jet Prop Lab, 4800 Oak Grove Dr, Pasadena, CA 91109 USA.</t>
  </si>
  <si>
    <t>Evan.M.Manning@jpl.nasa.gov</t>
  </si>
  <si>
    <t>SPIE-INT SOC OPTICAL ENGINEERING</t>
  </si>
  <si>
    <t>BELLINGHAM</t>
  </si>
  <si>
    <t>1000 20TH ST, PO BOX 10, BELLINGHAM, WA 98227-0010 USA</t>
  </si>
  <si>
    <t>0277-786X</t>
  </si>
  <si>
    <t>978-0-8194-9716-1</t>
  </si>
  <si>
    <t>PROC SPIE</t>
  </si>
  <si>
    <t>88660V</t>
  </si>
  <si>
    <t>10.1117/12.2024552</t>
  </si>
  <si>
    <t>Instruments &amp; Instrumentation; Remote Sensing; Optics</t>
  </si>
  <si>
    <t>BHU75</t>
  </si>
  <si>
    <t>WOS:000326700700025</t>
  </si>
  <si>
    <t>Shao, X; Cao, CY; Uprety, S</t>
  </si>
  <si>
    <t>Shao, Xi; Cao, Changyong; Uprety, Sirish</t>
  </si>
  <si>
    <t>Vicarious Calibration of S-NPP/VIIRS Day-Night Band</t>
  </si>
  <si>
    <t>S-NPP/VIIRS DNB; DNB calibration; nighttime vicarious calibration; lunar Calibration; lunar irradiance; Dome C; Greenland</t>
  </si>
  <si>
    <t>SPECTRAL IRRADIANCE</t>
  </si>
  <si>
    <t>The Day Night Band (DNB) of the Visible Infrared Imaging Radiometer Suite (VIIRS) onboard the Suomi National Polar-orbiting Partnership (S-NPP) satellite provides imagery of clouds and other Earth features over illumination levels ranging from full sunlight to quarter moon. In order to cover this extremely broad measurement range, the DNB employs four imaging arrays that comprise three gain stages. The low gain stage (LGS) gain values are determined by solar diffuser data. In operation, the medium and high gain stage values are determined by multiplying the LGS gains by the medium gain stage (MGS)/LGS and high gain stage (HGS)/LGS gain ratios, respectively. This paper demonstrates a scheme of using DNB observation of ground vicarious sites under lunar illumination at night to independently verify the radiometric accuracy of HGS of DNB. We performed vicarious calibration of DNB when S-NPP flies above the vicarious site such as Dome C in Antarctic and Greenland in northern hemisphere at night and the moon illuminates the site with lunar phase being more than half moon. Lunar spectral irradiance model as a function of Sun-Earth-Moon distances and lunar phase is used to assist the determination of top-of-atmosphere reflectance at the vicarious site. Analysis of the vicariously-derived reflectance from DNB observations show agreement with the reflectance derived from Hyperion observations of the vicarious sites.</t>
  </si>
  <si>
    <t>[Shao, Xi] Univ Maryland, Dept Astron, College Pk, MD 20742 USA; [Cao, Changyong] NOAA, NESDIS, STAR, College Pk, MD USA; [Uprety, Sirish] Colorado State Univ, CIRA, Ft Collins, CO 80523 USA</t>
  </si>
  <si>
    <t>University System of Maryland; University of Maryland College Park; National Oceanic Atmospheric Admin (NOAA) - USA; Colorado State University</t>
  </si>
  <si>
    <t>Shao, X (corresponding author), Univ Maryland, Dept Astron, College Pk, MD 20742 USA.</t>
  </si>
  <si>
    <t>Shao, Xi/H-9452-2016; Cao, Changyong/AAP-7605-2021</t>
  </si>
  <si>
    <t>Cao, Changyong/0000-0003-3572-6525</t>
  </si>
  <si>
    <t>Joint Polar Satellite System (JPSS) program</t>
  </si>
  <si>
    <t>The authors would like to thank Ms. Yan Bai and Xin Jing for their assistances with data acquisition, processing, and figure editing. We also thank Dr. S. Miller for making his lunar irradiance model publicly available. This study is partially funded by the Joint Polar Satellite System (JPSS) program. The manuscript contents are solely the opinions of the authors and do not constitute a statement of policy, decision, or position on behalf of NOAA or the U.S. government.</t>
  </si>
  <si>
    <t>1996-756X</t>
  </si>
  <si>
    <t>88661S</t>
  </si>
  <si>
    <t>10.1117/12.2023412</t>
  </si>
  <si>
    <t>WOS:000326700700053</t>
  </si>
  <si>
    <t>Annibaldi, A; Illuminati, S; Truzzi, C; Finale, C; Scarponi, G</t>
  </si>
  <si>
    <t>Pirrone, N</t>
  </si>
  <si>
    <t>Annibaldi, A.; Illuminati, S.; Truzzi, C.; Finale, C.; Scarponi, G.</t>
  </si>
  <si>
    <t>Soluble/insoluble (dilute-HCl-extractable) fractionation of Cd, Pb and Cu in Antarctic snow and its relationship with metal fractionations in the aerosol</t>
  </si>
  <si>
    <t>PROCEEDINGS OF THE 16TH INTERNATIONAL CONFERENCE ON HEAVY METALS IN THE ENVIRONMENT</t>
  </si>
  <si>
    <t>E3S Web of Conferences</t>
  </si>
  <si>
    <t>16th International Conference on Heavy Metals in the Environment (ICHMET)</t>
  </si>
  <si>
    <t>SEP 23-27, 2012</t>
  </si>
  <si>
    <t>Rome, ITALY</t>
  </si>
  <si>
    <t>Cd; Pb; Cu; Antarctic snow; soluble/insoluble fractionation; voltammetry</t>
  </si>
  <si>
    <t>ANODIC-STRIPPING VOLTAMMETRY; NORTH-ATLANTIC; ICE CORE; LEAD; SOLUBILITY; RECORD; DUST; LAND</t>
  </si>
  <si>
    <t>A chemical fractionation methodology for determination of the (water) soluble and the insoluble (dilute-HCl-extractable) fractions of Cd, Pb and Cu in Antarctic snow was set-up and verified for the additivity of the two fractions detected. Molten samples were filtrated and the water-insoluble fraction was extracted by dilute ultrapure HCl (pH similar to 1.5). Metal determinations were carried out in the two fractions by square wave anodic stripping voltammetry. The total metal concentrations in samples collected in the 2000-2001 austral summer in a clean area (Faraglione Camp) in the neighbourhood of the Mario Zucchelli Italian Station were of the order of Cd 10-20 pg g(-1), Pb 20-40 pg g(-1), Cu 60-120 pg g(-1) with an approximate equidistribution between soluble and insoluble fractions. These fractionations compare well (and show a quite consistent temporal trend) with those observed in the aerosol samples collected in the same area/period and confirm the close relationship between metal distributions in snow/ice and in the aerosol. At the station metal concentrations increase due to anthropic contribution and the distribution changes with Cd predominantly present in the soluble fraction (similar to 80%), while Pb and Cu are more concentrated in the insoluble fraction, 70-80% and similar to 70%, respectively.</t>
  </si>
  <si>
    <t>[Annibaldi, A.; Illuminati, S.; Truzzi, C.; Finale, C.; Scarponi, G.] Univ Politecn Marche, Dept Life &amp; Environm Sci, I-60131 Ancona, Italy</t>
  </si>
  <si>
    <t>Marche Polytechnic University</t>
  </si>
  <si>
    <t>Annibaldi, A (corresponding author), Univ Politecn Marche, Dept Life &amp; Environm Sci, I-60131 Ancona, Italy.</t>
  </si>
  <si>
    <t>a.annibaldi@univpm.it</t>
  </si>
  <si>
    <t>Illuminati, Silvia/GXZ-5038-2022; Illuminati, Silvia/T-7873-2019; Scarponi, Giuseppe/AAQ-6394-2021</t>
  </si>
  <si>
    <t>Illuminati, Silvia/0000-0001-6465-5477; Scarponi, Giuseppe/0000-0003-2932-0596</t>
  </si>
  <si>
    <t>2267-1242</t>
  </si>
  <si>
    <t>E3S WEB CONF</t>
  </si>
  <si>
    <t>10.1051/e3sconf/20130123006</t>
  </si>
  <si>
    <t>Environmental Sciences; Geosciences, Multidisciplinary</t>
  </si>
  <si>
    <t>BHR45</t>
  </si>
  <si>
    <t>Green Published, gold, Green Submitted</t>
  </si>
  <si>
    <t>WOS:000326475400185</t>
  </si>
  <si>
    <t>Dommergue, A; Vogel, N; Ferrari, CP; Magand, O; Barret, M</t>
  </si>
  <si>
    <t>Dommergue, A.; Vogel, N.; Ferrari, C. P.; Magand, O.; Barret, M.</t>
  </si>
  <si>
    <t>Preliminary results from a continuous record of atmospheric gaseous mercury at the coastal station Dumont d'Urville in Antarctica</t>
  </si>
  <si>
    <t>Atmospheric gaseous elemental mercury; Antarctica; Seasonal cycle; GMOS</t>
  </si>
  <si>
    <t>ELEMENTAL MERCURY; DEPLETION; OCEAN; SNOW</t>
  </si>
  <si>
    <t>While the tropospheric reactivity of mercury (Hg) in the Arctic is more and more documented only a few attempts were made to study the Hg cycle in the Southern Polar Regions. The role of the Antarctic continent and its influence on the global geochemical cycle of mercury is unclear today, and is certainly under evaluated by current models. Here, we present the first continuous high-time-resolution measurements of atmospheric gaseous elemental mercury (GEM) in East Antarctica from February 2010 to March 2011 at the coastal research station Dumont d'Urville (DDU) (66 degrees 40' S, 140 degrees 01' E, 43 m asl). We report an annual mean level of 1.062 +/- 0.321 ng/m(3) with well-marked daily fluctuations from October to January. An intense reactivity originated from the atmospheric boundary layer of the Antarctic plateau under sunlight conditions is observed at DDU. Partly GEM-depleted air masses are exported from the continent and dramatically influence the GEM record at DDU. From November to January, surface waters of the Southern Ocean are an important source of GEM.</t>
  </si>
  <si>
    <t>[Dommergue, A.; Vogel, N.; Ferrari, C. P.; Magand, O.; Barret, M.] UJF Grenoble 1, CNRS, LGGE, UMR 5183, F-38041 Grenoble, France</t>
  </si>
  <si>
    <t>Communaute Universite Grenoble Alpes; Universite Grenoble Alpes (UGA); Centre National de la Recherche Scientifique (CNRS)</t>
  </si>
  <si>
    <t>Dommergue, A (corresponding author), UJF Grenoble 1, CNRS, LGGE, UMR 5183, F-38041 Grenoble, France.</t>
  </si>
  <si>
    <t>dommergue@lgge.obs.ujf-grenoble.fr</t>
  </si>
  <si>
    <t>10.1051/e3sconf/20130127005</t>
  </si>
  <si>
    <t>WOS:000326475400218</t>
  </si>
  <si>
    <t>Dommergue, A; Ferrari, CP; Magand, O; Barret, M; Gratz, LE; Pirrone, N; Sprovieri, F</t>
  </si>
  <si>
    <t>Dommergue, A.; Ferrari, C. P.; Magand, O.; Barret, M.; Gratz, L. E.; Pirrone, N.; Sprovieri, F.</t>
  </si>
  <si>
    <t>Monitoring of gaseous elemental mercury in central Antarctica at Dome Concordia</t>
  </si>
  <si>
    <t>gaseous elemental mercury; Antarctica; Polar Regions; GMOS</t>
  </si>
  <si>
    <t>ATMOSPHERIC MERCURY; DEPLETION; SNOW; CHEMISTRY</t>
  </si>
  <si>
    <t>Within the framework of the Global Mercury Observation System (GMOS), we are monitoring gaseous elemental mercury (Hg(0)) at the Dome Concordia Station to improve our understanding of atmospheric Hg in the Antarctic atmosphere. This French-Italian facility is located in one of the coldest places on the planet and is situated on the vast Antarctic Plateau at an elevation of 3320 m. Continuous measurements began on December 7, 2011 and are ongoing. The median value calculated over the period (n=24506) is approximately 0.9 ng/m3 and values range from &lt; 0.1 ng/m(3) up to 2.3 ng/m(3). Preliminary results suggest that the Antarctic atmospheric boundary layer is a very reactive place during the periods when sunlight is present. A combination of fast and efficient oxidation processes with snow photochemistry lead to a dynamic record of Hg(0) unlike any other location. Our improved understanding of these processes will help to better constrain the cycle of Hg in the Southern Hemisphere.</t>
  </si>
  <si>
    <t>[Dommergue, A.; Ferrari, C. P.; Magand, O.; Barret, M.] UJF Grenoble 1, Lab Glaciol &amp; Geophys Environm LGG, CNRS, F-38041 Grenoble, France; [Gratz, L. E.; Pirrone, N.; Sprovieri, F.] CNR, Inst Atmospher Pollut Res, Arcavacata Di Rende, Italy</t>
  </si>
  <si>
    <t>Centre National de la Recherche Scientifique (CNRS); Communaute Universite Grenoble Alpes; Universite Grenoble Alpes (UGA); Consiglio Nazionale delle Ricerche (CNR); Istituto Sull'inquinamento Atmosferico (IIA-CNR)</t>
  </si>
  <si>
    <t>Dommergue, A (corresponding author), UJF Grenoble 1, Lab Glaciol &amp; Geophys Environm LGG, CNRS, F-38041 Grenoble, France.</t>
  </si>
  <si>
    <t>Pirrone, Nicola/IXD-5019-2023</t>
  </si>
  <si>
    <t>French Polar Institute IPEV (Program GMOStral) [1028]; [ANR-07-VULN-013 VANISH]</t>
  </si>
  <si>
    <t>French Polar Institute IPEV (Program GMOStral);</t>
  </si>
  <si>
    <t>This work contributes to the EU-FP7 project Global Mercury Observation System (GMOS). Logistical support and financial support were also provided by the French Polar Institute IPEV (Program 1028, GMOStral). We want to acknowledge the Project ANR-07-VULN-013 VANISH that provided technical support. We are very grateful to Gregory Teste and Laurent Arnaud. We thank the winterovering technical staff (Sebastien Aubin). AD is grateful to the Institut Universitaire de France.</t>
  </si>
  <si>
    <t>10.1051/e3sconf/20130117003</t>
  </si>
  <si>
    <t>Green Submitted, Green Published, gold</t>
  </si>
  <si>
    <t>WOS:000326475400140</t>
  </si>
  <si>
    <t>Genco, S; Bortoli, D; Ravegnani, F</t>
  </si>
  <si>
    <t>Comeron, A; Kassianov, EI; Schafer, K; Stein, K; Gonglewski, JD</t>
  </si>
  <si>
    <t>Genco, S.; Bortoli, D.; Ravegnani, F.</t>
  </si>
  <si>
    <t>Remote sensing monitoring of the global ozonosphere</t>
  </si>
  <si>
    <t>REMOTE SENSING OF CLOUDS AND THE ATMOSPHERE XVIII; AND OPTICS IN ATMOSPHERIC PROPAGATION AND ADAPTIVE SYSTEMS XVI</t>
  </si>
  <si>
    <t>Conference on Remote Sensing of Clouds and the Atmosphere XVIII; and Optics in Atmospheric Propagation and Adaptive Systems XVI</t>
  </si>
  <si>
    <t>SEP 23-26, 2013</t>
  </si>
  <si>
    <t>Dresden, GERMANY</t>
  </si>
  <si>
    <t>ozonosphere; ozone depletion; ozone hole; satellites; Dobson; DOAS</t>
  </si>
  <si>
    <t>TOTAL OZONE; GOME</t>
  </si>
  <si>
    <t>The use of CFCs, which are the main responsible for the ozone depletion in the upper atmosphere and the formation of the so-called ozone hole over Antarctic Region, was phase out by Montreal Protocol (1989). CFCs' concentration is recently reported to decrease in the free atmosphere, but severe episodes of ozone depletion in both Arctic and Antarctic regions are still occurring. Nevertheless the complete recovery of the Ozone layer is expected by about 2050. Recent simulation of perturbations in stratospheric chemistry highlight that circulation, temperature and composition are strictly correlated and they influence the global climate changes. Chemical composition plays an important role in the thermodynamic of the atmosphere, as every gaseous species can absorb and emit in different wavelengths, so their different concentration is responsible for the heating or cooling of the atmosphere. Therefore long-term observations are required to monitor the evolution of the stratospheric ozone layer. Measurements from satellite remote sensing instruments, which provide wide coverage, are supplementary to selective ground-based observations which are usually better calibrated, more stable in time and cover a wider time span. The combination of the data derived from different space-borne instruments calibrated with ground-based sensors is needed to produce homogeneous and consistent long-term data records. These last are required for robust investigations and especially for trend analysis. Here, we perform a review of the major remote-sensing techniques and of the principal datasets available to study the evolution of ozone layer in the past decades and predict future behavior.</t>
  </si>
  <si>
    <t>[Genco, S.; Bortoli, D.; Ravegnani, F.] CNR, ISAC, I-40129 Bologna, Italy</t>
  </si>
  <si>
    <t>Consiglio Nazionale delle Ricerche (CNR); Istituto di Scienze dell'Atmosfera e del Clima (ISAC-CNR)</t>
  </si>
  <si>
    <t>Genco, S (corresponding author), CNR, ISAC, Via Gobetti 101, I-40129 Bologna, Italy.</t>
  </si>
  <si>
    <t>s.genco@isac.cnr.it</t>
  </si>
  <si>
    <t>Bortoli, Daniele/A-5489-2009; Ravegnani, Fabrizio/AAM-5467-2021; Ravegnani, Fabrizio/A-7800-2009</t>
  </si>
  <si>
    <t>Bortoli, Daniele/0000-0002-2334-4055; Ravegnani, Fabrizio/0000-0003-0735-9297; Ravegnani, Fabrizio/0000-0003-0735-9297</t>
  </si>
  <si>
    <t>978-0-8194-9759-8</t>
  </si>
  <si>
    <t>10.1117/12.2029436</t>
  </si>
  <si>
    <t>Meteorology &amp; Atmospheric Sciences; Remote Sensing; Optics</t>
  </si>
  <si>
    <t>BHZ41</t>
  </si>
  <si>
    <t>WOS:000327077500004</t>
  </si>
  <si>
    <t>Grant, SM; Hill, SL; Fretwell, PT</t>
  </si>
  <si>
    <t>Grant, S. M.; Hill, S. L.; Fretwell, P. T.</t>
  </si>
  <si>
    <t>SPATIAL DISTRIBUTION OF MANAGEMENT MEASURES, ANTARCTIC KRILL CATCH AND SOUTHERN OCEAN BIOREGIONS: IMPLICATIONS FOR CONSERVATION PLANNING</t>
  </si>
  <si>
    <t>CCAMLR SCIENCE</t>
  </si>
  <si>
    <t>MARINE PROTECTED AREA</t>
  </si>
  <si>
    <t>Systematic conservation planning for developing marine spatial protection includes analysis of the spatial distribution of fishing activities, existing management and ecological characteristics. This paper assesses the overlap between habitat (bioregion), existing spatial management and Antarctic krill catch in the Southern Ocean. The analysis required standardised information on the location and extent of spatial fisheries management measures, which was delivered through a Geographic Information System (GIS). During the 2010/11 season, 64% of the CAMLR Convention Area was open to fishing for at least one species. There were important differences between pelagic bioregions in terms of the fraction that was open to fishing, and the distribution of catch within the open fraction. For example, only 26% of the main area open to krill fishing has been fished, and this fishing is concentrated in three of the seven bioregions found in the open area. Information on the distribution of catches and catch limits among different bioregions could be used to prioritise protection for bioregions that are currently under-represented in marine protected areas (MPAs). However, conservation planning should take account of uncertainties that result from the different spatial resolution of datasets and the use of long-term averages to identify spatial boundaries.</t>
  </si>
  <si>
    <t>[Grant, S. M.; Hill, S. L.; Fretwell, P. T.] British Antarctic Survey, NERC, Cambridge CB3 0ET, England</t>
  </si>
  <si>
    <t>Grant, SM (corresponding author), British Antarctic Survey, NERC, High Cross,Madingley Rd, Cambridge CB3 0ET, England.</t>
  </si>
  <si>
    <t>suan@bas.ac.uk</t>
  </si>
  <si>
    <t>Simeon, Hill L/B-2307-2008</t>
  </si>
  <si>
    <t>British Antarctic Survey's Natural Environment Research Council; Natural Environment Research Council [bas0100025] Funding Source: researchfish</t>
  </si>
  <si>
    <t>British Antarctic Survey's Natural Environment Research Council; Natural Environment Research Council(UK Research &amp; Innovation (UKRI)Natural Environment Research Council (NERC))</t>
  </si>
  <si>
    <t>This paper is a contribution to the British Antarctic Survey's Natural Environment Research Council funded Ecosystems Programme. We are grateful to Steve Parker for providing GIS data on SSRUs, David Ramm of the CCAMLR Secretariat for supplying krill catch data, and to CCAMLR Members for permission to use these data. We also thank Phil Trathan, Ben Raymond and an anonymous referee for constructive comments on this paper.</t>
  </si>
  <si>
    <t>C C A M L R TI</t>
  </si>
  <si>
    <t>NORTH HOBART</t>
  </si>
  <si>
    <t>PO BOX 213, NORTH HOBART, TAS 7002, AUSTRALIA</t>
  </si>
  <si>
    <t>1023-4063</t>
  </si>
  <si>
    <t>CCAMLR SCI</t>
  </si>
  <si>
    <t>CCAMLR Sci.</t>
  </si>
  <si>
    <t>Fisheries</t>
  </si>
  <si>
    <t>251JN</t>
  </si>
  <si>
    <t>WOS:000326924700001</t>
  </si>
  <si>
    <t>Jo, HS; Yeon, I; Lim, C; Hanchet, SM; Lee, DW; Kang, CK</t>
  </si>
  <si>
    <t>Jo, H. -S.; Yeon, I.; Lim, C.; Hanchet, S. M.; Lee, D. -W.; Kang, C. -K.</t>
  </si>
  <si>
    <t>FATTY ACID AND STABLE ISOTOPE ANALYSES TO INFER DIET OF ANTARCTIC TOOTHFISH CAUGHT IN THE SOUTHERN ROSS SEA</t>
  </si>
  <si>
    <t>DISSOSTICHUS-MAWSONI; FOOD-WEB; SHELF; FRACTIONATION; NOTOTHENIIDAE; DELTA-N-15; ECOSYSTEM; FISH</t>
  </si>
  <si>
    <t>To infer important prey resources for Antarctic toothfish (Dissostichus mawsoni) in the southern Ross Sea, their lipid composition was determined and compared to lipid profiles of fish and invertebrate species taken as by-catch in the fishery or collected from the stomachs of toothfish. Stable carbon and nitrogen isotope ratios were also determined to further identify feeding relationships between these species. The aim of this study was to establish the feasibility of tracking the main dietary items of Antarctic toothfish by comparing results of biomarker analysis and conventional diet analysis. Samples were collected during a longline survey of pre-recruit toothfish in February 2012. Results of fatty acid (FA) and stable isotope analyses from this study provide evidence that a combination of these two techniques can delineate the main prey items of Antarctic toothfish and trophic structure of the toothfish-related fish food web in the southern Ross Sea ecosystem. Similarities in total FA compositions and the FA profiles in muscle tissue of Antarctic toothfish, and Pleuragramma antarcticum, Pogonophryne barsukovi, Dacodraco hunteri and Trematomus loennbergii indicated a trophic connection between toothfish and these fish species. Mean delta N-15 values of Antarctic toothfish were higher than those of P. antarcticum, P. barsukovi and T. loennbergii, indicating a higher trophic position of the toothfish. In contrast, similar delta N-15 values between Antarctic toothfish and icefish (D. hunteri) suggested that they occupy the same trophic position. Overall results of this survey are consistent with the frequency and percentage occurrence of prey in Antarctic toothfish stomachs. Further sample collection and biomarker analyses for more pelagic and benthic biota are needed to better understand the entire food-web structure in the southern Ross Sea.</t>
  </si>
  <si>
    <t>[Jo, H. -S.; Yeon, I.; Lim, C.] Natl Fisheries Res &amp; Dev Inst, Fisheries Resources Res Div, Pusan 619705, South Korea; [Hanchet, S. M.] Natl Inst Water &amp; Atmospher Res NIWA Ltd, Nelson, New Zealand; [Lee, D. -W.] Natl Fisheries Res &amp; Dev Inst, Fisheries Resources Res Div, Pusan 619705, South Korea; [Kang, C. -K.] Pohang Univ Sci &amp; Technol POSTECH, Ocean Sci &amp; Technol Inst, Pohang 790784, South Korea</t>
  </si>
  <si>
    <t>National Institute of Water &amp; Atmospheric Research (NIWA) - New Zealand; Pohang University of Science &amp; Technology (POSTECH)</t>
  </si>
  <si>
    <t>Kang, CK (corresponding author), Pohang Univ Sci &amp; Technol POSTECH, Ocean Sci &amp; Technol Inst, Pohang 790784, South Korea.</t>
  </si>
  <si>
    <t>ckkang@postech.ac.kr</t>
  </si>
  <si>
    <t>Kang, Chang-Keun/GLR-8512-2022</t>
  </si>
  <si>
    <t>NFRDI [RP-2013-FR-043]</t>
  </si>
  <si>
    <t>NFRDI</t>
  </si>
  <si>
    <t>We thank the two observers Marli Dee and Peter Lafite, and the two Sanfords consultants Jack Fenaughty and David Bilton for their help and cooperation during the survey with the collection of data and samples. We also thank the skipper and crew of San Aotea II for excellent cooperation throughout the survey and Sanfords Ltd. for making the vessel available to do the survey. We are grateful to NIWA, New Zealand, for allowing Dr Hyun-Su Jo from the National Fisheries Research and Development Institute (NFRDI) of Korea to join in situ observation and sample collection. Helpful comments on the manuscript were provided by Dr Mario La Mesa and another anonymous reviewer. This research was supported by NFRDI grant (RP-2013-FR-043).</t>
  </si>
  <si>
    <t>WOS:000326924700002</t>
  </si>
  <si>
    <t>Pinkerton, MH; McMillan, P; Forman, J; Marriott, P; Horn, P; Bury, S; Brown, J</t>
  </si>
  <si>
    <t>Pinkerton, M. H.; McMillan, P.; Forman, J.; Marriott, P.; Horn, P.; Bury, S.; Brown, J.</t>
  </si>
  <si>
    <t>DISTRIBUTION, MORPHOLOGY AND ECOLOGY OF MACROURUS WHITSONI AND M. CAML (GADIFORMES, MACROURIDAE) IN THE ROSS SEA REGION</t>
  </si>
  <si>
    <t>AGE ESTIMATION; GRENADIER MACROURUS; ROUGHHEAD GRENADIER; CARBON ISOTOPES; CHATHAM RISE; DIET; MATURITY; FISHERY; FRACTIONATION; BERGLAX</t>
  </si>
  <si>
    <t>Samples collected in 2008 led to the identification of a new species of Southern Ocean grenadier, Macrourus caml, which had hitherto been identified as M. whitsoni. The first comparison of the distribution and ecology of the two species of Macrourus in the Ross Sea region is presented. The number of rays in the left pelvic fin and number of rows of teeth in the lower jaw allowed the two species to be distinguished both in the laboratory and by scientific observers at sea. The species were sympatric by depth (900-1 900 m) and by spatial area within CCAMLR Subareas 88.1 and 88.2. There was a small but significant increase in the proportion of M. whitsoni caught with depth. Catches of females of both species exceeded that of males (especially for M. caml). Macrourus caml grows slower, reaches a larger size, lives longer and is heavier for a given length than M. whitsoni. Female sexual maturity is reached at shorter length in M. caml than M. whitsoni but at a similar age (50% sexual maturity at 16 y). Gonad staging suggests extended spawning periods, beginning before December and continuing after February. Stomach and intestine contents data show both species are euryphagous predators and scavengers, with evidence of piscivory and both benthic and pelagic feeding. Amphipods were one of the main crustaceans consumed. Data tentatively suggest that M. caml may feed more benthically than M. whitsoni, but the sample size was very small. Using stable isotope analysis, trophic level was estimated at 4.4-4.5 (M. caml) and 4.1-4.3 (M. whitsoni), consistent with one or both of these species being a main prey of Antarctic toothfish.</t>
  </si>
  <si>
    <t>[Pinkerton, M. H.; McMillan, P.; Forman, J.; Marriott, P.; Horn, P.; Bury, S.; Brown, J.] Natl Inst Water &amp; Atmospher Res NIWA Ltd, Wellington 6241, New Zealand</t>
  </si>
  <si>
    <t>National Institute of Water &amp; Atmospheric Research (NIWA) - New Zealand</t>
  </si>
  <si>
    <t>Pinkerton, MH (corresponding author), Natl Inst Water &amp; Atmospher Res NIWA Ltd, Private Bag 14901, Wellington 6241, New Zealand.</t>
  </si>
  <si>
    <t>m.pinkerton@niwa.co.nz</t>
  </si>
  <si>
    <t>Ministry of Business, Innovation and Employment [C01X1001]; New Zealand Ministry of Business, Innovation &amp; Employment (MBIE) [C01X1001] Funding Source: New Zealand Ministry of Business, Innovation &amp; Employment (MBIE)</t>
  </si>
  <si>
    <t>Ministry of Business, Innovation and Employment(New Zealand Ministry of Business, Innovation and Employment (MBIE)); New Zealand Ministry of Business, Innovation &amp; Employment (MBIE)(New Zealand Ministry of Business, Innovation and Employment (MBIE))</t>
  </si>
  <si>
    <t>Funding for this work was provided by the Ministry of Business, Innovation and Employment project C01X1001. Samples were provided by scientific observers in the Ross Sea toothfish fishery. The assistance of the crew of the fishing vessels San Aotea II, Antarctic Chieftain, Janas and San Aspiring is acknowledged. Additional samples were provided through the New Zealand IPY-CAML project (Objective 10) with assistance from the officers and crew of the RV Tangaroa. We acknowledge assistance from P. Notman, C. O'Maolagain, I. Doonan, C. Sutton, M. McVeagh, A. Kilimik, S. Parker, S. M. Hanchet (all NIWA), B. Sharp (MPI), the New Zealand Antarctic Fisheries Working Group, reviewers, Dr Iwamoto and Dr Welsford, and K. Reid (Secretariat).</t>
  </si>
  <si>
    <t>WOS:000326924700003</t>
  </si>
  <si>
    <t>Welsford, DC; Ziegler, PE</t>
  </si>
  <si>
    <t>Welsford, D. C.; Ziegler, P. E.</t>
  </si>
  <si>
    <t>FACTORS THAT MAY INFLUENCE THE ACCURACY OF ABUNDANCE ESTIMATES FROM CCAMLR TAG-RECAPTURE PROGRAMS FOR DISSOSTICHUS SPP. AND BEST PRACTICE FOR ADDRESSING BIAS</t>
  </si>
  <si>
    <t>PATAGONIAN TOOTHFISH; STOCK ASSESSMENT; MARK-RECAPTURE; SOUTH GEORGIA; TAGGING EXPERIMENTS; HEARD ISLAND; SPERM-WHALES; AT-AGE; ELEGINOIDES; GROWTH</t>
  </si>
  <si>
    <t>The Lincoln-Petersen equation, the simplest form of an abundance estimator using tag-recapture data, was used to identify processes that may introduce bias into abundance estimates derived from tag-recapture programs. The methods that have been used in CCAMLR tag-recapture programs to mitigate such biases, or to account for their effects in stock assessments for Dissostichus spp. are also summarised. In nearly all cases, examples of at-sea or model-based approaches are available from established Dissostichus spp. tag-recapture programs to reduce these biases. Estimates of post-capture mortality, tag-detection rates and, where it occurs, post-release depredation rates are a priority for new assessments that use tag-recapture data. Due to the complexity of toothfish movements throughout their life cycle, as well as the spatial structure of release and recapture efforts by fishing and research vessels, development of spatially explicit modelling approaches is also an important next step for Dissostichus spp. assessments that use tag-recapture data.</t>
  </si>
  <si>
    <t>[Welsford, D. C.; Ziegler, P. E.] Australian Antarctic Div, Dept Sustainabil Environm Water Populat &amp; Communi, Kingston, Tas 7050, Australia</t>
  </si>
  <si>
    <t>Welsford, DC (corresponding author), Australian Antarctic Div, Dept Sustainabil Environm Water Populat &amp; Communi, 203 Channel Highway, Kingston, Tas 7050, Australia.</t>
  </si>
  <si>
    <t>dirk.welsford@aad.gov.au</t>
  </si>
  <si>
    <t>WOS:000326924700004</t>
  </si>
  <si>
    <t>Mormede, S; Dunn, A</t>
  </si>
  <si>
    <t>Mormede, S.; Dunn, A.</t>
  </si>
  <si>
    <t>QUANTIFYING VESSEL PERFORMANCE IN THE CCAMLR TAGGING PROGRAM: SPATIALLY AND TEMPORALLY CONTROLLED MEASURES OF TAG-DETECTION RATES</t>
  </si>
  <si>
    <t>A reliable commercial fish tagging program is critical to the successful management of a number of toothfish fisheries in Antarctica. In particular, tag-detection rates are directly linked to stock size estimated from the tag data in an integrated stock assessment. Previous attempts to assess the relative reliability of vessels in detecting tagged fish have been inconclusive due to low numbers of recaptures after controlling for spatial and temporal confounding. This paper presents a method that utilised most of the data while also controlling for spatial and temporal variables using a case-control study design, and uses this method to develop relative indices for detection rate performance for vessels involved in the Antarctic toothfish tagging in CCAMLR Subareas 88.1 and 88.2. The index derived provides evidence of significant differences in the relative performance of vessels in the Antarctic toothfish fishery in CCAMLR Subareas 88.1 and 88.2, as well as changes in the performance of some vessels over time. Further investigations show that these indices appear robust to the assumptions made, in particular the choice of the control group and the maximum distance between fishing events compared. The results suggest that the method can be useful for assessing the relative vessel tagging performance across all CCAMLR fisheries, and may potentially be developed as a more general method for comparing relative performance of spatially and temporally heterogeneous datasets.</t>
  </si>
  <si>
    <t>[Mormede, S.; Dunn, A.] Natl Inst Water &amp; Atmospher Res NIWA Ltd, Wellington 6241, New Zealand</t>
  </si>
  <si>
    <t>Mormede, S (corresponding author), Natl Inst Water &amp; Atmospher Res NIWA Ltd, Private Bag 14901, Wellington 6241, New Zealand.</t>
  </si>
  <si>
    <t>sophie.mormede@niwa.co.nz</t>
  </si>
  <si>
    <t>Mormede, Sophie/0000-0003-4668-2046</t>
  </si>
  <si>
    <t>New Zealand Ministry of Fisheries [ANT2011/01]</t>
  </si>
  <si>
    <t>New Zealand Ministry of Fisheries</t>
  </si>
  <si>
    <t>The authors would like to thank the scientific observers and fishers who collected the data used for this analysis. We would also like to thank the members of the New Zealand Antarctic Fisheries Stock Assessment Working Group for helpful discussions and input into this paper. We thank David Ramm and Eric Appleyard for providing the data extracts from the CCAMLR Secretariat and assisting in the interpretation of the data. This project was funded by the New Zealand Ministry of Fisheries under project ANT2011/01.</t>
  </si>
  <si>
    <t>WOS:000326924700005</t>
  </si>
  <si>
    <t>Kinzey, D; Watters, G; Reiss, CS</t>
  </si>
  <si>
    <t>Kinzey, D.; Watters, G.; Reiss, C. S.</t>
  </si>
  <si>
    <t>EFFECTS OF RECRUITMENT VARIABILITY AND NATURAL MORTALITY ON GENERALISED YIELD MODEL PROJECTIONS AND THE CCAMLR DECISION RULES FOR ANTARCTIC KRILL</t>
  </si>
  <si>
    <t>EUPHAUSIA-SUPERBA; POPULATION-DYNAMICS; MARINE ECOSYSTEM; SCOTIA SEA; PENINSULA; BIOMASS</t>
  </si>
  <si>
    <t>The generalised yield model (GYM) was used by CCAMLR to establish the precautionary catch limit for the Antarctic krill (Euphausia superba) fishery. The current precautionary catch limit was based on supplying the GYM with a natural mortality rate of 0.8 and recruitment variability generated using a Beta distribution for proportional recruitment of krill. In this study, krill sampling data for empirical size frequencies were supplied to the GYM as the 'vector of recruitments' input option to simulate the population dynamics of krill around the Antarctic Peninsula (Subarea 48.1) along with increasing rates of natural mortality. The annual proportions of krill less than 36 mm in length to the total captured in net samples in four sampling areas of the Peninsula were used as proxies for recruitment variability. The variability of proportional recruitment in the CCAMLR study areas was similar to the variability in other krill studies and in the annual size distributions of krill in penguin diets. Simulations with either no fishing, or with fishing at the trigger level (lowest catches), at approximately half the precautionary catch limit (intermediate), or at the precautionary catch limit (highest) were conducted. As the values for natural mortality, recruitment variability and catch were increased, fewer of the scenarios were able to meet the CCAMLR decision rules. The higher precautionary level of catch was not obtainable while meeting CCAMLR decision criteria for at least two of the four recruitment vectors based on net sampling, regardless of how the specified parameters for recruitment and mortality were combined. Any substantial future increases in krill harvests in Area 48 beyond the trigger level require verification that the krill recruitment variability, natural mortality, and other parameters specified in the scenarios used to test management criteria, adequately represent the range of plausible values encompassing krill population biology.</t>
  </si>
  <si>
    <t>[Kinzey, D.; Watters, G.; Reiss, C. S.] NOAA Natl Marine Fisheries Serv, Antarctic Ecosyst Res Div, Southwest Fisheries Sci Ctr, La Jolla, CA 92037 USA</t>
  </si>
  <si>
    <t>National Oceanic Atmospheric Admin (NOAA) - USA</t>
  </si>
  <si>
    <t>Kinzey, D (corresponding author), NOAA Natl Marine Fisheries Serv, Antarctic Ecosyst Res Div, Southwest Fisheries Sci Ctr, 8901 La Jolla Shores Dr, La Jolla, CA 92037 USA.</t>
  </si>
  <si>
    <t>doug.kinzey@noaa.gov</t>
  </si>
  <si>
    <t>NSF [OPP-9011927, OPP-9632763, OPP-0217282]</t>
  </si>
  <si>
    <t>NSF(National Science Foundation (NSF))</t>
  </si>
  <si>
    <t>We thank David Ramm of the CCAMLR Secretariat for providing the GYM data files used at WG-EMM-11, Tom Peatman of MRAG, UK, for discussion of recruitment modelling in the GYM and providing the data files used in Peatman et al., 2011, and an anonymous reviewer. Data on penguin diets from the Palmer LTER data archive were supported by Office of Polar Programs, NSF Grants OPP-9011927, OPP-9632763 and OPP-0217282.</t>
  </si>
  <si>
    <t>WOS:000326924700006</t>
  </si>
  <si>
    <t>Hill, SL; Matthews, J</t>
  </si>
  <si>
    <t>Hill, S. L.; Matthews, J.</t>
  </si>
  <si>
    <t>THE SENSITIVITY OF MULTIPLE OUTPUT STATISTICS TO INPUT PARAMETERS IN A KRILL-PREDATOR-FISHERY ECOSYSTEM DYNAMICS MODEL</t>
  </si>
  <si>
    <t>SCOTIA SEA; DECISION-MAKING; MANAGEMENT; UNCERTAINTY; COMPLEXITY; OPTIONS; REGION</t>
  </si>
  <si>
    <t>There is a global need to develop strategic frameworks for assessing uncertainty in ecosystem dynamics models. Such models have been used within CCAMLR to evaluate options for managing the Antarctic krill fishery in the Scotia Sea and southern Drake Passage. The model analysed here required 2 311 input values for each of four scenarios and produced 68 output statistics. Small perturbations to input values affected output statistics indicating the status of predator groups more than they affected statistics indicating the status of the target stock or the fishery. Output statistics were most sensitive to a parameter controlling predator recruitment through pre-recruit mortality. A parameter mediating the effect of a forcing function on krill recruitment, which was used to condition the model on past dynamics, was also important, and some of the parameter estimates resulting from conditioning were unstable. This highlights the tension between the parameter stability benefits of well-constrained models and the use of model conditioning to identify plausible alternative hypotheses in data-poor situations. Apparent sensitivity is a function of both input values and output statistics. Clearer specification of ecosystem-based management objectives would help to identify the important statistics for consideration when assessing uncertainty in ecosystem dynamics models.</t>
  </si>
  <si>
    <t>[Hill, S. L.; Matthews, J.] British Antarctic Survey, NERC, Cambridge CB3 0ET, England</t>
  </si>
  <si>
    <t>Hill, SL (corresponding author), British Antarctic Survey, NERC, High Cross,Madingley Rd, Cambridge CB3 0ET, England.</t>
  </si>
  <si>
    <t>sih@bas.ac.uk</t>
  </si>
  <si>
    <t>This paper is a contribution to the British Antarctic Survey's Natural Environment Research Council core-funded Ecosystems programme. We are grateful to George Watters and Jefferson Hinke for their work in developing and implementing the model. George also provided the map in Figure 1. We thank CCAMLR's WG-EMM and WG-SAM for their work in guiding and reviewing the modelling process, and Doug Kinzey and Jessica Melbourne-Thomas for helpful comments.</t>
  </si>
  <si>
    <t>WOS:000326924700007</t>
  </si>
  <si>
    <t>Hill, SL; Cannon, M</t>
  </si>
  <si>
    <t>Hill, S. L.; Cannon, M.</t>
  </si>
  <si>
    <t>A POTENTIAL FEEDBACK APPROACH TO ECOSYSTEM-BASED MANAGEMENT: MODEL PREDICTIVE CONTROL OF THE ANTARCTIC KRILL FISHERY</t>
  </si>
  <si>
    <t>MANAGING FISHERIES; IMPACTS; CONSERVATION; UNCERTAINTY; PREDATORS; STABILITY; OPTIONS; FOOD</t>
  </si>
  <si>
    <t>CCAMLR aims to develop a feedback approach to aid ecosystem-based management (EBM) of Antarctic krill fisheries. It is important to assess whether a feedback approach is likely to achieve the multiple objectives that EBM implies in the complex and uncertain conditions typical of Antarctic marine ecosystems. This study used Model Predictive Control (MPC) to achieve objectives for a harvested species, its predators and the fishery, in a simulation model that incorporates uncertainty and spatial and trophic complexity. The approach adjusted spatially resolved annual catch limits in response to estimates of the state of the system. It suggests that feedback management is both feasible and a more effective way to achieve multiple objectives than fixed catch limits, which are currently used to manage Antarctic krill fisheries. The study demonstrates that optimisation-based approaches such as MPC are computationally capable of dealing with EBM-type problems. They are also useful for assessing the feasibility of candidate management policies or objectives, and characterising the trade-offs that they imply. This study characterises the trade-off between catch levels and the risk of harvested species biomass falling to unacceptable levels.</t>
  </si>
  <si>
    <t>[Hill, S. L.] British Antarctic Survey, NERC, Cambridge CB3 0ET, England; [Cannon, M.] Univ Oxford, Dept Engn Sci, Oxford OX1 3PJ, England</t>
  </si>
  <si>
    <t>UK Research &amp; Innovation (UKRI); Natural Environment Research Council (NERC); NERC British Antarctic Survey; University of Oxford</t>
  </si>
  <si>
    <t>Cannon, Mark R/B-5530-2008; Simeon, Hill L/B-2307-2008</t>
  </si>
  <si>
    <t>Cannon, Mark R/0000-0003-2189-7876;</t>
  </si>
  <si>
    <t>This paper is a contribution to the British Antarctic Survey's Natural Environment Research Council core-funded Ecosystems Programme.</t>
  </si>
  <si>
    <t>WOS:000326924700008</t>
  </si>
  <si>
    <t>Trathan, PN; Grant, SM; Siegel, V; Kock, KH</t>
  </si>
  <si>
    <t>Trathan, P. N.; Grant, S. M.; Siegel, V.; Kock, K. -H.</t>
  </si>
  <si>
    <t>PRECAUTIONARY SPATIAL PROTECTION TO FACILITATE THE SCIENTIFIC STUDY OF HABITATS AND COMMUNITIES UNDER ICE SHELVES IN THE CONTEXT OF RECENT, RAPID, REGIONAL CLIMATE CHANGE</t>
  </si>
  <si>
    <t>SOUTHERN-OCEAN; ANTARCTIC PENINSULA; BREAK-UP; VULNERABILITY; RESILIENCE; RETREAT</t>
  </si>
  <si>
    <t>Recent rapid climate change is now well documented in the Antarctic, particularly in the Antarctic Peninsula region. One of the most evident signs of climate change has been ice-shelf collapse; overall, 87% of the Peninsula's glaciers have retreated in recent decades. Further ice-shelf collapse will lead to the loss of existing marine habitats and to the creation of new habitats, with consequent changes in both ecological processes and in community structure. Habitats revealed by collapsed ice shelves therefore offer unique scientific opportunities. Given the complexity of the possible interactions, and the need to study these in the absence of any other human-induced perturbation, this paper highlights why commercial fishing activities should not be permitted in these habitats, and suggests that areas under existing ice shelves in Subareas 88.3, 48.1 and 48.5 should be preserved and protected for scientific study. The boundaries of these areas should henceforth remain fixed, even if the ice shelves recede or collapse in the future. Designation of areas under ice shelves as areas for scientific study would fulfil one of the recommendations made by the Antarctic Treaty Meeting of Experts in 2010.</t>
  </si>
  <si>
    <t>[Trathan, P. N.; Grant, S. M.] British Antarctic Survey, NERC, Cambridge CB3 0ET, England; [Siegel, V.; Kock, K. -H.] Inst Sea Fisheries, D-22767 Hamburg, Germany</t>
  </si>
  <si>
    <t>Trathan, PN (corresponding author), British Antarctic Survey, NERC, High Cross,Madingley Rd, Cambridge CB3 0ET, England.</t>
  </si>
  <si>
    <t>pnt@bas.ac.uk</t>
  </si>
  <si>
    <t>Natural Environment Research Council [bas0100025] Funding Source: researchfish</t>
  </si>
  <si>
    <t>Natural Environment Research Council(UK Research &amp; Innovation (UKRI)Natural Environment Research Council (NERC))</t>
  </si>
  <si>
    <t>WOS:000326924700009</t>
  </si>
  <si>
    <t>Mbatha, N; Sivakumar, V; Bencherif, H; Malinga, S</t>
  </si>
  <si>
    <t>Mbatha, N.; Sivakumar, V.; Bencherif, H.; Malinga, S.</t>
  </si>
  <si>
    <t>Extracting gravity wave parameters during the September 2002 Southern Hemisphere major sudden stratospheric warming using a SANAE imaging riometer</t>
  </si>
  <si>
    <t>ANNALES GEOPHYSICAE</t>
  </si>
  <si>
    <t>Meteorology and atmospheric dynamics; middle atmosphere dynamics</t>
  </si>
  <si>
    <t>MESOSPHERE-LOWER THERMOSPHERE; COSMIC NOISE; ABSORPTION; ANTARCTICA; SATELLITE; SUPERDARN; DYNAMICS; EVENTS; SYSTEM</t>
  </si>
  <si>
    <t>Using absorption data measured by imaging riometer for ionospheric studies (IRIS) located at the South Africa National Antarctic Expedition (SANAE), Antarctica (72 degrees S, 3 degrees W), we extracted the parameters of gravity waves (GW) of periods between 40 and 50 min during late winter/spring of the year 2002, a period of the unprecedented major sudden stratospheric warming (SSW) in the Southern Hemisphere middle atmosphere. During this period, an unprecedented substantial increase of temperature by about 25-30K throughout the stratosphere was observed. During the period of the occurrence of the major stratospheric warming, there was a reduction of both the GW horizontal phase speeds and the horizontal wavelengths at 90 km. The GW phase speeds and horizontal wavelengths were observed to reach minimum values of about 7 m s(-1) and 19 km, respectively, while during the quiet period the average value of the phase speed and horizontal wavelength was approximately 23 m s(-1) and 62 km, respectively. The observed event is discussed in terms of momentum flux and also a potential interaction of gravity waves, planetary waves and mean circulation.</t>
  </si>
  <si>
    <t>[Mbatha, N.; Malinga, S.] South African Natl Space Agcy, POB 32, ZA-7200 Hermanus, South Africa; [Mbatha, N.; Sivakumar, V.] Univ KwaZulu Natal, Sch Chem &amp; Phys, ZA-4000 Durban, South Africa; [Bencherif, H.] Univ La Reunion, CNRS, UMR 8105, Lab Atmosphere &amp; Cyclones, St Denis 97715 9, Reunion, France</t>
  </si>
  <si>
    <t>University of Kwazulu Natal; University of La Reunion; Centre National de la Recherche Scientifique (CNRS)</t>
  </si>
  <si>
    <t>Mbatha, N (corresponding author), South African Natl Space Agcy, POB 32, ZA-7200 Hermanus, South Africa.</t>
  </si>
  <si>
    <t>nmbatha@sansa.org.za</t>
  </si>
  <si>
    <t>Sivakumar, V/B-4570-2009</t>
  </si>
  <si>
    <t>Sivakumar, V/0000-0003-2462-681X</t>
  </si>
  <si>
    <t>National Research Foundation (NRF) of South Africa; South African Antarctica Programme (SANAP); French Embassy; CNRS</t>
  </si>
  <si>
    <t>National Research Foundation (NRF) of South Africa(National Research Foundation - South Africa); South African Antarctica Programme (SANAP); French Embassy; CNRS(Centre National de la Recherche Scientifique (CNRS))</t>
  </si>
  <si>
    <t>This work has been supported by the National Research Foundation (NRF) of South Africa, the South African Antarctica Programme (SANAP), the French Embassy and CNRS. The authors wish to acknowledge the United Kingdom Meteorological Office (UKMO) and Data Access and Browsing System (DABS) for providing data. We would also like to acknowledge with thanks P. H. Stoker, A. Wilson and P. Cilliers for helping with the SANAE imaging riometer data.</t>
  </si>
  <si>
    <t>0992-7689</t>
  </si>
  <si>
    <t>1432-0576</t>
  </si>
  <si>
    <t>ANN GEOPHYS-GERMANY</t>
  </si>
  <si>
    <t>10.5194/angeo-31-1709-2013</t>
  </si>
  <si>
    <t>Astronomy &amp; Astrophysics; Geosciences, Multidisciplinary; Meteorology &amp; Atmospheric Sciences</t>
  </si>
  <si>
    <t>Astronomy &amp; Astrophysics; Geology; Meteorology &amp; Atmospheric Sciences</t>
  </si>
  <si>
    <t>246OP</t>
  </si>
  <si>
    <t>WOS:000326548600010</t>
  </si>
  <si>
    <t>Xu, J; Powell, AM; Zhao, L</t>
  </si>
  <si>
    <t>Xu, J.; Powell, A. M., Jr.; Zhao, L.</t>
  </si>
  <si>
    <t>Intercomparison of temperature trends in IPCC CMIP5 simulations with observations, reanalyses and CMIP3 models</t>
  </si>
  <si>
    <t>GEOSCIENTIFIC MODEL DEVELOPMENT</t>
  </si>
  <si>
    <t>RADIOSONDE; UNCERTAINTY; SATELLITE</t>
  </si>
  <si>
    <t>On the basis of the fifth Coupled Model Intercomparison Project (CMIP5) and the climate model simulations covering 1979 through 2005, the temperature trends and their uncertainties have been examined to note the similarities or differences compared to the radiosonde observations, reanalyses and the third Coupled Model Intercomparison Project (CMIP3) simulations. The results show noticeable discrepancies for the estimated temperature trends in the four data groups (radiosonde, reanalysis, CMIP3 and CMIP5), although similarities can be observed. Compared to the CMIP3 model simulations, the simulations in some of the CMIP5 models were improved. The CMIP5 models displayed a negative temperature trend in the stratosphere closer to the strong negative trend seen in the observations. However, the positive tropospheric trend in the tropics is overestimated by the CMIP5 models relative to CMIP3 models. While some of the models produce temperature trend patterns more highly correlated with the observed patterns in CMIP5, the other models (such as CCSM4 and IPSL_CM5A-LR) exhibit the reverse tendency. The CMIP5 temperature trend uncertainty was significantly reduced in most areas, especially in the Arctic and Antarctic stratosphere, compared to the CMIP3 simulations. Similar to the CMIP3, the CMIP5 simulations overestimated the tropospheric warming in the tropics and Southern Hemisphere and underestimated the stratospheric cooling. The crossover point where tropospheric warming changes into stratospheric cooling occurred near 100 hPa in the tropics, which is higher than in the radiosonde and reanalysis data. The result is likely related to the overestimation of convective activity over the tropical areas in both the CMIP3 and CMIP5 models. Generally, for the temperature trend estimates associated with the numerical models including the reanalyses and global climate models, the uncertainty in the stratosphere is much larger than that in the troposphere, and the uncertainty in the Antarctic is the largest. In addition, note that the reanalyses show the largest uncertainty in the lower tropical stratosphere, and the CMIP3 simulations show the largest uncertainty in both the south and north polar regions.</t>
  </si>
  <si>
    <t>[Xu, J.; Zhao, L.] George Mason Univ, Coll Sci, Environm Sci &amp; Technol Ctr, Fairfax, VA 22030 USA; [Powell, A. M., Jr.] NOAA NESDIS STAR, Camp Springs, MD USA; [Zhao, L.] Nanjing Univ Informat Sci &amp; Technol, Nanjing, Jiangsu, Peoples R China</t>
  </si>
  <si>
    <t>George Mason University; National Oceanic Atmospheric Admin (NOAA) - USA; Nanjing University of Information Science &amp; Technology</t>
  </si>
  <si>
    <t>Xu, J (corresponding author), George Mason Univ, Coll Sci, Environm Sci &amp; Technol Ctr, Fairfax, VA 22030 USA.</t>
  </si>
  <si>
    <t>jxu14@gmu.edu; al.powell@noaa.gov</t>
  </si>
  <si>
    <t>Xu, Jianjun/E-7941-2011; Powell, Alfred/G-4059-2010</t>
  </si>
  <si>
    <t>Powell, Alfred/0000-0002-9289-8369</t>
  </si>
  <si>
    <t>National Oceanic and Atmospheric Administration (NOAA), National Environmental Satellite, Data, and Information Service (NESDIS), Center for Satellite Applications and Research (STAR)</t>
  </si>
  <si>
    <t>This work was supported by the National Oceanic and Atmospheric Administration (NOAA), National Environmental Satellite, Data, and Information Service (NESDIS), Center for Satellite Applications and Research (STAR). The views, opinions, and findings contained in this publication are those of the authors and should not be considered an official NOAA or US Government position, policy, or decision.</t>
  </si>
  <si>
    <t>1991-959X</t>
  </si>
  <si>
    <t>1991-9603</t>
  </si>
  <si>
    <t>GEOSCI MODEL DEV</t>
  </si>
  <si>
    <t>Geosci. Model Dev.</t>
  </si>
  <si>
    <t>10.5194/gmd-6-1705-2013</t>
  </si>
  <si>
    <t>247FK</t>
  </si>
  <si>
    <t>WOS:000326601300020</t>
  </si>
  <si>
    <t>Karanovic, T; Eberhard, SM; Perina, G; Callan, S</t>
  </si>
  <si>
    <t>Karanovic, Tomislav; Eberhard, Stefan M.; Perina, Giulia; Callan, Shae</t>
  </si>
  <si>
    <t>Two new subterranean ameirids (Crustacea : Copepoda : Harpacticoida) expose weaknesses in the conservation of short-range endemics threatened by mining developments in Western Australia</t>
  </si>
  <si>
    <t>INVERTEBRATE SYSTEMATICS</t>
  </si>
  <si>
    <t>Ameiridae; cladistics; conservation management; endemism; groundwater; micro-characters; stygofauna; taxonomy</t>
  </si>
  <si>
    <t>MITOCHONDRIAL-DNA PHYLOGEOGRAPHY; BEETLES COLEOPTERA; GROUNDWATER FAUNA; YILGARN REGION; PILBARA REGION; ARID ZONE; GENUS; CAVE; DYTISCIDAE; BOECK</t>
  </si>
  <si>
    <t>The discovery of two new non-marine ameirids from the southern Yilgarn region significantly extends the geographic range for this group in Australia and exposes weaknesses in the conservation and environmental impact assessment (EIA) of subterranean species potentially threatened by mining developments. Megastygonitocrella embe, sp. nov. differs from seven previously described Australian congeners by the armature of the second leg endopod and absence of spinules on the somites. A key to world species of Megastygonitocrella is presented. Phylogenetic analysis based on 57 morphological characters and 30 species belonging to the Stygonitocrella s.l. group suggests that Antistygonitocrella pardalotos, gen. et sp. nov. has no close relatives anywhere in the world. Superficial similarities between the two new species are either plesiomorphies or homoplasies. The habitats of these new short-range endemic species are fractured-rock aquifers developed in Archaean greenstone, where the groundwater is characterised by acid conditions, high salinity and low dissolved oxygen. The population of A. pardalotos is threatened by a mining development. Despite the advanced level of environmental protection policy in Western Australia, our taxonomic study highlights limitations in EIA practices and discusses potential improvements which have global relevance in regions where short-range endemics coincide with extraction of mineral resources.</t>
  </si>
  <si>
    <t>[Karanovic, Tomislav] Hanyang Univ, Dept Life Sci, Seoul 133791, South Korea; [Karanovic, Tomislav] Univ Tasmania, Inst Marine &amp; Antarctic Studies, Hobart, Tas 7001, Australia; [Eberhard, Stefan M.; Perina, Giulia; Callan, Shae] Subterranean Ecol, Sci Environm Serv, Stirling, WA 6021, Australia</t>
  </si>
  <si>
    <t>Hanyang University; University of Tasmania</t>
  </si>
  <si>
    <t>Karanovic, T (corresponding author), Hanyang Univ, Dept Life Sci, Seoul 133791, South Korea.</t>
  </si>
  <si>
    <t>tomislav.karanovic@utas.edu.au; stefan@subterraneanecology.com.au</t>
  </si>
  <si>
    <t>Subterranean Ecology Pty Ltd; National Institute of Biological Resources, Korea</t>
  </si>
  <si>
    <t>This taxonomic work was financially supported by Subterranean Ecology Pty Ltd, and a grant from the National Institute of Biological Resources, Korea. Hanyang University kindly provided facilities to the senior author during the preparation of this paper at its Seoul Campus, Korea. Subterranean Ecology Pty Ltd thanks Rockwater Pty Ltd and Western Areas NL for the opportunity to examine this interesting material.</t>
  </si>
  <si>
    <t>CSIRO PUBLISHING</t>
  </si>
  <si>
    <t>CLAYTON</t>
  </si>
  <si>
    <t>UNIPARK, BLDG 1, LEVEL 1, 195 WELLINGTON RD, LOCKED BAG 10, CLAYTON, VIC 3168, AUSTRALIA</t>
  </si>
  <si>
    <t>1445-5226</t>
  </si>
  <si>
    <t>1447-2600</t>
  </si>
  <si>
    <t>INVERTEBR SYST</t>
  </si>
  <si>
    <t>Invertebr. Syst.</t>
  </si>
  <si>
    <t>10.1071/IS12084</t>
  </si>
  <si>
    <t>Evolutionary Biology; Zoology</t>
  </si>
  <si>
    <t>243QE</t>
  </si>
  <si>
    <t>WOS:000326331100005</t>
  </si>
  <si>
    <t>Davidson, JL; van Putten, IE; Leith, P; Nursey-Bray, M; Madin, EM; Holbrook, NJ</t>
  </si>
  <si>
    <t>Davidson, Julie L.; van Putten, Ingrid E.; Leith, Peat; Nursey-Bray, Melissa; Madin, Elizabeth M.; Holbrook, Neil J.</t>
  </si>
  <si>
    <t>Toward Operationalizing Resilience Concepts in Australian Marine Sectors Coping with Climate Change</t>
  </si>
  <si>
    <t>ECOLOGY AND SOCIETY</t>
  </si>
  <si>
    <t>Australia; climate change impacts; marine sector; resilience assessment; resilience indicator</t>
  </si>
  <si>
    <t>SOCIAL-ECOLOGICAL SYSTEMS; CORAL-REEFS; REGIME SHIFTS; OCEAN; VULNERABILITY; BIODIVERSITY; MANAGEMENT; UNCERTAINTY; ECOSYSTEMS; GOVERNANCE</t>
  </si>
  <si>
    <t>We seek to contribute to the scholarship on operationalizing resilience concepts via a working resilience indicator framework. Although it requires further refinement, this practical framework provides a useful baseline for generating awareness and understanding of the complexity and diversity of variables that impinge on resilience. It has potential value for the evaluation, benchmarking, monitoring, and reporting of marine system resilience. The necessity for such a framework is a consequence of the levels of complexity and uncertainty associated with climate change and other global change stressors in marine social-ecological systems, and the problems involved in assessing their resilience. There is a need for: (1) methodologies that bring together knowledge from diverse sources and disciplines to investigate the complexity and uncertainty of interactions between climate, ocean, and human systems and (2) frameworks to facilitate the evaluation and monitoring of the social-ecological resilience of marine-dependent sectors. Accordingly, our main objective is to demonstrate the virtues of combining a case study methodology with complex adaptive systems approaches as a means to improve understanding of the multifaceted dynamics of marine sectors experiencing climate change. The resilience indicator framework, the main product of the methodology, is developed using four case studies across key Australian marine biodiversity and resource sectors already experiencing impacts from climate and other global changes. It comprises a set of resilience dimensions with a candidate set of abstract and concrete resilience indicators. Its design ensures an integrated approach to resilience evaluation.</t>
  </si>
  <si>
    <t>[Davidson, Julie L.] Univ Tasmania, Sch Geog &amp; Environm Studies, Hobart, Tas 7001, Australia; [Davidson, Julie L.; van Putten, Ingrid E.; Nursey-Bray, Melissa; Holbrook, Neil J.] Univ Tasmania, Australias Climate Change Adaptat Res Network Mar, Hobart, Tas 7001, Australia; [Davidson, Julie L.; Holbrook, Neil J.] Univ Tasmania, Inst Marine &amp; Antarctic Studies, Hobart, Tas 7001, Australia; [van Putten, Ingrid E.] Univ Tasmania, CSIRO Wealth Oceans Natl Res Flagship, CSIRO Marine &amp; Atmospher Res, Hobart, Tas 7001, Australia; [Leith, Peat] Univ Tasmania, Tasmanian Inst Agr, Hobart, Tas 7001, Australia; [Nursey-Bray, Melissa] Univ Adelaide, Discipline Geog Environm &amp; Populat, Adelaide, SA 5005, Australia; [Madin, Elizabeth M.] Univ Technol Sydney, Dept Environm Sci, Sydney, NSW 2007, Australia; [Madin, Elizabeth M.] Macquarie Univ, Dept Biol Sci, N Ryde, NSW 2109, Australia</t>
  </si>
  <si>
    <t>University of Tasmania; University of Tasmania; University of Tasmania; Commonwealth Scientific &amp; Industrial Research Organisation (CSIRO); University of Tasmania; University of Tasmania; University of Adelaide; University of Technology Sydney; Macquarie University</t>
  </si>
  <si>
    <t>Davidson, JL (corresponding author), Univ Tasmania, Sch Geog &amp; Environm Studies, Hobart, Tas 7001, Australia.</t>
  </si>
  <si>
    <t>McLean, Laurence JA/C-7367-2014; Leith, Peat/ABB-2829-2021; Nursey-Bray, Melissa/J-8183-2019; van putten, ingrid/AAV-1301-2021; Holbrook, Neil/M-7544-2013</t>
  </si>
  <si>
    <t>van putten, ingrid/0000-0001-8397-9768; Holbrook, Neil/0000-0002-3523-6254; Nursey-Bray, Melissa/0000-0002-4121-5177</t>
  </si>
  <si>
    <t>Australia's Climate Change Adaptation Research Network for Marine Biodiversity and Resources; Office Of The Director; Office Of Internatl Science &amp;Engineering [0853117] Funding Source: National Science Foundation</t>
  </si>
  <si>
    <t>Australia's Climate Change Adaptation Research Network for Marine Biodiversity and Resources; Office Of The Director; Office Of Internatl Science &amp;Engineering(National Science Foundation (NSF)NSF - Office of the Director (OD))</t>
  </si>
  <si>
    <t>The authors wish to express their sincere gratitude for the constructive feedback of two reviewers, whose comments and input have contributed in a substantial way to the refinement and ultimate quality of the paper. We also thank the journal editors for their helpful direction and productive input. We gratefully acknowledge support from Australia's Climate Change Adaptation Research Network for Marine Biodiversity and Resources.</t>
  </si>
  <si>
    <t>RESILIENCE ALLIANCE</t>
  </si>
  <si>
    <t>WOLFVILLE</t>
  </si>
  <si>
    <t>ACADIA UNIV, BIOLOGY DEPT, WOLFVILLE, NS B0P 1X0, CANADA</t>
  </si>
  <si>
    <t>1708-3087</t>
  </si>
  <si>
    <t>ECOL SOC</t>
  </si>
  <si>
    <t>Ecol. Soc.</t>
  </si>
  <si>
    <t>10.5751/ES-05607-180304</t>
  </si>
  <si>
    <t>Ecology; Environmental Studies</t>
  </si>
  <si>
    <t>232VA</t>
  </si>
  <si>
    <t>WOS:000325521300021</t>
  </si>
  <si>
    <t>Casaux, R; Barrera-Oro, E</t>
  </si>
  <si>
    <t>Casaux, Ricardo; Barrera-Oro, Esteban</t>
  </si>
  <si>
    <t>Dietary overlap in inshore notothenioid fish from the Danco Coast, western Antarctic Peninsula</t>
  </si>
  <si>
    <t>Fish dietary overlap; notothenioid fish; Antarctic Peninsula</t>
  </si>
  <si>
    <t>SOUTH SHETLAND ISLANDS; TERRA-NOVA BAY; FEEDING ECOLOGY; POTTER COVE; FOOD</t>
  </si>
  <si>
    <t>We carried out a dietary overlap analysis between notothenioid species by examining the stomach contents of more than 900 specimens collected in a fish assemblage at the Danco Coast, western Antarctic Peninsula, in the summer of 2000. Prey reoccurrences among fish species were 32.2%, with krill Euphausia superba, salps and the gammaridean Prostebeingia longicornis the most reoccurring prey. The diet similarity between species pairs was lower than 55%, in accordance with similar fish assemblages in the South Orkney Islands, the South Shetland Islands and the Antarctic Peninsula. Whereas at those localities the higher prey overlap was between krill-feeding fish species, at the Danco Coast it was between Trematomus bernacchii and Lepidonotothen nudifrons, Notothenia coriiceps and Notothenia rossii, Notothenia coriiceps and Parachaenichthyis charcoti, and Trematomus newnesi and Notothenia rossii, which shared primarily gammaridean amphipods, algae, fish and krill, respectively. Krill is normally the main prey of fish in summer in inshore waters of the western Antarctic Peninsula, but its density in January/February 2000 was notably lower than in previous years. Therefore, at the Danco Coast, under conditions of krill shortage, most of the notothenioid species foraged more intensively on alternative prey, such as gammarideans, fish and algae. The difference between areas in the pattern of dietary overlap might be related to differences in prey availability between years and to the degree of competition for targeted prey.</t>
  </si>
  <si>
    <t>[Casaux, Ricardo; Barrera-Oro, Esteban] Inst Antartico Argentino, RA-1010 Buenos Aires, DF, Argentina; [Casaux, Ricardo; Barrera-Oro, Esteban] Consejo Nacl Invest Cient &amp; Tecn, RA-1033 Buenos Aires, DF, Argentina</t>
  </si>
  <si>
    <t>Instituto Antartico Argentino; Consejo Nacional de Investigaciones Cientificas y Tecnicas (CONICET)</t>
  </si>
  <si>
    <t>Casaux, R (corresponding author), Lab Invest Ecol &amp; Sistemat Anim, Ruta 259 Km 5, RA-9200 Esquel, Chubut, Argentina.</t>
  </si>
  <si>
    <t>pipocasaux@infovia.com.ar</t>
  </si>
  <si>
    <t>10.3402/polar.v32i0.21319</t>
  </si>
  <si>
    <t>237TD</t>
  </si>
  <si>
    <t>WOS:000325892900001</t>
  </si>
  <si>
    <t>Diaz, SB; Paladini, AA; Deferrari, GA; Vrsalovic, J</t>
  </si>
  <si>
    <t>Hadjimitsis, DG; Themistocleous, K; Michaelides, S; Papadavid, G</t>
  </si>
  <si>
    <t>Diaz, S. B.; Paladini, A. A.; Deferrari, G. A.; Vrsalovic, J.</t>
  </si>
  <si>
    <t>Evolution of ozone depletion on Antarctic and Sub-Antarctic regions (1979-2012)</t>
  </si>
  <si>
    <t>FIRST INTERNATIONAL CONFERENCE ON REMOTE SENSING AND GEOINFORMATION OF THE ENVIRONMENT (RSCY2013)</t>
  </si>
  <si>
    <t>1st International Conference on Remote Sensing and Geoinformation of the Environment (RSCy)</t>
  </si>
  <si>
    <t>APR 08-10, 2013</t>
  </si>
  <si>
    <t>Paphos, CYPRUS</t>
  </si>
  <si>
    <t>Ozone Depletion; Antarctica; Ozone Hole; Stratospheric Ozone</t>
  </si>
  <si>
    <t>At the middle eighties, strong stratospheric ozone depletion during spring was discovered over Antarctica. Since then, the scientific community has put large efforts in performing studies directed to evaluate the magnitude and consequences of this depletion and to take the necessary measures to revert the situation to the scenarios before 1970. In 1987, the Montreal Protocol established a list of ozone depleting products and faced out policies. As consequence of these restrictions on ozone depleting substances, the ozone layer should start to recover in the 21st century. In order to study the evolution of the Antarctic ozone depletion, we analyzed the ozone hole area and mass deficit and seasonal total ozone column (TOC) minimum. We also performed a seasonal and bi-monthly analysis for TOC time series (1979-2012), at twenty Antarctic and Sub-Antarctic stations. The number of days inside the vortex (TOC below 220DU) per season (September-December) and for September-October and November-December were analyzed, fitting the time series with a second degree polynomial According to this study, ozone hole area would have peaked between 2001 and 2002 (R=0.91, p&lt;0.01), while the minimum TOC would have occurred between 2000 and 2001(R=0.91, p&lt;0.01). Mass deficit is only provided since 2005 and it showed a decrease since then, although ot statistically significant as consequence of the short time series. From the 20 analyzed stations, 80% showed that the number of days per season inside the vortex peaked between 2000 and 2003 and for 55% of the stations the number of days inside the vortex for September-October peaked between 1999 and 2004.</t>
  </si>
  <si>
    <t>[Diaz, S. B.] INGEBI CADIC CONICET, RA-1428 Buenos Aires, DF, Argentina</t>
  </si>
  <si>
    <t>Diaz, SB (corresponding author), INGEBI CADIC CONICET, Vuelta Obligado 2490, RA-1428 Buenos Aires, DF, Argentina.</t>
  </si>
  <si>
    <t>diazsusanab@gmail.com</t>
  </si>
  <si>
    <t>978-0-8194-9638-6</t>
  </si>
  <si>
    <t>87950E</t>
  </si>
  <si>
    <t>10.1117/12.2027546</t>
  </si>
  <si>
    <t>Remote Sensing; Optics</t>
  </si>
  <si>
    <t>BHI03</t>
  </si>
  <si>
    <t>WOS:000325475000014</t>
  </si>
  <si>
    <t>Thomas, R; Scheuchl, B; Frederick, E; Harpold, R; Martin, C; Rignot, E</t>
  </si>
  <si>
    <t>Thomas, R.; Scheuchl, B.; Frederick, E.; Harpold, R.; Martin, C.; Rignot, E.</t>
  </si>
  <si>
    <t>Continued slowing of the Ross Ice Shelf and thickening of West Antarctic ice streams</t>
  </si>
  <si>
    <t>VARIABILITY; MILLENNIUM; STAGNATION; RADAR; SHEET; FLOW</t>
  </si>
  <si>
    <t>As part of the Ross Ice Shelf Geophysical and Glaciological Survey (RIGGS), ice velocities were measured on the Ross Ice Shelf (RIS) during 1973-78. Comparisons of these with velocity estimates at the same locations derived from RADARSAT synthetic aperture radar (SAR) measurements in 1997 and 2009 show velocity reduction in the southeast quadrant of the ice shelf by almost 200 m a(-1), with deceleration rates increasing with time. Large areas of ice shelf in this region are lightly grounded, forming an 'ice plain' that increases local buttressing of the ice streams. ICESat measurements show this ice plain to be thickening. The observed decrease in ice-shelf velocities implies a total reduction in the mass of ice flowing into the RIS from the West Antarctic ice sheet (WAIS) by similar to 23 Gt a(-1), shifting the mass balance of the WAIS drainage basin from strongly negative in the 1970s to strongly positive in 2009. The resulting decrease in ice advection should lead to ice-shelf thinning further seaward of the ice plain. This thinning would reduce the lateral drag and back-stress of the shelf ice, further contributing to thinning through an increase in spreading rate. ICESat measurements show recent thinning of most of the freely floating ice shelf.</t>
  </si>
  <si>
    <t>[Thomas, R.; Frederick, E.; Harpold, R.; Martin, C.] Sigma Space Inc, NASA, Wallops Flight Ctr, Wallops Isl, VA USA; [Scheuchl, B.; Rignot, E.] Univ Calif Irvine, Dept Earth Syst Sci, Irvine, CA USA; [Rignot, E.] CALTECH, Jet Prop Lab, Pasadena, CA USA</t>
  </si>
  <si>
    <t>National Aeronautics &amp; Space Administration (NASA); NASA Goddard Space Flight Center; Wallops Flight Facility; University of California System; University of California Irvine; National Aeronautics &amp; Space Administration (NASA); NASA Jet Propulsion Laboratory (JPL); California Institute of Technology</t>
  </si>
  <si>
    <t>Thomas, R (corresponding author), Sigma Space Inc, NASA, Wallops Flight Ctr, Wallops Isl, VA USA.</t>
  </si>
  <si>
    <t>robert_thomas@hotmail.com</t>
  </si>
  <si>
    <t>Rignot, Eric/A-4560-2014</t>
  </si>
  <si>
    <t>Rignot, Eric/0000-0002-3366-0481</t>
  </si>
  <si>
    <t>NASA's Cryospheric Research Program; NASA's MEaSUREs (Making Earth Science Data Records for Use in Research Environments) program</t>
  </si>
  <si>
    <t>We thank C. Bentley for helping us to track down some of the RIGGS results, two reviewers and particularly the Scientific Editor, Ted Scambos, for suggesting improvements to the paper, and NASA's Cryospheric Research Program for funding support. The generation of InSAR-based ice velocity and grounding line was supported by NASA's MEaSUREs (Making Earth Science Data Records for Use in Research Environments) program.</t>
  </si>
  <si>
    <t>10.3189/2013JoG12J122</t>
  </si>
  <si>
    <t>231AK</t>
  </si>
  <si>
    <t>WOS:000325385200003</t>
  </si>
  <si>
    <t>Hughes, KG; Langhorne, PJ; Williams, MJM</t>
  </si>
  <si>
    <t>Hughes, Kenneth G.; Langhorne, Pat J.; Williams, Michael J. M.</t>
  </si>
  <si>
    <t>Estimates of the refreezing rate in an ice-shelf borehole</t>
  </si>
  <si>
    <t>MCMURDO SOUND; ROSS; CONVECTION; BENEATH; GROWTH; FLOW</t>
  </si>
  <si>
    <t>The refreezing rate of a borehole drilled through a 252 m thick region of the Ross Ice Shelf, Antarctica, is determined using oceanographic measurements over two periods of a day. We first use a method based on the conservation of salt in the supercooled salt water of the borehole. This is compared to a model using a numerical solution of the heat equation to find the temperature distribution in the host ice, allowing ice growth to be calculated from the balance of heat fluxes at the ice/water interface. This second method broadly confirms the refreezing rates deduced from salinity measurements, giving confidence in the generalization of this simple heat-flux model to predict refreezing rates of other boreholes. Predictions from both are subject to uncertainty due to the poorly defined value of the solid fraction of ice that freezes in a supercooled volume of sea water. This is taken to be 0.5 +/- 0.1 throughout this study. The predicted rates are also strongly dependent on the initial and boundary conditions chosen, but results show the initial diameter of 600 mm decreases at a rate of similar to 3-5 mm h(-1) in an ice shelf with a minimum temperature of -22 degrees C.</t>
  </si>
  <si>
    <t>[Hughes, Kenneth G.; Langhorne, Pat J.] Univ Otago, Dept Phys, Dunedin, New Zealand; [Williams, Michael J. M.] Natl Inst Water &amp; Atmospher Res Ltd NIWA, Wellington, New Zealand</t>
  </si>
  <si>
    <t>University of Otago; National Institute of Water &amp; Atmospheric Research (NIWA) - New Zealand</t>
  </si>
  <si>
    <t>Hughes, KG (corresponding author), Univ Otago, Dept Phys, Dunedin, New Zealand.</t>
  </si>
  <si>
    <t>kenneth.hughes@otago.ac.nz</t>
  </si>
  <si>
    <t>Williams, Michael/H-9674-2014; Langhorne, Pat/C-3539-2018</t>
  </si>
  <si>
    <t>Langhorne, Pat/0000-0003-0239-7657; Hughes, Kenneth/0000-0001-5066-3310</t>
  </si>
  <si>
    <t>New Zealand Ministry of Business, Innovation, and Employment [C05X1001]; NIWA core funding under the National Climate Centre Research Programme 2; University of Otago Research Grant; New Zealand Ministry of Business, Innovation &amp; Employment (MBIE) [C05X1001] Funding Source: New Zealand Ministry of Business, Innovation &amp; Employment (MBIE); Office of Polar Programs (OPP); Directorate For Geosciences [0839108] Funding Source: National Science Foundation</t>
  </si>
  <si>
    <t>New Zealand Ministry of Business, Innovation, and Employment(New Zealand Ministry of Business, Innovation and Employment (MBIE)); NIWA core funding under the National Climate Centre Research Programme 2; University of Otago Research Grant; New Zealand Ministry of Business, Innovation &amp; Employment (MBIE)(New Zealand Ministry of Business, Innovation and Employment (MBIE)); Office of Polar Programs (OPP); Directorate For Geosciences(National Science Foundation (NSF)NSF - Directorate for Geosciences (GEO))</t>
  </si>
  <si>
    <t>We are grateful to the ANDRILL team at Coulman High for making and maintaining the boreholes and assistance with data collection. We particularly thank Tamsin Falconer for providing the hot-water drilling records, Craig Stewart for measuring heights in the ice shelf, Craig Stevens and the three anonymous reviewers for comments on this paper, and Angelika Humbert for comments regarding Ross Ice Shelf temperatures. We are grateful for logistical support from Antarctica New Zealand and the United States Antarctic Program. The data collection was funded by the New Zealand Ministry of Business, Innovation, and Employment (contract No. C05X1001), and NIWA core funding under the National Climate Centre Research Programme 2 (2011-12 and 2012-13), and support was provided by a University of Otago Research Grant to write this paper.</t>
  </si>
  <si>
    <t>10.3189/2013JoG12J117</t>
  </si>
  <si>
    <t>WOS:000325385200012</t>
  </si>
  <si>
    <t>Svetlik, I; Povinec, PP; Brabcova, KP; Fejgl, M; Tomaskova, L; Turek, K</t>
  </si>
  <si>
    <t>Svetlik, I.; Povinec, P. P.; Brabcova, K. Pachnerova; Fejgl, M.; Tomaskova, L.; Turek, K.</t>
  </si>
  <si>
    <t>ESTIMATING THE AMOUNT OF 14CO2 IN THE ATMOSPHERE DURING THE HOLOCENE AND GLACIAL PERIODS</t>
  </si>
  <si>
    <t>RADIOCARBON</t>
  </si>
  <si>
    <t>21st International Radiocarbon Conference</t>
  </si>
  <si>
    <t>Paris, FRANCE</t>
  </si>
  <si>
    <t>VOSTOK ICE-CORE; DEGLACIAL CO2 RISE; OCEAN SEA-ICE; SOUTHERN-OCEAN; CARBON-CYCLE; LAST DEGLACIATION; PACIFIC-OCEAN; TAYLOR-DOME; ANTARCTICA; RECORD</t>
  </si>
  <si>
    <t>Radiocarbon has been used to define parameters for modeling past, recent, and future CO2/carbon amounts in the atmosphere and in other environmental compartments. In the present paper, we estimate the amount of C-14 in the atmosphere by calculating the molar activity of (CO2)-C-14 (quantity of (CO2)-C-14 molecules per mol of air). Data on the reconstruction of the past concentration of atmospheric CO2 from Antarctic ice cores and Delta C-14 activities from the IntCal09 calibration curve were applied. The results obtained indicate that cosmogenic production had a dominant influence on the C-14 amount in the atmosphere between 50 and 20 ka BP, when the CO2 concentrations were relatively stable, with a slowly decreasing trend. The decreasing C-14 activity (Delta C-14) between 20 and 2 ka BP seems to be caused predominantly by a dilution of atmospheric (CO2)-C-14 by input of CO2 with a depleted amount of C-14 (probably from deeper oceanic layers), which is evident from a comparison with the Delta C-14 and molar activity time series. A strong linear relation was found between the C-14 activity and CO2 concentration in the air for the period 20-2 ka BP, which confirms a dominant influence of atmospheric dilution of (CO2)-C-14. The observed linear relation between the CO2 and Delta C-14 levels persists even in the prevailing part of the Holocene. Likewise, the quantity of (CO2)-C-14 in the atmosphere (calculated as molar activity) during the prevailing part of the deglacial period (20-11 ka BP) was surprisingly increasing, although a decreasing trend in the C-14 cosmogenic production rate could be expected.</t>
  </si>
  <si>
    <t>[Svetlik, I.; Brabcova, K. Pachnerova; Tomaskova, L.; Turek, K.] Nucl Phys Inst AS CR, CZ-18086 Prague, Czech Republic; [Svetlik, I.; Fejgl, M.] Natl Radiat Protect Inst, CZ-14000 Prague, Czech Republic; [Povinec, P. P.] Comenius Univ, Fac Math Phys &amp; Informat, Dept Nucl Phys &amp; Biophys, SK-84248 Bratislava, Slovakia</t>
  </si>
  <si>
    <t>Czech Academy of Sciences; Nuclear Physics Institute of the Czech Academy of Sciences; National Radiation Protection Institute; State Office for Nuclear Safety - Czech Republic; Comenius University Bratislava</t>
  </si>
  <si>
    <t>Svetlik, I (corresponding author), Nucl Phys Inst AS CR, Truhlarce 39-64, CZ-18086 Prague, Czech Republic.</t>
  </si>
  <si>
    <t>svetlik@ujf.cas.cz</t>
  </si>
  <si>
    <t>Povinec, Pavel P/R-4682-2018; Turek, Karel/H-3600-2014; Pachnerova Brabcova, Katerina/I-2500-2014; Svetlik, Ivo/G-7891-2014</t>
  </si>
  <si>
    <t>Pachnerova Brabcova, Katerina/0000-0002-5288-6080; Povinec, Pavel/0000-0003-0275-794X</t>
  </si>
  <si>
    <t>Nuclear Physics Institute AS CR [RVO61389005]; Ministry of the Interior of the Czech Republic [MV-25972-17/OBVV-2010]; EU Research and Development Operational Program; ERDF [26240220004]</t>
  </si>
  <si>
    <t>Nuclear Physics Institute AS CR; Ministry of the Interior of the Czech Republic; EU Research and Development Operational Program; ERDF(European Union (EU))</t>
  </si>
  <si>
    <t>This study was supported by institutional funding from the Nuclear Physics Institute AS CR (RVO61389005) and by the Ministry of the Interior of the Czech Republic (MV-25972-17/OBVV-2010) for the year 2012. PPP acknowledges a partial support provided by the EU Research and Development Operational Program funded by the ERDF (project No. 26240220004).</t>
  </si>
  <si>
    <t>UNIV ARIZONA DEPT GEOSCIENCES</t>
  </si>
  <si>
    <t>TUCSON</t>
  </si>
  <si>
    <t>RADIOCARBON 4717 E FORT LOWELL RD, TUCSON, AZ 85712 USA</t>
  </si>
  <si>
    <t>0033-8222</t>
  </si>
  <si>
    <t>1945-5755</t>
  </si>
  <si>
    <t>Radiocarbon</t>
  </si>
  <si>
    <t>2-3</t>
  </si>
  <si>
    <t>10.1017/S0033822200048475</t>
  </si>
  <si>
    <t>235WK</t>
  </si>
  <si>
    <t>WOS:000325752100141</t>
  </si>
  <si>
    <t>Plagányi, EE</t>
  </si>
  <si>
    <t>Plaganyi, Eva Elizabeth</t>
  </si>
  <si>
    <t>FITTING THE PUZZLE-MODELING SPECIES INTERACTIONS IN MARINE ECOSYSTEMS</t>
  </si>
  <si>
    <t>BULLETIN OF MARINE SCIENCE</t>
  </si>
  <si>
    <t>FUNCTIONAL-RESPONSES; POPULATION-DYNAMICS; SCOTIA SEA; KRILL; MANAGEMENT; PREDATORS; COMMUNITY; DEPLETION; FOOD</t>
  </si>
  <si>
    <t>Understanding the complex trophic interactions among species in an ecosystem involves solving the puzzle describing the ecosystem structure and functioning. The choice of interaction formulation fundamentally influences ecosystem model conclusions and therefore the usefulness of management advice. I reviewed existing methods for modeling species interactions in marine ecosystems, ranging from process models to statistical models that are fitted to data. An Antarctic multispecies simulation model was used to explore the responses of predators to perturbations in prey, as well as the poorly understood phenomenon of abrupt prey switching. Relatively simple tractable models that had been ground-truthed with data and quantified the slope of the interaction relationship showed considerable potential for elucidating the outcomes of species interactions that are difficult to measure directly in the field. Models must integrate changes in vital rates through to population and community-level changes (the scale needed for management). Abrupt prey switching by a predator to prey species A when prey species B decreased to a threshold level could mediate a dramatic decline in prey species B, as well as greatly facilitated the subsequent recovery of prey species A. Whether or not prey switching occurred, and whether it was step-wise or gradual, had a marked impact on the rate of recovery of the prey species, as well as interlinked predators. Recovery times predicted by the multispecies model were longer than those from single-species models. Increasing understanding and quantification of species interactions is crucial to advancing an ecosystem approach to fisheries management.</t>
  </si>
  <si>
    <t>CSIRO Wealth Ocean Flagship, CMAR, Brisbane, Qld 4001, Australia</t>
  </si>
  <si>
    <t>Commonwealth Scientific &amp; Industrial Research Organisation (CSIRO)</t>
  </si>
  <si>
    <t>Plagányi, EE (corresponding author), CSIRO Wealth Ocean Flagship, CMAR, GPO Box 2583, Brisbane, Qld 4001, Australia.</t>
  </si>
  <si>
    <t>eva.plaganyi-lloyd@csiro.au</t>
  </si>
  <si>
    <t>Plaganyi, Eva E/C-5130-2011</t>
  </si>
  <si>
    <t>Plaganyi, Eva E/0000-0002-4740-4200</t>
  </si>
  <si>
    <t>CSIRO Wealth from Oceans Flagship</t>
  </si>
  <si>
    <t>CSIRO Wealth from Oceans Flagship(Commonwealth Scientific &amp; Industrial Research Organisation (CSIRO))</t>
  </si>
  <si>
    <t>This work was supported by CSIRO Wealth from Oceans Flagship. I am grateful to D Butterworth for his contributions to the development of SMOM and to L Blamey and W Robinson for sharing the journey toward understanding abalone and penguins. A Punt, R Hillary, and two anonymous reviewers provided many helpful comments. I thank the Mote symposium steering committee for inviting my participation in the 8th William R. and Lenore Mote 2011 Symposium.</t>
  </si>
  <si>
    <t>ROSENSTIEL SCH MAR ATMOS SCI</t>
  </si>
  <si>
    <t>MIAMI</t>
  </si>
  <si>
    <t>4600 RICKENBACKER CAUSEWAY, MIAMI, FL 33149 USA</t>
  </si>
  <si>
    <t>0007-4977</t>
  </si>
  <si>
    <t>1553-6955</t>
  </si>
  <si>
    <t>B MAR SCI</t>
  </si>
  <si>
    <t>Bull. Mar. Sci.</t>
  </si>
  <si>
    <t>10.5343/bms.2011.1126</t>
  </si>
  <si>
    <t>229ZL</t>
  </si>
  <si>
    <t>WOS:000325306300019</t>
  </si>
  <si>
    <t>Mozer, A</t>
  </si>
  <si>
    <t>Mozer, Anna</t>
  </si>
  <si>
    <t>Eocene sedimentary facies in a volcanogenic succession on King George Island, South Shetland Islands: a record of pre-ice sheet terrestrial environments in West Antarctica</t>
  </si>
  <si>
    <t>Antarctica; King George Island; Eocene; preglacial environments; plant fossils</t>
  </si>
  <si>
    <t>EARLY TERTIARY; GREENHOUSE; CLIMATES; ROCKS</t>
  </si>
  <si>
    <t>About 34 Ma ago there was a radical change of climate that led to the formation of Antarctic ice sheet. King George Island, located in the South Shetland Islands volcanic arc (northern Antarctic Peninsula region), is one of a few places in West Antarctica which shows a geological record of sedimentary environments preceding the development of the ice sheet. The Eocene sedimentary fades occur in the dominantly volcanogenic succession of King George Island. They have been recognized in the Arctowski Cove and Point Thomas formations (Ezcurra Inlet Group) and in the Mount Wawel Formation (Point Hennequin Group) in Admiralty Bay, and in the Mazurek Point Formation (Chopin Ridge Group) and Lions Cove Formation (Polonia Glacier group) in King George Bay. They record a cooling trend in terrestrial environments that began at termination of the Early/Middle Eocene Climatic Optimum, and was followed by a significant deterioration of climate during Late Eocene and earliest Oligocene, directly preceding glacial conditions in the northern Antarctic Peninsula region. The ongoing research confirms the existence of three preglacial climatic stages (PGS-1-PGS-3) during Eocene earliest Oligocene, from humid, warm to moderate climate (PGS-1), through cool and dry climate (PGS-2), up to cold and humid conditions (PGS-3). Studies were carried out on usually fine-grained volcanoclastic sediments, containing Podocarpaceae-Araucaria-Nothofagus plant fossil assemblies. Beds of reworked pyroclastic material alternate with lava flows or volcanic agglomerates, as well as ex situ blocks of Eocene volcanogenic sediments on a moraine. Calculated geochemical indices of weathering (CIA, PIA and CIW) confirm moderate to high chemical weathering under warm and humid climate conditions at the beginning and deterioration of conditions in the end of Eocene.</t>
  </si>
  <si>
    <t>Polish Acad Sci, Inst Geol Sci, PL-00818 Warsaw, Poland</t>
  </si>
  <si>
    <t>Polish Academy of Sciences; Institute of Geological Sciences of the Polish Academy of Sciences</t>
  </si>
  <si>
    <t>Mozer, A (corresponding author), Polish Acad Sci, Inst Geol Sci, Twarda 51-55, PL-00818 Warsaw, Poland.</t>
  </si>
  <si>
    <t>amozer@twarda.pan.pl</t>
  </si>
  <si>
    <t>10.7306/gq.1100</t>
  </si>
  <si>
    <t>227NM</t>
  </si>
  <si>
    <t>WOS:000325120600002</t>
  </si>
  <si>
    <t>Lavers, JL; Bond, AL; Van Wilgenburg, SL; Hobson, KA</t>
  </si>
  <si>
    <t>Lavers, Jennifer L.; Bond, Alexander L.; Van Wilgenburg, Steven L.; Hobson, Keith A.</t>
  </si>
  <si>
    <t>Linking at-sea mortality of a pelagic shearwater to breeding colonies of origin using biogeochemical markers</t>
  </si>
  <si>
    <t>Fisheries bycatch; Geographic assignment; Trace elements; Stable isotopes; Flesh-footed shearwater; Puffinus carneipes</t>
  </si>
  <si>
    <t>FLESH-FOOTED SHEARWATERS; STABLE-ISOTOPE RATIOS; PUFFINUS-CARNEIPES; MERCURY CONCENTRATIONS; LONGLINE FISHERIES; MIGRATORY BIRDS; SEABIRD; FEATHERS; CONSERVATION; VARIABILITY</t>
  </si>
  <si>
    <t>An emerging issue in seabird conservation is the ability to link at-sea mortality with observed demographic changes at breeding colonies. Applications of modelling and biochemical markers can be used to assign mortalities of unknown provenance to a colony of origin ensuring conservation actions are targeted at those colonies identified as the most affected. We analysed feathers (n = 120) from flesh-footed shearwater Puffinus carneipes collected from 5 breeding colonies throughout their range. Using stable isotopes (delta N-15 and delta C-13) and trace element concentrations (Mn, Ni, Cu, Mo, Ag, Ba, Pb), we assigned birds recovered from fishing vessels off Australia, New Zealand, and the North Pacific to colony of origin, and investigated the rate of correct assignment at 3 spatial scales. Using quadratic discriminant analysis, samples of known origin were correctly assigned to basin, region, and breeding colonies at similar rates (92.3, 81.3, and 88.1%, respectively). Stable isotopes succeeded in assigning individuals among basins (72.8%), performing less well at the region and colony level (52.5 and 36.4%, respectively). In contrast, correct assignment was consistent at all 3 scales using only trace elements (93.2, 95.7, and 96.6%, respectively). Applying our final model based on trace elements to 116 flesh-footed shearwaters taken as bycatch in eastern Australia (n = 30), Western Australia (n = 32), New Zealand (n = 16), eastern North Pacific (n = 27) and western North Pacific (n = 11), we assigned individuals to colonies in New Zealand (35.3%), Western/ South Australia (36.2%), Western Australia (27.6%), and Lord Howe Island (0.9%). Bycatch in fisheries may help explain ongoing declines in flesh-footed shearwater populations across the species' range, highlighting the utility of assignment tools to account for unobservable mortality of wildlife at-sea.</t>
  </si>
  <si>
    <t>[Lavers, Jennifer L.] Univ Tasmania, Inst Marine &amp; Antarctic Studies, Hobart, Tas 7005, Australia; [Lavers, Jennifer L.] CSIRO Marine &amp; Atmospher Res, Wealth Oceans Natl Flagship, Hobart, Tas 7001, Australia; [Bond, Alexander L.] Univ Saskatchewan, Dept Biol, Saskatoon, SK S7N 5E2, Canada; [Bond, Alexander L.; Van Wilgenburg, Steven L.; Hobson, Keith A.] Environm Canada, Saskatoon, SK S7N 3H5, Canada</t>
  </si>
  <si>
    <t>University of Tasmania; Commonwealth Scientific &amp; Industrial Research Organisation (CSIRO); University of Saskatchewan; Environment &amp; Climate Change Canada</t>
  </si>
  <si>
    <t>Lavers, JL (corresponding author), Monash Univ, Sch Biol Sci, Bldg 18, Clayton, Vic 3800, Australia.</t>
  </si>
  <si>
    <t>jennifer.lavers@monash.edu</t>
  </si>
  <si>
    <t>Lavers, Jennifer/O-4831-2017; Bond, Alexander L/A-3786-2010; Lavers, Jennifer/IWM-5417-2023; Hobson, Keith/Q-9306-2019</t>
  </si>
  <si>
    <t>Lavers, Jennifer/0000-0001-7596-6588; Bond, Alexander/0000-0003-2125-7238; Van Wilgenburg, Steven/0000-0002-6742-4567</t>
  </si>
  <si>
    <t>Commonwealth Environment Research Facilities Programme; CSIRO Marine Biodiversity and Conservation Management Research Grant; Gould League NSW Cayley Memorial Scholarship for Avian Science; Government of Australia Endeavour Research Fellowship; Natural Science and Engineering Research Council of Canada; Royal Navy Bird Watching Society Captain Simpson Scholarship; Environment Canada; W. V. Scott Charitable Trust</t>
  </si>
  <si>
    <t>Commonwealth Environment Research Facilities Programme; CSIRO Marine Biodiversity and Conservation Management Research Grant; Gould League NSW Cayley Memorial Scholarship for Avian Science; Government of Australia Endeavour Research Fellowship(Australian GovernmentDepartment of Industry, Innovation and Science); Natural Science and Engineering Research Council of Canada(Natural Sciences and Engineering Research Council of Canada (NSERC)); Royal Navy Bird Watching Society Captain Simpson Scholarship; Environment Canada(CGIAR); W. V. Scott Charitable Trust</t>
  </si>
  <si>
    <t>The Commonwealth Environment Research Facilities Programme, CSIRO Marine Biodiversity and Conservation Management Research Grant, Gould League NSW Cayley Memorial Scholarship for Avian Science, Government of Australia Endeavour Research Fellowship, Natural Science and Engineering Research Council of Canada, Royal Navy Bird Watching Society Captain Simpson Scholarship, Environment Canada, and W. V. Scott Charitable Trust provided funding and support for our research. For assistance obtaining samples we thank staff at the American Museum of Natural History, Burke Museum, Beaty Biodiversity Museum, Museum of Western Australia, New Zealand National Institute of Water and Atmospheric Research, Paris Museum of Natural History, South Australia Museum, Tasmanian Museum and Art Gallery, Te Papa Museum, and the Victoria Museum. Samples were collected with the permission of the Lord Howe Island Board, South Australia Department of Environment and Natural Re sources, and Western Australia Department of Environment and Conservation under the approval of the University of Tasmania and South Australian Animal Ethics Committees (A0010874 and M25957-1). Special thanks go to B. Baker, B. Barton, A. Booth, P. Collins, I. Hutton, C. Powell, J. Pridham, S. Seneviratne, C. Stone (Ngatiwai Trust), G. Taylor, T. Reid, and D. Thompson. Analytical support was provided by W. Diegor, C. Gryba, L. Hewa, G. Koehler, A. Pye, and S. Jacob provided the map. This project benefited from discussions with B. Baker, M. Bravington, E. Butler, B. D. Hardesty, G. Tuck, and C. Wilcox; C. Trueman and 3 anonymous reviewers improved previous drafts.</t>
  </si>
  <si>
    <t>10.3354/meps10487</t>
  </si>
  <si>
    <t>229QP</t>
  </si>
  <si>
    <t>WOS:000325282500020</t>
  </si>
  <si>
    <t>Kvíderová, J; Elster, J</t>
  </si>
  <si>
    <t>Kviderova, Jana; Elster, Josef</t>
  </si>
  <si>
    <t>Standardized algal growth potential and/or algal primary production rates of maritime Antarctic stream waters (King George Island, South Shetlands)</t>
  </si>
  <si>
    <t>Maritime Antarctic; microalgae; nutrient limitations; snow-melt stream water</t>
  </si>
  <si>
    <t>NUTRIENT; BACTERIA; PHYTOPLANKTON; COMMUNITIES; PERIPHYTON; TOXICITY; NITROGEN; PHOTOSYNTHESIS; ACCUMULATION; VARIABILITY</t>
  </si>
  <si>
    <t>In addition to the chemical analyses providing total nutrient content, standardized water trophic status bioassays are useful in the determination of available nutrients for primary producers. The aim of the study was to determine the standardized values of algal growth potential (AGP) and algal primary productivity rate (APPR) of maritime Antarctic stream water using modified AGP/APPR protocols. The standardized values of AGP and the APPR of oligotrophic and mesotrophic water samples from snow-melt streams were measured, and possible nutrient limitation and heavy metal inhibition were evaluated at 5 degrees C and 25 degrees C using polar and temperate strains of Stichococcus bacillaris, respectively. The water samples were enriched for the nutrient limitation tests with 1000 mu g l(-1) NO3--N, 50 mu g l(-1) PO43--P, and a mixture of 1000 mu g l(-1) NO3--N + 50 mu g l(-1) PO43--P, and for the heavy metal inhibition tests with 1000 mu g l(-1) Na-2-ethylenediaminetetraacetic acid (EDTA). The AGP of oligotrophic samples was significantly lower than that of the mesotrophic ones at both temperatures. In addition, AGP was significantly higher at 5 degrees C than at 25 degrees C. Oligotrophic samples were identified as being nitrogen limited, while no nutrient limitation was observed in the mesotrophic samples. No statistically significant heavy metal inhibition was observed at either temperature. The positive correlation of AGP and water nutrient content indicates that the method used accurately and comprehensively monitors the changes in biological availability of mineral nutrients and can provide a standardized reference point for similar exploration of freshwater ecosystems across both polar regions.</t>
  </si>
  <si>
    <t>[Kviderova, Jana; Elster, Josef] Acad Sci Czech Republ, Inst Bot, CZ-37982 Trebon, Czech Republic; [Kviderova, Jana; Elster, Josef] Univ South Bohemia, Fac Sci, CZ-37005 Ceske Budejovice, Czech Republic</t>
  </si>
  <si>
    <t>Czech Academy of Sciences; Institute of Botany of the Czech Academy of Sciences; University of South Bohemia Ceske Budejovice</t>
  </si>
  <si>
    <t>Kvíderová, J (corresponding author), Acad Sci Czech Republ, Inst Bot, Dukelska 135, CZ-37982 Trebon, Czech Republic.</t>
  </si>
  <si>
    <t>kviderova@butbn.cas.cz</t>
  </si>
  <si>
    <t>Elster, Josef/B-1031-2008; Silva, Fausto/I-1873-2014; Kviderova, Jana/B-1295-2009</t>
  </si>
  <si>
    <t>Kviderova, Jana/0000-0002-5700-477X; Elster, Josef/0000-0002-4535-5636</t>
  </si>
  <si>
    <t>Grant Agency of the Academy of Sciences of the Czech Republic [KJB600050708]; Ministry of Education of the Czech Republic [Kontakt ME 934, ME 945, LM2010009 CzechPolar]; European Social Fund; government budget of the Czech Republic; [CZ.1.07/2.2.00/28.0190]; [RVO 67985939]</t>
  </si>
  <si>
    <t>Grant Agency of the Academy of Sciences of the Czech Republic(Czech Academy of SciencesGrant Agency of the Czech Republic); Ministry of Education of the Czech Republic(Ministry of Education, Youth &amp; Sports - Czech Republic); European Social Fund(European Social Fund (ESF)); government budget of the Czech Republic; ;</t>
  </si>
  <si>
    <t>The authors thank Dr. Ondrej Komarek for the samples provided, Ms. Diana Jerkovicova for the measurements of AGP and APPR at 5 degrees C and the personnel of the Analytical Laboratory of the Institute of Botany in Trebon for nutrient analyses of the stream water samples. They are very grateful to Mrs. Jana Snokhousova for her technical assistance. They also thank all reviewers for their critical comments. Language correction was carried out by Keith Edwards. This research was supported by a project from the Grant Agency of the Academy of Sciences of the Czech Republic (grant no. KJB600050708) and by projects from the Ministry of Education of the Czech Republic (Kontakt ME 934, ME 945 and LM2010009 CzechPolar), by project reg. no. CZ.1.07/2.2.00/28.0190 funded by the European Social Fund and from the government budget of the Czech Republic, and as a long-term research development project no. RVO 67985939.</t>
  </si>
  <si>
    <t>10.3402/polar.v32i0.11191</t>
  </si>
  <si>
    <t>230LV</t>
  </si>
  <si>
    <t>WOS:000325342200001</t>
  </si>
  <si>
    <t>Jadwiszczak, P; Acosta Hospitaleche, C</t>
  </si>
  <si>
    <t>Jadwiszczak, Piotr; Acosta Hospitaleche, Carolina</t>
  </si>
  <si>
    <t>Distinguishing between two Antarctic species of Eocene Palaeeudyptes penguins: a statistical approach using tarsometatarsi</t>
  </si>
  <si>
    <t>Antarctic; La Meseta Formation; Paleogene; Sphenisciformes; statistics; systematics</t>
  </si>
  <si>
    <t>LA MESETA FORMATION; SEYMOUR ISLAND; FOSSIL PENGUINS; R-PACKAGE; SPHENISCIFORMES; DIVERSITY; EVOLUTION; SKELETON; VALLEY; STRATA</t>
  </si>
  <si>
    <t>Defining species boundaries, due to morphological variation, often represents a significant challenge in paleozoology. In this paper we report results from multi- and univariate data analyses, such as enhanced clustering techniques, principal coordinates ordination method, kernel density estimations and finite mixture model analyses, revealing some morphometric patterns within the Eocene Antarctic representatives of Palaeeudyptes penguins. These large-sized birds were represented by two species, P. gunnari and P. klekowskii, known mainly from numerous isolated bones. Investigations focused on tarsometatarsi, crucial bones in paleontology of early penguins, resulted in a probability-based framework allowing for the fuzzy partitioning the studied specimens into two taxa with partly overlapping size distributions. Such a number of species was supported by outcomes from both multi- and univariate studies. In our opinion, more reliance should be placed on the quantitative analysis of form when distinguishing between species within the Antarctic Palaeeudyptes.</t>
  </si>
  <si>
    <t>[Jadwiszczak, Piotr] Uniwersytet Bialymstoku, Inst Biol, PL-15950 Bialystok, Poland; [Acosta Hospitaleche, Carolina] Museo La Plata, Div Paleontol Vertebrados, La Plata, Buenos Aires, Argentina</t>
  </si>
  <si>
    <t>University of Bialystok; National University of La Plata; Museo La Plata</t>
  </si>
  <si>
    <t>Jadwiszczak, P (corresponding author), Uniwersytet Bialymstoku, Inst Biol, Ul Swierkowa 20B, PL-15950 Bialystok, Poland.</t>
  </si>
  <si>
    <t>piotrj@uwb.edu.pl; acostacaro@fcnym.unlp.edu.ar</t>
  </si>
  <si>
    <t>Jadwiszczak, Piotr/P-4336-2019; Jadwiszczak, Piotr/K-5136-2014; Acosta Hospitaleche, Carolina/E-5740-2017</t>
  </si>
  <si>
    <t>Jadwiszczak, Piotr/0000-0002-5263-1125; Acosta Hospitaleche, Carolina/0000-0002-2614-1448</t>
  </si>
  <si>
    <t>SYNTHESYS [SETAF-4399, GBTAF-987]</t>
  </si>
  <si>
    <t>SYNTHESYS</t>
  </si>
  <si>
    <t>We are indebted to Mieczyslaw Wolsan (Warszawa) and Martin Chavez Hoffmeister (Bristol) for helpful reviews. The first author appreciates the financial support through SYNTHESYS funding made available by the European Community - Research Infrastructure Action under the FP6 and FP7 Structuring the European Research Area Programme; projects SETAF-4399 and GBTAF-987 respectively.</t>
  </si>
  <si>
    <t>10.2478/popore-2013-0020</t>
  </si>
  <si>
    <t>230DK</t>
  </si>
  <si>
    <t>Green Submitted, Green Published</t>
  </si>
  <si>
    <t>WOS:000325316600001</t>
  </si>
  <si>
    <t>Augustyniuk-Kram, A; Chwedorzewska, KJ; Korczak-Abshire, M; Olech, M; Litynska-Zajac, M</t>
  </si>
  <si>
    <t>Augustyniuk-Kram, Anna; Chwedorzewska, Katarzyna J.; Korczak-Abshire, Malgorzata; Olech, Maria; Litynska-Zajac, Maria</t>
  </si>
  <si>
    <t>An analysis of fungal propagules transported to the Henryk Arctowski Antarctic Station</t>
  </si>
  <si>
    <t>Antarctic; fungal propagules; unintentional transport</t>
  </si>
  <si>
    <t>KING-GEORGE-ISLAND; KERATINOPHILIC FUNGI; REGION; LIFE; MICROORGANISMS; ADAPTATION; ECOSYSTEMS; MICROFUNGI; DIVERSITY; MICROBES</t>
  </si>
  <si>
    <t>During three austral summer seasons, dust and soil from clothes, boots and equipment of members of scientific expeditions and tourists visiting the Polish Antarctic Station Henryk Arctowski were collected and analysed for the presence of fungal propagules. Of a total of 60 samples, 554 colonies of fungi belonging to 19 genera were identified. Colonies of the genus Cladosporium, Penicillium and non-sporulating fungus (Mycelia sterilia) dominated in the examined samples. The microbiological assessment of air for the presence of fungi was also conducted at two points in the station building and two others outside the station. A total of 175 fungal colonies belonging to six genera were isolated. Colonies of the genus Penicillium were the commonest in the air samples. The potential epidemiological consequences for indigenous species as a result of unintentional transport of fungal propagules to the Antarctic biome are discussed in the light of rapid climate change in some parts of the Antarctic and adaptation of fungi to extreme conditions.</t>
  </si>
  <si>
    <t>[Augustyniuk-Kram, Anna] Ctr Badan Ekol PAN Dziekanowie Lesnym, PL-05092 Lomianki, Poland; [Augustyniuk-Kram, Anna] Uniwersytet Kardynala Stefana Wyszynskiego Warsza, Inst Ekol &amp; Bioetyki, PL-01815 Warsaw, Poland; [Chwedorzewska, Katarzyna J.; Korczak-Abshire, Malgorzata; Olech, Maria] Zaklad Biol Antarktyki, Inst Biochem &amp; Biofizyki PAN, PL-02106 Warsaw, Poland; [Olech, Maria] Uniwersytet Jagiellonski, Inst Bot, PL-31512 Krakow, Poland; [Litynska-Zajac, Maria] Inst Archeol &amp; Etnol PAN Krakowie, PL-31016 Krakow, Poland</t>
  </si>
  <si>
    <t>Cardinal Stefan Wyszynski University in Warsaw; Polish Academy of Sciences; Institute of Biochemistry &amp; Biophysics - Polish Academy of Sciences; Jagiellonian University</t>
  </si>
  <si>
    <t>Augustyniuk-Kram, A (corresponding author), Ctr Badan Ekol PAN Dziekanowie Lesnym, Ul M Konopnickiej 1, PL-05092 Lomianki, Poland.</t>
  </si>
  <si>
    <t>aaugustyniuk-kram@cbe-pan.pl</t>
  </si>
  <si>
    <t>Chwedorzewska, Katarzyna J/A-9480-2008; Augustyniuk-Kram, Anna/AAE-6845-2022; Chwedorzewska, Katarzyna/M-9721-2019; Korczak-Abshire, Malgorzata/AAA-1563-2020</t>
  </si>
  <si>
    <t>Augustyniuk-Kram, Anna/0000-0002-1904-9766; Chwedorzewska, Katarzyna/0000-0001-6860-3666; Korczak-Abshire, Malgorzata/0000-0001-7695-0588</t>
  </si>
  <si>
    <t>Ministry of Scientific Research and Higher Education [IPY/27/2007]</t>
  </si>
  <si>
    <t>Ministry of Scientific Research and Higher Education</t>
  </si>
  <si>
    <t>This research project was supported by the Ministry of Scientific Research and Higher Education by a grant IPY/27/2007. The authors would like to thank all persons involved in collecting materials during XXX, XXXI and XXXII Polish Antarctic Expeditions. We would like to thank two anonymous reviewers for constructive advice that has improved our paper.</t>
  </si>
  <si>
    <t>10.2478/popore-2013-0015</t>
  </si>
  <si>
    <t>WOS:000325316600003</t>
  </si>
  <si>
    <t>Muto, A; Anandakrishnan, S; Alley, RB</t>
  </si>
  <si>
    <t>Muto, Atsuhiro; Anandakrishnan, Sridhar; Alley, Richard B.</t>
  </si>
  <si>
    <t>Subglacial bathymetry and sediment layer distribution beneath the Pine Island Glacier ice shelf, West Antarctica, modeled using aerogravity and autonomous underwater vehicle data</t>
  </si>
  <si>
    <t>ANNALS OF GLACIOLOGY</t>
  </si>
  <si>
    <t>AMUNDSEN SEA SECTOR; GRAVITY-DATA; INVERSION; LAKE; VOSTOK; REGION; SHEET; EAST</t>
  </si>
  <si>
    <t>Pine Island Glacier (PIG), West Antarctica, has been experiencing acceleration in its flow speed and mass loss for nearly two decades, driven in part by an increase in the delivery of relatively warm Circumpolar Deep Water (CDW). However, at present, the configuration of the sub-ice-shelf cavity and bed conditions beneath the PIG ice shelf that dictate such oceanic influences remain poorly understood. Here, we use aerogravity data and ocean bottom depths measured by an autonomous underwater vehicle (AUV) to model the bathymetry and sediment layer thickness beneath the PIG ice shelf. Results reveal that the deep basins, previously found by AUV on both landward and seaward sides of a submarine ridge, extend substantially to the north and south. The water column thickness of the basins reaches 400-550 m on the landward side of the ridge and 500-600 m on the seaward side. The sediment layer covers the whole expanse of the seabed beneath the ice shelf, and the thickness is in the range similar to 200-1000 m. The thinnest sediments (&lt;200 m) are found on the seaward slope of the submarine ridge, suggesting that erosion by advancing ice may have been concentrated in the lee of the topographic high.</t>
  </si>
  <si>
    <t>[Muto, Atsuhiro] Penn State Univ, Dept Geosci, University Pk, PA 16802 USA; Penn State Univ, Earth &amp; Environm Syst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</si>
  <si>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</si>
  <si>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Muto, A (corresponding author), Penn State Univ, Dept Geosci, University Pk, PA 16802 USA.</t>
  </si>
  <si>
    <t>aum34@psu.edu</t>
  </si>
  <si>
    <t>Anandakrishnan, Sridhar/JCN-5026-2023; Muto, Atsuhiro/AAJ-9558-2020</t>
  </si>
  <si>
    <t>Muto, Atsuhiro/0000-0002-1722-2457</t>
  </si>
  <si>
    <t>US National Science Foundation [0424589, 0909335]; NASA [NNX10AI04G]; Directorate For Geosciences; Office of Polar Programs (OPP) [0909335] Funding Source: National Science Foundation; NASA [132889, NNX10AI04G] Funding Source: Federal RePORTER</t>
  </si>
  <si>
    <t>US National Science Foundation(National Science Foundation (NSF)); NASA(National Aeronautics &amp; Space Administration (NASA)); Directorate For Geosciences; Office of Polar Programs (OPP)(National Science Foundation (NSF)NSF - Directorate for Geosciences (GEO)); NASA(National Aeronautics &amp; Space Administration (NASA))</t>
  </si>
  <si>
    <t>We thank Adrian Jenkins for permission to use the AUV data, and Patricia Vornberger and Bob Bindschadler for delivery of the AUV data. We also thank the personnel involved in Operation IceBridge for their effort during the 2009 Antarctic campaign. We appreciate the constructive comments of two anonymous reviewers that led to an improvement of the text. This research was supported in part by the US National Science Foundation through 0424589 and 0909335 and by NASA through NNX10AI04G.</t>
  </si>
  <si>
    <t>0260-3055</t>
  </si>
  <si>
    <t>1727-5644</t>
  </si>
  <si>
    <t>ANN GLACIOL</t>
  </si>
  <si>
    <t>Ann. Glaciol.</t>
  </si>
  <si>
    <t>10.3189/2013AoG64A110</t>
  </si>
  <si>
    <t>222GX</t>
  </si>
  <si>
    <t>WOS:000324720300005</t>
  </si>
  <si>
    <t>Hofstede, C; Eisen, O; Diez, A; Jansen, D; Kristoffersen, Y; Lambrecht, A; Mayer, C</t>
  </si>
  <si>
    <t>Hofstede, Coen; Eisen, Olaf; Diez, Anja; Jansen, Daniela; Kristoffersen, Yngve; Lambrecht, Astrid; Mayer, Christoph</t>
  </si>
  <si>
    <t>Investigating englacial reflections with vibro- and explosive-seismic surveys at Halvfarryggen ice dome, Antarctica</t>
  </si>
  <si>
    <t>WEST ANTARCTICA; RADIO-WAVES; SHEET; CORE; FLOW; GREENLAND; RADAR; SCATTERING; AMPLITUDE; RHEOLOGY</t>
  </si>
  <si>
    <t>Explosive seismic reflection data from Halvfarryggen, a 910 m thick local ice dome of the Antarctic ice sheet, show numerous laterally continuous reflections within the ice between 300 and 870 m depth. We compare the quality of data obtained with explosive sources with that obtained using a vibroseis source for detecting englacial reflections with a snowstreamer, and investigate the origin of englacial reflections. We find vibroseis in combination with a snowstreamer is ten times more productive than explosive seismics. However, englacial reflections are more clearly visible with explosives, which have a broader bandwidth signature, than the vibroseis, which is band-limited at the high-frequency end to 100 Hz. Only the strongest and deepest englacial reflection is detected with vibroseis. We interpret the majority of englacial reflections to originate from changes in the crystal orientation fabric in closely spaced layers, less than the vibro-seismic tuning thickness of 13.5 m. Phase analysis of the lowermost englacial reflector, 40 m above the bed, indicates a sharp increase in seismic wave speed. We interpret this reflector as a transition to a vertical single-maximum fabric. Our findings support current results from anisotropic ice-flow models, that crystal fabric is highly anisotropic at ice domes, both laterally and vertically.</t>
  </si>
  <si>
    <t>[Hofstede, Coen; Eisen, Olaf; Diez, Anja] Helmholtz Zentrum Polar &amp; Meeresforsch, Alfed Wegener Inst, Bremerhaven, Germany; [Jansen, Daniela] Swansea Univ, Coll Sci, Swansea, W Glam, Wales; [Kristoffersen, Yngve] Univ Bergen, Dept Earth Sci, Bergen, Norway; [Lambrecht, Astrid; Mayer, Christoph] Bavarian Acad Sci &amp; Humanities, Munich, Germany</t>
  </si>
  <si>
    <t>Helmholtz Association; Alfred Wegener Institute, Helmholtz Centre for Polar &amp; Marine Research; Swansea University; University of Bergen</t>
  </si>
  <si>
    <t>Hofstede, C (corresponding author), Helmholtz Zentrum Polar &amp; Meeresforsch, Alfed Wegener Inst, Bremerhaven, Germany.</t>
  </si>
  <si>
    <t>coen.hofstede@awi.de</t>
  </si>
  <si>
    <t>Jansen, Daniela/AAG-2773-2019; Eisen, Olaf/K-3846-2012; Hofstede, Coen/JXM-4966-2024</t>
  </si>
  <si>
    <t>Eisen, Olaf/0000-0002-6380-962X; Jansen, Daniela/0000-0002-4412-5820; Diez, Anja/0000-0001-6443-6135</t>
  </si>
  <si>
    <t>SCAR fellowship scheme; German Research Foundation (DFG) [El 672/4-1]; DFG 'Emmy Noether'-program [El 672/5-1]; UK Natural Environment Research Council (NERC) [NUE012914/1]; Ice Core and Drilling Services (ICDS); PSL; US Natural Science Foundation</t>
  </si>
  <si>
    <t>SCAR fellowship scheme; German Research Foundation (DFG)(German Research Foundation (DFG)); DFG 'Emmy Noether'-program(German Research Foundation (DFG)); UK Natural Environment Research Council (NERC)(UK Research &amp; Innovation (UKRI)Natural Environment Research Council (NERC)); Ice Core and Drilling Services (ICDS); PSL; US Natural Science Foundation</t>
  </si>
  <si>
    <t>Initial ideas for this survey were based on discussions with Richard Hindmarsh and Carlos Martin during a research visit to the British Antarctic Survey, funded by the SCAR fellowship scheme 2006-07 and an 'Emmy Noether'-scholarship El 672/4-1 of the German Research Foundation (DFG) to O.E. Fieldwork and preparation of this work was supported by the DFG 'Emmy Noether'-program grant El 672/5-1 to O.E. UK Natural Environment Research Council (NERC) grant NUE012914/1 partly supported D.J. We thank Ice Core and Drilling Services (ICDS), PSL and the US Natural Science Foundation for their support in the adaption of the air-pressure drill (RAMdrill) for the Alfred Wegener Institute (AWI). These results would not have been obtained without the continuous support of AWI logistics staff. Special thanks to Sverrir Hilmarson and Rick Blenkner for field assistance, and Reinhard Drews and Niklas Neckel for providing ice-divide and DEM data and tireless help in the field. Alessio Gusmeroli and the second reviewer are thanked for their reviews.</t>
  </si>
  <si>
    <t>INT GLACIOL SOC</t>
  </si>
  <si>
    <t>LENSFIELD RD, CAMBRIDGE CB2 1ER, ENGLAND</t>
  </si>
  <si>
    <t>10.3189/2013AoG64A064</t>
  </si>
  <si>
    <t>WOS:000324720300024</t>
  </si>
  <si>
    <t>Fischer, T; Banyte, D; Brandt, P; Dengler, M; Krahmann, G; Tanhua, T; Visbeck, M</t>
  </si>
  <si>
    <t>Fischer, T.; Banyte, D.; Brandt, P.; Dengler, M.; Krahmann, G.; Tanhua, T.; Visbeck, M.</t>
  </si>
  <si>
    <t>Diapycnal oxygen supply to the tropical North Atlantic oxygen minimum zone</t>
  </si>
  <si>
    <t>BIOGEOSCIENCES</t>
  </si>
  <si>
    <t>INTERNAL WAVES; SHELF EDGE; HYPOXIA; FLUXES; DISSIPATION; ZOOPLANKTON; TURBULENCE; NITROGEN; SCALES; SHEAR</t>
  </si>
  <si>
    <t>The replenishment of consumed oxygen in the open ocean oxygen minimum zone (OMZ) off northwest Africa is accomplished by oxygen transport across and along density surfaces, i.e. diapycnal and isopycnal oxygen supply. Here the diapycnal oxygen supply is investigated using a large observational set of oxygen profiles and diapycnal mixing data from years 2008 to 2010. Diapycnal mixing is inferred from different sources: (i) a large-scale tracer release experiment, (ii) microstructure profiles, and (iii) shipboard acoustic current measurements plus density profiles. From these measurements, the average diapycnal diffusivity in the studied depth interval from 150 to 500m is estimated to be 1x10(-5) m(2) s(-1), with lower and upper 95% confidence limits of 0.8x10(-5) m(2) s(-1) and 1.4x10(-5) m(2) s(-1). Diapycnal diffusivity in this depth range is predominantly caused by turbulence, and shows no significant vertical gradient. Diapycnal mixing is found to contribute substantially to the oxygen supply of the OMZ. Within the OMZ core, 1.5 mu mol kg(-1) yr(-1) of oxygen is supplied via diapycnal mixing, contributing about one-third of the total demand. This oxygen which is supplied via diapycnal mixing originates from oxygen that has been laterally supplied within the upper Central Water layer above the OMZ, and within the Antarctic Intermediate Water layer below the OMZ. Due to the existence of a separate shallow oxygen minimum at about 100m depth throughout most of the study area, there is no net vertical oxygen flux from the surface layer into the Central Water layer. Thus all oxygen supply of the OMZ is associated with remote pathways.</t>
  </si>
  <si>
    <t>[Fischer, T.; Banyte, D.; Brandt, P.; Dengler, M.; Krahmann, G.; Tanhua, T.; Visbeck, M.] GEOMAR Helmholtz Ctr Ocean Res, Kiel, Germany</t>
  </si>
  <si>
    <t>Helmholtz Association; GEOMAR Helmholtz Center for Ocean Research Kiel</t>
  </si>
  <si>
    <t>Fischer, T (corresponding author), GEOMAR Helmholtz Ctr Ocean Res, Kiel, Germany.</t>
  </si>
  <si>
    <t>tfischer@geomar.de</t>
  </si>
  <si>
    <t>Dengler, Marcus/A-7327-2014; Tanhua, Toste/HLX-5402-2023; Fischer, Tim/HOC-7334-2023; Visbeck, Martin H/B-6541-2016; Brandt, Peter/C-8254-2013; Fischer, Tim/A-2988-2015</t>
  </si>
  <si>
    <t>Dengler, Marcus/0000-0001-5993-9088; Visbeck, Martin H/0000-0002-0844-834X; Brandt, Peter/0000-0002-9235-955X; Fischer, Tim/0000-0001-7025-1129; Tanhua, Toste/0000-0002-0313-2557</t>
  </si>
  <si>
    <t>German Federal Ministry of Education and Research; German Science Foundation [Sonderforschungsbereich SFB754]; European Commission [202955]</t>
  </si>
  <si>
    <t>German Federal Ministry of Education and Research(Federal Ministry of Education &amp; Research (BMBF)); German Science Foundation(German Research Foundation (DFG)); European Commission(European Union (EU)European Commission Joint Research Centre)</t>
  </si>
  <si>
    <t>This study benefitted from cruises, infrastructure, and financial support by the German Federal Ministry of Education and Research through the cooperative projects SOPRAN and NORTH ATLANTIC, and by the German Science Foundation's Sonderforschungsbereich SFB754 Climate Biogeochemistry Interactions in the Tropical Ocean. We acknowledge the support of the European Commission (FP7-EuroSITES grant agreement no. 202955). The support of captains, crews, and scientific crews of Meteor cruise 80, Meteor cruise 83/1, Merian cruise 08/1, Merian cruise 10/1, and L'Atalante cruises GEOMAR/3 and GEOMAR/4 is highly appreciated. We thank Johannes Karstensen for fruitful discussions. We thank two anonymous reviewers, who helped to improve the manuscript.</t>
  </si>
  <si>
    <t>1726-4170</t>
  </si>
  <si>
    <t>1726-4189</t>
  </si>
  <si>
    <t>Biogeosciences</t>
  </si>
  <si>
    <t>10.5194/bg-10-5079-2013</t>
  </si>
  <si>
    <t>220WH</t>
  </si>
  <si>
    <t>Green Submitted, gold, Green Accepted</t>
  </si>
  <si>
    <t>WOS:000324617300001</t>
  </si>
  <si>
    <t>Shi, LQ; Li, ZJ; Feng, EM; Bai, YL; Yang, Y</t>
  </si>
  <si>
    <t>Shi, Liqiong; Li, Zhijun; Feng, Enmin; Bai, Yila; Yang, Yu</t>
  </si>
  <si>
    <t>Thermal Diffusivity Identification of Distributed Parameter Systems to Sea Ice</t>
  </si>
  <si>
    <t>JOURNAL OF APPLIED MATHEMATICS</t>
  </si>
  <si>
    <t>EQUATIONS; POROSITY; MODEL</t>
  </si>
  <si>
    <t>A method of optimal control is presented as a numerical tool for solving the sea ice heat transfer problem governed by a parabolic partial differential equation. Taken the deviation between the calculated ice temperature and the measurements as the performance criterion, an optimal control model of distributed parameter systems with specific constraints of thermal properties of sea ice was proposed to determine the thermal diffusivity of sea ice. Based on sea ice physical processes, the parameterization of the thermal diffusivity was derived through field data. The simulation results illustrated that the identified parameterization of the thermal diffusivity is reasonably effective in sea ice thermodynamics. The direct relation between the thermal diffusivity of sea ice and ice porosity is physically significant and can considerably reduce the computational errors. The successful application of this method also explained that the optimal control model of distributed parameter systems in conjunction with the engineering background has great potential in dealing with practical problems.</t>
  </si>
  <si>
    <t>[Shi, Liqiong; Li, Zhijun; Yang, Yu] Dalian Univ Technol, State Key Lab Coastal &amp; Offshore Engn, Dalian 116024, Peoples R China; [Feng, Enmin] Dalian Univ Technol, Sch Math Sci, Dalian 116024, Peoples R China; [Bai, Yila] Bohai Univ, Math &amp; Phys Dept, Jinzhou 121000, Peoples R China</t>
  </si>
  <si>
    <t>Dalian University of Technology; Dalian University of Technology; Bohai University</t>
  </si>
  <si>
    <t>Shi, LQ (corresponding author), Dalian Univ Technol, State Key Lab Coastal &amp; Offshore Engn, Dalian 116024, Peoples R China.</t>
  </si>
  <si>
    <t>shiliqiong333@126.com</t>
  </si>
  <si>
    <t>Li, Zhijun/A-5299-2019</t>
  </si>
  <si>
    <t>Li, Zhijun/0000-0002-2897-0450</t>
  </si>
  <si>
    <t>National Natural Science Foundation of China [51221961, 40930848, 11171050]; Research Council of Norway; Research Council of Norway and its Norklima programme through the project Advancing Modelling and Observing solar Radiation of Arctic sea-ice-understanding changes and processes (AMORA) [193592]; open fund of State Key Laboratory of Coastal and Offshore Engineering, Dalian University of Technology [LP1217]</t>
  </si>
  <si>
    <t>National Natural Science Foundation of China(National Natural Science Foundation of China (NSFC)); Research Council of Norway(Research Council of Norway); Research Council of Norway and its Norklima programme through the project Advancing Modelling and Observing solar Radiation of Arctic sea-ice-understanding changes and processes (AMORA); open fund of State Key Laboratory of Coastal and Offshore Engineering, Dalian University of Technology</t>
  </si>
  <si>
    <t>The authors are grateful to the Chinese Arctic and Antarctic Administration, who organized Chinese Antarctic scientific expeditions and provided logistical support to ensure the in situ measurements. The authors were financially supported by different resources of funding. These resources are the National Natural Science Foundation of China (Nos. 51221961, 40930848, and 11171050), the Research Council of Norway and its Norklima programme through the project Advancing Modelling and Observing solar Radiation of Arctic sea-ice-understanding changes and processes (AMORA) (No. 193592), and the open fund of State Key Laboratory of Coastal and Offshore Engineering, Dalian University of Technology (No. LP1217). The authors would like to appreciate Prof. Matti Lepparanta, Dr. Lei Wang, and Dr. Peng Lu for helpful comments. We also thank Dr. Yinke Dou, Dr. Ruibo Lei with their team members, who carried out the fieldwork and collected valuable data during the 21st and 22nd Chinese Antarctic scientific expeditions.</t>
  </si>
  <si>
    <t>1110-757X</t>
  </si>
  <si>
    <t>J APPL MATH</t>
  </si>
  <si>
    <t>J. Appl. Math.</t>
  </si>
  <si>
    <t>10.1155/2013/760378</t>
  </si>
  <si>
    <t>Mathematics, Applied; Mathematics, Interdisciplinary Applications</t>
  </si>
  <si>
    <t>Mathematics</t>
  </si>
  <si>
    <t>222CY</t>
  </si>
  <si>
    <t>WOS:000324708800001</t>
  </si>
  <si>
    <t>Karlin, EF; Buck, WR; Seppelt, RD; Boles, SB; Shaw, AJ</t>
  </si>
  <si>
    <t>Karlin, Eric F.; Buck, William R.; Seppelt, Rodney D.; Boles, Sandra B.; Shaw, A. Jonathan</t>
  </si>
  <si>
    <t>The double allopolyploid Sphagnum x falcatulum (Sphagnaceae) in Tierra del Fuego, a Holantarctic perspective</t>
  </si>
  <si>
    <t>JOURNAL OF BRYOLOGY</t>
  </si>
  <si>
    <t>Allopolyploidy; Holantarctic; Long-distance dispersal; Macquarie Island; New Zealand; Sphagnum; Tasmania; Taxonomy; Tierra del Fuego</t>
  </si>
  <si>
    <t>NEW-ZEALAND; EVOLUTION; DNA; PHYLOGENY; SEQUENCES; INFERENCE; ORIGIN; MOSSES</t>
  </si>
  <si>
    <t>A Holantarctic species, the inter-subgeneric allopolyploid Sphagnum x falcatulum s.l. is a cryptic species complex composed of allodiploid and allotriploid cytotypes. The allotriploid plants are double allopolyploids (one of just two reported for bryophytes), with the allodiploid cytotype being one parent. Using a combination of microsatellites, nucleotide sequences, and morphological characters, allotriploid S. x falcatulum is shown to be the most widespread Sphagnum species in the Holantarctic, with genetically documented populations in South America (Tierra del Fuego), New Zealand (South Island), and Australia (Macquarie Island, Tasmania). It is further concluded that six Sphagnum species described from the Tierra del Fuego Archipelago (TDF) of South America and a seventh described from South Island, New Zealand are synonymous with the allotriploid cytotype of S. x falcatulum. The synonymized species include five named by Heikki Roivainen in 1937, S. x ehyalinum, and S. subditivum. Allotriploid S. x falcatulum is the predominant, perhaps the only, subgenus Cuspidata species present in TDF and immediate vicinity. The combination of low genetic diversity and an apparent absence of sexual reproduction indicate that the TDF population of the dioicous allotriploid S. x falcatulum was likely founded by one or a limited number of individuals. The same is apparently the case for Macquarie I. and Tasmanian populations of allotriploid S. x falcatulum. Several lines of evidence, including high genetic diversity, frequent sporophyte production, and the occurrence of the allodiploid parent, suggest that allotriploid S. 6falcatulum likely evolved in New Zealand.</t>
  </si>
  <si>
    <t>[Karlin, Eric F.] Ramapo Coll, Sch Theoret &amp; Appl Sci, Mahwah, NJ 07430 USA; [Buck, William R.] New York Bot Garden, Inst Systemat Bot, New York, NY USA; [Seppelt, Rodney D.] Australian Antarctic Div, Channel Highway, Tas, Australia; [Boles, Sandra B.; Shaw, A. Jonathan] Duke Univ, Dept Biol, Durham, NC USA</t>
  </si>
  <si>
    <t>Ramapo College New Jersey (RCNJ); New York Botanical Garden; Australian Antarctic Division; Duke University</t>
  </si>
  <si>
    <t>Karlin, EF (corresponding author), Ramapo Coll, Sch Theoret &amp; Appl Sci, Mahwah, NJ 07430 USA.</t>
  </si>
  <si>
    <t>ekarlin@ramapo.edu</t>
  </si>
  <si>
    <t>Karlin, Eric/0000-0003-4218-8825</t>
  </si>
  <si>
    <t>Ramapo College; NSF [DEB-0515749-002, DEB-0515749, DEB-0948380]; Direct For Biological Sciences; Division Of Environmental Biology [0918998] Funding Source: National Science Foundation; Division Of Environmental Biology; Direct For Biological Sciences [0948380] Funding Source: National Science Foundation</t>
  </si>
  <si>
    <t>Ramapo College; NSF(National Science Foundation (NSF)); Direct For Biological Sciences; Division Of Environmental Biology(National Science Foundation (NSF)NSF - Directorate for Biological Sciences (BIO)); Division Of Environmental Biology; Direct For Biological Sciences(National Science Foundation (NSF)NSF - Directorate for Biological Sciences (BIO))</t>
  </si>
  <si>
    <t>A 4-year project (led by W. R. Buck and J.J. Engel) to document the diversity and distribution of bryophytes throughout the southern tip of South America (the Cape Horn Bryophytes Expedition) completed its third field season in February 2013. Members of the 2011-2013 expeditions who collected S. x falcatulum s.s. and looked for sporophytes included B. Shaw, J. Larrai'n, J. Shevock, and W. R. Buck. We thank C. Weare for collecting the Macquarie Island plants. We thank the curators of the herbaria at the University of Michigan (MICH), the Natural History Museam (BM) the University of Helsinki (H), the Linnaean Herbarium at the Swedish Museum of Natural History (S), the Royal Botanic Gardens (MEL), and Binghamton University (BING) for their assistance. The extensive assistance provided by Lyn Cave at the Tasmanian Herbarium (HO) is much appreciated. Funding was provided by Ramapo College to E.F. Karlin, a Research Opportunity Award supplement to NSF grant no. DEB-0515749-002 to A.J. Shaw. Additional funding was provided by NSF grant no. DEB-0515749 to A.J. and B. Shaw, and NSF grant no. DEB-0948380 to W.R. Buck and J.J. Engel.</t>
  </si>
  <si>
    <t>0373-6687</t>
  </si>
  <si>
    <t>1743-2820</t>
  </si>
  <si>
    <t>J BRYOL</t>
  </si>
  <si>
    <t>J. Bryol.</t>
  </si>
  <si>
    <t>10.1179/1743282013Y.0000000066</t>
  </si>
  <si>
    <t>219TK</t>
  </si>
  <si>
    <t>WOS:000324532700001</t>
  </si>
  <si>
    <t>Green, BS; Gardner, C; van der Meeren, GI</t>
  </si>
  <si>
    <t>Phillips, BF</t>
  </si>
  <si>
    <t>Green, Bridget S.; Gardner, Caleb; van der Meeren, Gro I.</t>
  </si>
  <si>
    <t>Enhancement of Lobster Fisheries to Improve Yield and Value</t>
  </si>
  <si>
    <t>LOBSTERS: BIOLOGY, MANAGEMENT, AQUACULTURE AND FISHERIES, 2ND EDITION</t>
  </si>
  <si>
    <t>SOUTHERN ROCK LOBSTER; HOMARUS-GAMMARUS L.; UNDERWATER VISUAL CENSUS; MARINE STOCK ENHANCEMENT; H.-MILNE EDWARDS; JASUS-EDWARDSII; AMERICAN LOBSTERS; EUROPEAN LOBSTER; ASSISTED COLONIZATION; JUVENILE LOBSTER</t>
  </si>
  <si>
    <t>Enhancement of lobster fisheries has the use of a range of systems over the last 150 years. Attempts to create new fisheries resources by translocating lobsters beyond their natural range have been largely unsuccessful. Although occasional reports of Homarus americanus in European waters occurred since the 1990s, no self-producing populations have been documented. The release of hatchery reared H. americanus and H. gammarus juveniles for recovery of depleted stocks and enhancement of fisheries has had a long history with most recent activity underway in Norway, the UK and Ireland. Research scale enhancement of spiny lobsters has also occurred using juveniles on-grown from wild-sourced puerulus. Success in these operations has relied on understanding processes affecting post-release survival and modifications to the release operations. Enhancements also occur through moving lobsters that are below harvestable size within their natural range. This improves market traits and production by moving lobsters to areas of higher growth. This review explores the performance of lobster enhancement operations through case studies, including one on Jasus edwardsii, and also the general principles that underpin enhancement, such as the need for monitoring and evaluation of economic feasibility.</t>
  </si>
  <si>
    <t>[Green, Bridget S.; Gardner, Caleb] Univ Tasmania, Inst Marine &amp; Antarctic Studies, Hobart, Tas, Australia; [van der Meeren, Gro I.] Inst Marine Res, N-5024 Bergen, Norway</t>
  </si>
  <si>
    <t>University of Tasmania; Institute of Marine Research - Norway</t>
  </si>
  <si>
    <t>Green, BS (corresponding author), Univ Tasmania, Inst Marine &amp; Antarctic Studies, Hobart, Tas, Australia.</t>
  </si>
  <si>
    <t>bridget.green@utas.edu.au; Caleb.Gardner@utas.edu.au</t>
  </si>
  <si>
    <t>Green, Bridget S/G-3368-2014; Gardner, Caleb/I-7086-2013</t>
  </si>
  <si>
    <t>van der Meeren, Gro I./0000-0002-5829-5396; Gardner, Caleb/0000-0003-0324-4337</t>
  </si>
  <si>
    <t>CHICHESTER</t>
  </si>
  <si>
    <t>THE ATRIUM, SOUTHERN GATE, CHICHESTER, WEST SUSSEX PO19 8SQ, ENGLAND</t>
  </si>
  <si>
    <t>978-0-470-67113-9</t>
  </si>
  <si>
    <t>10.1002/9781118517444</t>
  </si>
  <si>
    <t>Fisheries; Marine &amp; Freshwater Biology</t>
  </si>
  <si>
    <t>BGU78</t>
  </si>
  <si>
    <t>WOS:000324196700004</t>
  </si>
  <si>
    <t>Gardner, C; Larkin, S; Seijo, JC</t>
  </si>
  <si>
    <t>Gardner, Caleb; Larkin, Sherry; Carlos Seijo, Juan</t>
  </si>
  <si>
    <t>Systems to Maximize Economic Benefits in Lobster Fisheries</t>
  </si>
  <si>
    <t>bioeconomic modelling; maximum economic yield; fishery economics; harvest strategy; resource sharing</t>
  </si>
  <si>
    <t>SOUTHERN ROCK LOBSTER; MARINE PROTECTED AREAS; JASUS-EDWARDSII; SPINY LOBSTER; NEW-ZEALAND; PANULIRUS-ARGUS; CLIMATE-CHANGE; BIOECONOMIC ANALYSIS; COMMERCIAL CATCH; MANAGEMENT TOOLS</t>
  </si>
  <si>
    <t>Management plans and policy for lobster fisheries usually specify the objective of creating economic benefit from harvests, which is best supported by collection of economic data to evaluate management decisions. The economic benefit from several lobster harvests worldwide is measured as 'sustainable economic yield', which is the long-run, sustainable revenue from harvests minus the costs of harvesting. Maximum economic yield (MEY) is increasingly being considered as a formal target for lobster fisheries including in Australian and New Zealand fisheries for Panulirus cygnus, Panulirus ornatus and Jasus edwardsii. Bioeconomic models that combine stock, cost and price information are now being used in lobster fisheries including Panulirus interruptus, Panulirus argus, P. cygnus, J. edwardsii and Homarus americanus to evaluate regulations such as catch limits, season length, gear limits, and gear type. Economics theory has also been influential in the evolution of management systems used to constrain catch, in particular through the increased use of market-based and rights-based systems (Individual Transferable Effort, Individual Transferable Quota and Territorial Use Rights in Fisheries). These aim to provide incentives and mechanisms for transfer of catch to more efficient operators and reward for conservative stock management that protects future harvests. Economic methods can be used to resolve resource sharing issues in lobster fisheries with most research dealing with recreational and commercial interactions.</t>
  </si>
  <si>
    <t>[Gardner, Caleb] Univ Tasmania, Inst Marine &amp; Antarctic Studies, Hobart, Tas, Australia; [Larkin, Sherry] Univ Florida, Food &amp; Resource Econ Dept, Inst Food &amp; Agr Sci, Gainesville, FL 32611 USA</t>
  </si>
  <si>
    <t>University of Tasmania; State University System of Florida; University of Florida</t>
  </si>
  <si>
    <t>Gardner, C (corresponding author), Univ Tasmania, Inst Marine &amp; Antarctic Studies, Hobart, Tas, Australia.</t>
  </si>
  <si>
    <t>Caleb.Gardner@utas.edu.au</t>
  </si>
  <si>
    <t>Seijo, Juan Carlos/AAD-3728-2022; Gardner, Caleb/I-7086-2013</t>
  </si>
  <si>
    <t>Seijo, Juan Carlos/0000-0003-2064-8894; Gardner, Caleb/0000-0003-0324-4337; Larkin, Sherry/0000-0002-8850-0856</t>
  </si>
  <si>
    <t>WOS:000324196700006</t>
  </si>
  <si>
    <t>Amsler, MO; Amsler, CD; von Salm, JL; Aumack, CF; McClintock, JB; Young, RM; Baker, BJ</t>
  </si>
  <si>
    <t>Amsler, Margaret O.; Amsler, Charles D.; von Salm, Jacqueline L.; Aumack, Craig F.; McClintock, James B.; Young, Ryan M.; Baker, Bill J.</t>
  </si>
  <si>
    <t>Tolerance and sequestration of macroalgal chemical defenses by an Antarctic amphipod: a 'cheater' among mutualists</t>
  </si>
  <si>
    <t>Chemical defenses; Macroalgae; Amphipods; Sequestration; Antarctic ecology</t>
  </si>
  <si>
    <t>KING-GEORGE ISLAND; HOST-PLANT SPECIALIZATION; MARINE NATURAL-PRODUCTS; SOUTH SHETLAND ISLANDS; RED ALGA PLOCAMIUM; POTTER COVE; SUBTIDAL MACROALGAE; SPECIES COMPOSITION; SEAGRASS MEADOWS; PENINSULA</t>
  </si>
  <si>
    <t>Shallow-water communities along the western Antarctic Peninsula support forests of large, mostly chemically defended macroalgae and dense assemblages of macroalgal-associated amphipods, which are thought to exist together in a community-wide mutualism. The amphipods benefit the chemically defended macrophytes by consuming epiphytic algae and in turn benefit from an associational refuge from fish predation. In the present study, we document an exception to this pattern. The amphipod Paradexamine fissicauda is able to consume Plocamium cartilagineum and Picconiella plumosa, 2 species of sympatric, chemically defended red macroalgae. In previous studies, Plocamium cartilagineum was one of the most strongly deterrent algae in the community to multiple consumers, and was found here to be unpalatable to 5 other amphipod species which utilize it as a host in nature. Paradexamine fissicauda maintained on a diet of Plocamium cartilagineum for 2 mo were much less likely to be eaten by fish than Paradexamine fissicauda maintained on a red alga which does not elaborate chemical defenses, or than a different but morphologically similar sympatric amphipod species. Halogenated secondary metabolites produced by Plocamium cartilagineum were identified from tissues of the Paradexamine fissicauda that had eaten it but not those which had eaten the undefended red alga. This indicates that P. fissicauda is sequestering the potent chemical defenses of Plocamium cartilagineum for its own use.</t>
  </si>
  <si>
    <t>[Amsler, Margaret O.; Amsler, Charles D.; Aumack, Craig F.; McClintock, James B.] Univ Alabama Birmingham, Dept Biol, Birmingham, AL 35294 USA; [von Salm, Jacqueline L.; Young, Ryan M.; Baker, Bill J.] Univ S Florida, Dept Chem, Tampa, FL 33620 USA</t>
  </si>
  <si>
    <t>University of Alabama System; University of Alabama Birmingham; State University System of Florida; University of South Florida</t>
  </si>
  <si>
    <t>Amsler, CD (corresponding author), Univ Alabama Birmingham, Dept Biol, Birmingham, AL 35294 USA.</t>
  </si>
  <si>
    <t>amsler@uab.edu</t>
  </si>
  <si>
    <t>Baker, Bill/N-4312-2019; Young, Ryan M/E-9698-2019</t>
  </si>
  <si>
    <t>von Salm, Jacqueline/0000-0003-2277-5491; Amsler, Charles/0000-0002-4843-3759</t>
  </si>
  <si>
    <t>National Science Foundation [ANT-0838773, ANT-1041022]; Antarctic Organisms and Ecosystems program [ANT-0838776]; Endowed Professorship in Polar and Marine Biology by University of Alabama at Birmingham; Directorate For Geosciences; Office of Polar Programs (OPP) [1041022] Funding Source: National Science Foundation</t>
  </si>
  <si>
    <t>National Science Foundation(National Science Foundation (NSF)); Antarctic Organisms and Ecosystems program(National Science Foundation (NSF)NSF - Directorate for Geosciences (GEO)); Endowed Professorship in Polar and Marine Biology by University of Alabama at Birmingham; Directorate For Geosciences; Office of Polar Programs (OPP)(National Science Foundation (NSF)NSF - Directorate for Geosciences (GEO))</t>
  </si>
  <si>
    <t>We are grateful to the other members of our 2010, 2011, and 2012 Antarctic field teams for tireless assistance; to C. Barhate for preliminary chemical analysis of the algae and amphipods, to R. Angus for statistical advice, and to P. Steinberg and several anonymous reviewers for constructive comments on early versions of the manuscript. This work would not have been possible without outstanding logistical support in Antarctica from the employees and sub-contractors of Raytheon Polar Services Company. Supported by National Science Foundation awards ANT-0838773 and ANT-1041022 (C. D. A, J.B.M) and ANT-0838776 (B.J.B) from the Antarctic Organisms and Ecosystems program, and by an Endowed Professorship in Polar and Marine Biology to J.B.M provided by the University of Alabama at Birmingham.</t>
  </si>
  <si>
    <t>10.3354/meps10446</t>
  </si>
  <si>
    <t>219ZN</t>
  </si>
  <si>
    <t>WOS:000324550600007</t>
  </si>
  <si>
    <t>Stotz, GC; Salgado-Luarte, C; Rios, RS; Acuña-Rodriguez, IS; Carrasco-Urra, F; Molina-Montenegro, MA; Gianoli, E</t>
  </si>
  <si>
    <t>Stotz, Gisela C.; Salgado-Luarte, Cristian; Rios, Rodrigo S.; Acuna-Rodriguez, Ian S.; Carrasco-Urra, Fernando; Molina-Montenegro, Marco A.; Gianoli, Ernesto</t>
  </si>
  <si>
    <t>Trends in Antarctic ecological research in Latin America shown by publications in international journals</t>
  </si>
  <si>
    <t>Antarctica; Argentina; Brazil; Chile; research trends; scientific productivity</t>
  </si>
  <si>
    <t>BIODIVERSITY; ECOSYSTEMS</t>
  </si>
  <si>
    <t>Antarctica is a highly interesting region for ecologists because of its extreme climatic conditions and the uniqueness of its species. In this article, we describe the trends in Antarctic ecological research participation by Latin American countries. In a survey of articles indexed by the ISI Web of Science, we searched under the categories Ecology,'' Biodiversity Conservation'' and Evolutionary Biology'' and found a total of 254 research articles published by Latin American countries. We classified these articles according to the country of affiliation, kingdom of the study species, level of biological organization and environment. Our main finding is that there is a steady increase in the relative contribution of Latin American countries to Antarctic ecological research. Within each category, we found that marine studies are more common than terrestrial studies. Between the different kingdoms, most studies focus on animals and most studies use a community approach. The leading countries in terms of productivity were Argentina, Chile and Brazil, with Argentina showing the highest rate of increase.</t>
  </si>
  <si>
    <t>[Stotz, Gisela C.; Salgado-Luarte, Cristian; Rios, Rodrigo S.; Acuna-Rodriguez, Ian S.; Gianoli, Ernesto] Univ La Serena, Dept Biol, La Serena, Chile; [Carrasco-Urra, Fernando; Gianoli, Ernesto] Univ Concepcion, Dept Bot, Concepcion, Chile; [Molina-Montenegro, Marco A.] Univ Catolica Norte, Fac Ciencias Mar, Ctr Estudios Avanzados Zonas Aridas, Coquimbo, Chile</t>
  </si>
  <si>
    <t>Universidad de La Serena; Universidad de Concepcion; Universidad Catolica del Norte</t>
  </si>
  <si>
    <t>Stotz, GC (corresponding author), Univ Alberta, Dept Biol Sci, Edmonton, AB T6G 2E9, Canada.</t>
  </si>
  <si>
    <t>stotzgisela@gmail.com</t>
  </si>
  <si>
    <t>Rios, Rodrigo S/C-5098-2015; Stotz, Gisela C/E-2197-2017; Rios, Rodrigo/HLH-8390-2023; Gianoli, Ernesto/A-7984-2015</t>
  </si>
  <si>
    <t>Rios, Rodrigo S/0000-0003-3068-0118; Molina-Montenegro, Marco/0000-0001-6801-8942; Stotz, Gisela C./0000-0001-8687-7361; Gianoli, Ernesto/0000-0003-4246-8640</t>
  </si>
  <si>
    <t>Chilean Antarctic Institute [INACH T_14_08, INACH G_22_11]</t>
  </si>
  <si>
    <t>Chilean Antarctic Institute</t>
  </si>
  <si>
    <t>The authors thank the Chilean Antarctic Institute's INACH T_14_08 and INACH G_22_11 projects for their funding support.</t>
  </si>
  <si>
    <t>10.3402/polar.v32i0.19993</t>
  </si>
  <si>
    <t>223NO</t>
  </si>
  <si>
    <t>WOS:000324812700001</t>
  </si>
  <si>
    <t>Hara, K; Osada, K; Yamanouchi, T</t>
  </si>
  <si>
    <t>Hara, K.; Osada, K.; Yamanouchi, T.</t>
  </si>
  <si>
    <t>Tethered balloon-borne aerosol measurements: seasonal and vertical variations of aerosol constituents over Syowa Station, Antarctica</t>
  </si>
  <si>
    <t>SEA-SALT PARTICLES; DURVILLE COASTAL ANTARCTICA; ASTAR 2000 CAMPAIGN; ARCTIC TROPOSPHERE; BOUNDARY-LAYER; ICE CORE; ATMOSPHERIC DIMETHYLSULFIDE; SULFATE AEROSOLS; FROST FLOWERS; MIXING STATES</t>
  </si>
  <si>
    <t>Tethered balloon-borne aerosol measurements were conducted at Syowa Station, Antarctica, during the 46th Japanese Antarctic expedition (2005-2006). Direct aerosol sampling was operated from near the surface to the lower free troposphere (approximately 2500 m) using a balloon-borne aerosol impactor. Individual aerosol particles were analyzed using a scanning electron microscope equipped with an energy dispersive X-ray spectrometer. Seasonal and vertical features of aerosol constituents and their mixing states were investigated. Results show that sulfate particles were predominant in the boundary layer and lower free troposphere in summer, whereas sea-salt particles were predominant during winter through spring. Minerals, MgSO4, and sulfate containing K were identified as minor aerosol constituents in both boundary layer and free troposphere over Syowa Station. Although sea-salt particles were predominant during winter through spring, the relative abundance of sulfate particles increased in the boundary layer when air masses fell from the free troposphere over the Antarctic coast and continent. Sea-salt particles were modified considerably through heterogeneous reactions with SO42- CH3SO3- and their precursors during summer, and were modified slightly through heterogeneous reactions with NO3- and its precursors. During winter through spring, sea-salt modification was insignificant, particularly in the cases of high relative abundance of sea-salt particles and higher number concentrations. In August, NO3- and its precursors contributed greatly to sea-salt modification over Syowa Station. Because of the occurrence of sea-salt fractionation on sea ice, Mg-rich sea-salt particles were identified during the months of April through November. In contrast, Mg-free sea-salt particles and slightly Mg-rich sea-salt particles coexisted in the lower troposphere during summer. Thereby, Mg separation can proceed by sea-salt fractionation during summer in Antarctic regions.</t>
  </si>
  <si>
    <t>[Hara, K.; Yamanouchi, T.] Natl Inst Polar Res, Tokyo, Japan; [Osada, K.] Nagoya Univ, Grad Sch Environm Studies, Nagoya, Aichi 4648601, Japan</t>
  </si>
  <si>
    <t>Research Organization of Information &amp; Systems (ROIS); National Institute of Polar Research (NIPR) - Japan; Nagoya University</t>
  </si>
  <si>
    <t>Hara, K (corresponding author), Fukuoka Univ, Fac Sci, Dept Earth Syst Sci, Fukuoka 81401, Japan.</t>
  </si>
  <si>
    <t>harakei@fukuoka-u.ac.jp</t>
  </si>
  <si>
    <t>Yamanouchi, Takashi/P-2041-2015; Hara, Keiichiro/N-8264-2018; Osada, Kazuo/I-6395-2014</t>
  </si>
  <si>
    <t>Hara, Keiichiro/0000-0001-7440-7776; Yamanouchi, Takashi/0000-0001-6803-1901; Osada, Kazuo/0000-0003-3100-5835</t>
  </si>
  <si>
    <t>Observation project of global atmospheric change in the Antarctic [43-47]; Ministry of Education, Culture, Sports, Science and Technology of Japan [16253001]; Grants-in-Aid for Scientific Research [16253001, 22310013] Funding Source: KAKEN</t>
  </si>
  <si>
    <t>Observation project of global atmospheric change in the Antarctic; 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</si>
  <si>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would like to thank K. Matsubara (JARE46 leader, JMA), and K. Watanabe (JARE46 wintering leader; NIPR) for useful comments related to field operations around Syowa Station. Furthermore, we are grateful to T. Sato, H. Nishimaki, H. Yamamoto, T. Iwaki, D. Ito, S. Tasaka, A. Furusaki, M. Igarashi, T. Uemura, T. Okudaira, Y. Hasegawa, T. Yamazaki, H. Mizobuchi, M. Ikeda, K. Egawa, H. Takahashi, I. Okabayashi, and E. Kishimoto for help with tethered balloon operations under severe conditions, and to A. Yukimatsu, T. Matsumoto, M. Shuto, Y. Takagi, M. Kobayashi, H. Hamamoto, K. Harada, J. Fujii, K. Harigae, and Y. Ohmi for help with logistic work. Training of tethered balloon operations was conducted at the aerological observatory at Tsukuba, Japan, through cooperation with Y. Shuto (JMA), and T. Kimura (aerological observatory), who also provided useful and helpful comments related to tethered balloon operation. Useful comments for balloon operations in Antarctic regions were also offered by N. Hirasawa (NIPR) and K. Sato (The Univ. of Tokyo). This study was supported by Observation project of global atmospheric change in the Antarctic for JARE 43-47. This work was also supported by a Grant-in Aid (No. 16253001, PI: T. Yamanouchi) from the Ministry of Education, Culture, Sports, Science and Technology of Japan. The authors gratefully acknowledge the NOAA Air Resources Laboratory (ARL) for provision of the HYSPLIT transport and dispersion model and the READY website (http://www.arl.noaa.gov/ready.html) used in this publication.</t>
  </si>
  <si>
    <t>10.5194/acp-13-9119-2013</t>
  </si>
  <si>
    <t>217YX</t>
  </si>
  <si>
    <t>WOS:000324400600034</t>
  </si>
  <si>
    <t>Amakawa, H; Tazoe, H; Obata, H; Gamo, T; Sano, Y; Shen, CC</t>
  </si>
  <si>
    <t>Amakawa, Hiroshi; Tazoe, Hirofumi; Obata, Hajime; Gamo, Toshitaka; Sano, Yuji; Shen, Chuan-Chou</t>
  </si>
  <si>
    <t>Neodymium isotopic composition and concentration in the Southwest Pacific Ocean</t>
  </si>
  <si>
    <t>GEOCHEMICAL JOURNAL</t>
  </si>
  <si>
    <t>Southwest Pacific; Nd isotopic composition; Antarctic Intermediate Water (AAIW); Upper and Lower Circumpolar Deep Waters (UCDW and LCDW); GEOTRACES</t>
  </si>
  <si>
    <t>RARE-EARTH-ELEMENTS; ATLANTIC DEEP-WATER; PAPUA-NEW-GUINEA; ND-ISOTOPES; CIRCULATION; SEAWATER; MASSES; DISTRIBUTIONS; COMPILATION; HAFNIUM</t>
  </si>
  <si>
    <t>We report two vertical profiles of the concentration and isotopic composition of neodymium (Nd) in seawater samples collected at 20 degrees S and 30 degrees S along a longitude of 170 degrees W in the Southwest Pacific Ocean. At depths below 500 m, Nd isotopic composition values are less radiogenic than those obtained from the subtropical North Pacific. The minimum epsilon(Nd) values of -8.0 and -6.9 at depths of 800 to 1000 m correspond to Antarctic Intermediate Water (AAIW). The differences in eNd values between upper deep water (2000-3000 m) and lower deep water (&gt;4000 m) seem to be associated with Upper and Lower Circumpolar Deep Waters (UCDW and LCDW, respectively). The radiogenic Nd supply to AAIW from the Society Islands is estimated to be 30 +/- 22 tons Nd/yr, which is consistent with the estimates from previous studies conducted in the same location and the oceanic region close to the Hawaiian Islands. Our study demonstrates the uniqueness of Nd isotopic composition distributions in the Southwest Pacific Ocean. These results may be valuable for tracing present and past ocean circulation in this region.</t>
  </si>
  <si>
    <t>[Amakawa, Hiroshi; Shen, Chuan-Chou] Natl Taiwan Univ, Dept Geosci, High Precis Mass Spectrometry &amp; Environm Change L, 1,Sec 4,Roosevelt Rd, Taipei 10617, Taiwan; [Amakawa, Hiroshi; Obata, Hajime; Gamo, Toshitaka; Sano, Yuji] Univ Tokyo, Atmosphere &amp; Ocean Res Inst, Kashiwa, Chiba 2778568, Japan; [Tazoe, Hirofumi] Hirosaki Univ, Inst Radiat Emergency Med, Hirosaki, Aomori 0368564, Japan</t>
  </si>
  <si>
    <t>National Taiwan University; University of Tokyo; Hirosaki University</t>
  </si>
  <si>
    <t>Amakawa, H (corresponding author), Natl Taiwan Univ, Dept Geosci, High Precis Mass Spectrometry &amp; Environm Change L, 1,Sec 4,Roosevelt Rd, Taipei 10617, Taiwan.</t>
  </si>
  <si>
    <t>hiroamakawa@gmail.com</t>
  </si>
  <si>
    <t>Shen, Chuan-Chou/H-9642-2013; Shen, Chuan-Chou/JCE-1989-2023; lin, ke/GZM-8300-2022; Sano, Yuji/GPT-3454-2022</t>
  </si>
  <si>
    <t>Shen, Chuan-Chou/0000-0003-2833-2771; Shen, Chuan-Chou/0000-0003-2833-2771; Sano, Yuji/0000-0002-3305-5644</t>
  </si>
  <si>
    <t>Ministry of Education, Culture, Sports, Science and Technology (MEXT) [19523006, 21540503, 2353001]; Republic of China (ROC) National Science Council (NSC) [100-2116-M-002-009]; Grants-in-Aid for Scientific Research [21540503] Funding Source: KAKEN</t>
  </si>
  <si>
    <t>Ministry of Education, Culture, Sports, Science and Technology (MEXT)(Ministry of Education, Culture, Sports, Science and Technology, Japan (MEXT)); Republic of China (ROC) National Science Council (NSC); Grants-in-Aid for Scientific Research(Ministry of Education, Culture, Sports, Science and Technology, Japan (MEXT)Japan Society for the Promotion of ScienceGrants-in-Aid for Scientific Research (KAKENHI))</t>
  </si>
  <si>
    <t>We thank the captain, officers, and crew of the R.V. Hakuho-Maru, and the scientific parties of the Southern Cross-II (SX) Expeditions for their collaboration in sampling. We are grateful to Associate Editor Moritz Lehmann for handling the manuscript, and Der-Chuen Lee, Jorg Rickli, and an anonymous reviewer for their constructive comments and suggestions. This work was supported in part by the Ministry of Education, Culture, Sports, Science and Technology (MEXT) via Grant-in-Aid No. 19523006 (to G.T.), No. 21540503 (to H.A.), and No. 2353001 (to G.T.) to the Atmosphere Ocean Research Institute, University of Tokyo, Japan. Manuscript preparation was supported by a Republic of China (ROC) National Science Council (NSC) grant 100-2116-M-002-009 (to C.-C.S.).</t>
  </si>
  <si>
    <t>GEOCHEMICAL SOC JAPAN</t>
  </si>
  <si>
    <t>TOKYO</t>
  </si>
  <si>
    <t>358-5 YAMABUKI-CHO, SHINJUKU-KU, TOKYO, 162-0801, JAPAN</t>
  </si>
  <si>
    <t>0016-7002</t>
  </si>
  <si>
    <t>1880-5973</t>
  </si>
  <si>
    <t>GEOCHEM J</t>
  </si>
  <si>
    <t>Geochem. J.</t>
  </si>
  <si>
    <t>10.2343/geochemj.2.0260</t>
  </si>
  <si>
    <t>219MT</t>
  </si>
  <si>
    <t>WOS:000324511800003</t>
  </si>
  <si>
    <t>Liang, YJ; Ji, YC; Wang, Y; Wang, QH; Li, H</t>
  </si>
  <si>
    <t>Liu, XH; Zhang, KF; Li, MZ</t>
  </si>
  <si>
    <t>Liang, Yujia; Ji, Yingchao; Wang, Ying; Wang, Qiuhong; Li, Hong</t>
  </si>
  <si>
    <t>Research on the Relationship between the Productivity of Antarctic Krill Chitin and Its Fineness of Grind</t>
  </si>
  <si>
    <t>MATERIAL DESIGN, PROCESSING AND APPLICATIONS, PARTS 1-4</t>
  </si>
  <si>
    <t>4th International Conference on Manufacturing Science and Engineering (ICMSE 2013)</t>
  </si>
  <si>
    <t>MAR 30-31, 2013</t>
  </si>
  <si>
    <t>Dalian, PEOPLES R CHINA</t>
  </si>
  <si>
    <t>Antarctic krill; chitin; extraction efficiency; fineness; process conditions</t>
  </si>
  <si>
    <t>It has been proved that chitin content in Antarctic krill is much higher than other marine shelled organisms; therefore, people pay much more attention to the extraction and application of the chitin in Antarctic krill. During the experiments which use the traditional acid and alkali method to extract the chitin from Antarctic krill, the chitin's extraction efficiency was found out to have a great influence on the degree of grinding the shell. After testing and then come to a conclusion that based on the chitin content: extraction efficiency, concentration and dosage of the acid and alkali as well as many other factors, the material's fineness should be within forty mesh. And the optimum process conditions are: alkali treatment: concentration 25%, solid-liquid ratio 1:10, temperature 95 degrees C, 2 hours; acid treatment: concentration 10%, solid-liquid ratio 1:10, temperature 60 degrees C, 2 hours. By this way, 94.254% high-purity chitin was produced.</t>
  </si>
  <si>
    <t>[Liang, Yujia; Ji, Yingchao; Wang, Ying; Wang, Qiuhong; Li, Hong] Dalian Polytech Univ, Sch Text &amp; Mat Engn, Liaoning, Peoples R China</t>
  </si>
  <si>
    <t>Liang, YJ (corresponding author), Dalian Polytech Univ, Sch Text &amp; Mat Engn, Liaoning, Peoples R China.</t>
  </si>
  <si>
    <t>liangyujia@126.com; ji_yingchao@163.com; wangying@dlpu.edu.cn; wangqiuhong@dlpu.edu.cn; lihong@dlpu.edu.cn</t>
  </si>
  <si>
    <t>Wang, zijun/JNS-5435-2023</t>
  </si>
  <si>
    <t>978-3-03785-692-5</t>
  </si>
  <si>
    <t>690-693</t>
  </si>
  <si>
    <t>10.4028/www.scientific.net/AMR.690-693.1624</t>
  </si>
  <si>
    <t>Engineering, Manufacturing; Materials Science, Multidisciplinary</t>
  </si>
  <si>
    <t>BGD89</t>
  </si>
  <si>
    <t>WOS:000322498600333</t>
  </si>
  <si>
    <t>Waite, AM; Rossi, V; Roughan, M; Tilbrook, B; Thompson, PA; Feng, M; Wyatt, ASJ; Raes, EJ</t>
  </si>
  <si>
    <t>Waite, A. M.; Rossi, V.; Roughan, M.; Tilbrook, B.; Thompson, P. A.; Feng, M.; Wyatt, A. S. J.; Raes, E. J.</t>
  </si>
  <si>
    <t>Formation and maintenance of high-nitrate, low pH layers in the eastern Indian Ocean and the role of nitrogen fixation</t>
  </si>
  <si>
    <t>OXYGEN MINIMUM ZONE; LEEUWIN CURRENT; CARBON-DIOXIDE; MARINE SNOW; DYNAMICS; SEAWATER; EDDIES; SYSTEM; SEA</t>
  </si>
  <si>
    <t>We investigated the biogeochemistry of low dissolved oxygen high-nitrate (LDOHN) layers forming against the backdrop of several interleaving regional water masses in the eastern Indian Ocean, off northwest Australia adjacent to Ningaloo Reef. These water masses, including the forming Leeuwin Current, have been shown directly to impact the ecological function of Ningaloo Reef and other iconic coastal habitats downstream. Our results indicate that LDOHN layers are formed from multiple subduction events of the Eastern Gyral Current beneath the Leeuwin Current (LC); the LC originates from both the Indonesian Throughflow and tropical Indian Ocean. Density differences of up to 0.025 kg m(-3) between the Eastern Gyral Current and the Leeuwin Current produce sharp gradients that can trap high concentrations of particles (measured as low transmission) along the density interfaces. The oxidation of the trapped particulate matter results in local depletion of dissolved oxygen and regeneration of dissolved nitrate (nitrification). We document an associated increase in total dissolved carbon dioxide, which lowers the seawater pH by 0.04 units. Based on isotopic measurements (delta N-15 and delta O-18) of dissolved nitrate, we determine that similar to 40-100% of the nitrate found in LDOHN layers is likely to originate from nitrogen fixation, and that, regionally, the importance of N-fixation in contributing to LDOHN layers is likely to be highest at the surface and offshore.</t>
  </si>
  <si>
    <t>[Waite, A. M.; Raes, E. J.] M047 Univ Western Australia, Oceans Inst, Crawley, WA 6009, Australia; [Waite, A. M.; Raes, E. J.] M047 Univ Western Australia, Sch Environm Syst Engn, Crawley, WA 6009, Australia; [Rossi, V.; Roughan, M.] Univ New S Wales, Sch Math &amp; Stat, Sydney, NSW 2052, Australia; [Tilbrook, B.] CSIRO Wealth Oceans Natl Res Flagship &amp; Antarctic, Hobart, Tas 7001, Australia; [Thompson, P. A.] CSIRO Wealth Oceans Natl Res Flagship, Hobart, Tas 7001, Australia; [Feng, M.] CSIRO Wealth Oceans Natl Res Flagship, Floreat, WA 6014, Australia; [Wyatt, A. S. J.] Univ Tokyo, Atmosphere &amp; Ocean Res Inst, Dept Chem Oceanog, Marine Biogeochem Lab, Kashiwa, Chiba 2778564, Japan</t>
  </si>
  <si>
    <t>University of Western Australia; University of New South Wales Sydney; Commonwealth Scientific &amp; Industrial Research Organisation (CSIRO); Commonwealth Scientific &amp; Industrial Research Organisation (CSIRO); Commonwealth Scientific &amp; Industrial Research Organisation (CSIRO); University of Tokyo</t>
  </si>
  <si>
    <t>Waite, AM (corresponding author), M047 Univ Western Australia, Oceans Inst, Crawley, WA 6009, Australia.</t>
  </si>
  <si>
    <t>anya.waite@uwa.edu.au</t>
  </si>
  <si>
    <t>Feng, Ming/F-5411-2010; Rossi, Vincent/A-2897-2015; Tilbrook, Bronte/W-4007-2019; Wyatt, Alex S.J./A-9402-2008; Rossi, Vincent/AAL-9090-2021; Roughan, Moninya/B-5563-2009; Thompson, Peter/A-2361-2012; Waite, Anya/A-5492-2015</t>
  </si>
  <si>
    <t>Rossi, Vincent/0000-0001-7291-0415; Tilbrook, Bronte/0000-0001-9385-3827; Wyatt, Alex S.J./0000-0002-1339-9546; Rossi, Vincent/0000-0001-7291-0415; Roughan, Moninya/0000-0003-3825-7533; Thompson, Peter/0000-0002-9504-5433; Waite, Anya/0000-0003-2965-0296; Raes, Eric/0000-0002-4131-9312</t>
  </si>
  <si>
    <t>Australian Research Council [DP0663670]; Australian Government; Super Science Initiative; Australian Research Council [DP0663670] Funding Source: Australian Research Council</t>
  </si>
  <si>
    <t>Australian Research Council(Australian Research Council); Australian Government(Australian Government); Super Science Initiative; Australian Research Council(Australian Research Council)</t>
  </si>
  <si>
    <t>We thank P. Grierson for helpful discussions regarding isotopic fractionation of oxygen, C. Domingues for helpful discussions on the interleaving water masses and D. Kelly for valuable insights into double diffusion. This study was supported by an Australian Research Council Discovery Project Grant #DP0663670 to A. M. Waite, M. Roughan, J. Kotta, H. Orav-Kotta, and C. Pattiaratchi. Ship time for both the primary voyage (V04-2010) and the earlier Transit Voyage (T01-2010) was supported by the Australian Marine National Facility. ARGO data were collected and made freely available by the International Argo Project and the national programmes that contribute to it (http://www.argo.ucsd.edu, http://argo.jcommops.org). The Argo Project is part of the Global Ocean Observing System. Australian Argo data were sourced from the Integrated Marine Observing System (IMOS). The ocean colour image of the Trichodesmium sp. bloom was also provided by IMOS. IMOS is supported by the Australian Government through the National Collaborative Research Infrastructure Strategy and the Super Science Initiative.</t>
  </si>
  <si>
    <t>10.5194/bg-10-5691-2013</t>
  </si>
  <si>
    <t>212JW</t>
  </si>
  <si>
    <t>WOS:000323980300032</t>
  </si>
  <si>
    <t>Soler, RM; Pastur, GM; Lencinas, MV; Borrelli, L</t>
  </si>
  <si>
    <t>Soler, Rosina M.; Martinez Pastur, Guillermo; Vanessa Lencinas, Maria; Borrelli, Laura</t>
  </si>
  <si>
    <t>Seasonal diet of Lama guanicoe (Camelidae: Artiodactyla) in a heterogeneous landscape of South Patagonia</t>
  </si>
  <si>
    <t>BOSQUE</t>
  </si>
  <si>
    <t>grasses; guanaco; landscape; plant assemblage; tree seedlings</t>
  </si>
  <si>
    <t>TIERRA-DEL-FUEGO</t>
  </si>
  <si>
    <t>Large diversity of habitat types, plant species assemblages, and silvopastoral activities in Nothofagus spp. forests condition the food availability for native herbivores. This work evaluates the seasonal diet of Lama guanicoe linked to plant life forms and habitat types in sub-Antarctic forests. The study evaluated vegetation availability and habitat types by floristic surveys (n = 206) in Tierra del Fuego, and seasonal diet of L. guanicoe by a micro-histological analysis of feces (n = 4 in four areas, during four season). Open lands showed the highest plant richness, while lowest values corresponded to primary Nothofagus pumilio forests. Nothofagus pumilio (21.6 %), Carex spp. (17.2 %), Misodendrum spp. (10.6 %) and Deschampsia spp. (8.6 %) were the most frequent items found in feces. Significant differences were seasonally found in diet composition and trophic niche breadth: grasses were all consumed along the year, while tree browsing decreased and the proportion of shrubs increased in winter. This study highlights the widespread use of different habitats by guanaco, including harvested forests. In summer and spring Nothofagus spp. forests were the main source of food for guanacos, depending more on open lands during winter. The knowledge of plant-native herbivores interactions in productive landscapes could improve the management plans towards an ecologically sustainable strategy.</t>
  </si>
  <si>
    <t>[Soler, Rosina M.; Martinez Pastur, Guillermo; Vanessa Lencinas, Maria] Ctr Austral Invest Cient CADIC CONICET, Lab Recursos Forestales, RA-9410 Ushuaia, Tierra Del Fueg, Argentina; [Borrelli, Laura] Inst Nacl Tecnol Agr, San Carlos De Bariloche, Rio Negro, Argentina</t>
  </si>
  <si>
    <t>Consejo Nacional de Investigaciones Cientificas y Tecnicas (CONICET); Instituto Nacional de Tecnologia Agropecuaria (INTA)</t>
  </si>
  <si>
    <t>Soler, RM (corresponding author), Ctr Austral Invest Cient CADIC CONICET, Lab Recursos Forestales, Houssay 200, RA-9410 Ushuaia, Tierra Del Fueg, Argentina.</t>
  </si>
  <si>
    <t>rosinas@cadic-conicet.gob.ar</t>
  </si>
  <si>
    <t>Lencinas, Maria Vanessa/K-6208-2019; Martínez Pastur, Guillermo J./H-8188-2014</t>
  </si>
  <si>
    <t>Lencinas, Maria Vanessa/0000-0002-2123-3976; Martínez Pastur, Guillermo J./0000-0003-2614-5403; Soler, Rosina/0000-0002-5799-1672</t>
  </si>
  <si>
    <t>UNIV AUSTRAL CHILE, FAC CIENCIAS FORESTALES</t>
  </si>
  <si>
    <t>VALDIVIA</t>
  </si>
  <si>
    <t>CASILLA 567, VALDIVIA, 00000, CHILE</t>
  </si>
  <si>
    <t>0717-9200</t>
  </si>
  <si>
    <t>Bosque</t>
  </si>
  <si>
    <t>10.4067/S0717-92002013000200002</t>
  </si>
  <si>
    <t>Ecology; Forestry</t>
  </si>
  <si>
    <t>Environmental Sciences &amp; Ecology; Forestry</t>
  </si>
  <si>
    <t>204UF</t>
  </si>
  <si>
    <t>WOS:000323394500002</t>
  </si>
  <si>
    <t>González-Reyes, A; Muñoz, AA</t>
  </si>
  <si>
    <t>Gonzalez-Reyes, Alvaro; Munoz, Ariel A.</t>
  </si>
  <si>
    <t>Precipitation changes of Valdivia city (Chile) during the past 150 years</t>
  </si>
  <si>
    <t>Valdivian ecoregion; extreme values; autumn precipitation; El Nino Southern Oscillation ENSO; Antarctic Oscillation AAO</t>
  </si>
  <si>
    <t>NORTHERN PATAGONIA; TREE; VARIABILITY; CIRCULATION; STREAMFLOW; GROWTH</t>
  </si>
  <si>
    <t>Extensive records of rainfall are considered fundamental for analysing potential current climate change especially in zones where ecosystems are highly humidity dependent. Valdivia city has the longest instrumental record in the nation, starting in 1853, though including a lapse between 1880 and 1899. The present study had the main objective of evaluating changes in precipitation in annual, seasonal and monthly periods and distribution extreme values from 1901 to 2005; further, the activity of global scale climate forcing, such as ENSO and AAO, over the precipitation. Additionally, we have filled this gap period with other instrumental historical registers and Araucaria araucana Tree Ring chronology by evaluated rainfall shifts since 1853. Annual, seasonal and monthly decreases were registered betwee 1901 and 2005. Especially significant for 1853 - 2005, 1901 - 2005, autumn and September. Negative extreme values (droughts) were more frequent in the second half-century, compared with positive extreme values obtained prior to 1950. A high concentration of negative values was also registered post-1980, especially in autumn and winter. Significant and negative correlations were registered between the SOI indexes of ENSO, with a strong relationship across the year, except in summer. The AAO has registered negative and significant relationships as well, particularly during autumn, and February and March. These decreases suggest an extension of summer-time conditions in Valdivia for longer intervals, concentrating precipitation in winter.</t>
  </si>
  <si>
    <t>[Gonzalez-Reyes, Alvaro] Univ Chile, Fac Ciencias Fis &amp; Matemat, Dept Geol, Santiago, Chile; [Gonzalez-Reyes, Alvaro; Munoz, Ariel A.] Univ Austral Chile, Fac Ciencias Forestales &amp; Recursos Nat, Inst Conservac Biodiversidad &amp; Terr, Lab Dendrocronol &amp; Cambio Global, Valdivia, Chile; [Munoz, Ariel A.] Univ Tecn Federico Santa Maria, Ctr Tecnol Ambientales CETAM, Valparaiso, Chile; [Munoz, Ariel A.] Univ Austral Chile, Ctr Estudios Ambientales CEAM, Valdivia, Chile</t>
  </si>
  <si>
    <t>Universidad de Chile; Universidad Austral de Chile; Universidad Tecnica Federico Santa Maria; Universidad Austral de Chile</t>
  </si>
  <si>
    <t>González-Reyes, A (corresponding author), Univ Chile, Fac Ciencias Fis &amp; Matemat, Dept Geol, Santiago, Chile.</t>
  </si>
  <si>
    <t>alvarogonzalezreyes@u.uchile.cl</t>
  </si>
  <si>
    <t>10.4067/S0717-92002013000200008</t>
  </si>
  <si>
    <t>WOS:000323394500008</t>
  </si>
  <si>
    <t>Fedorov, G; Nolan, M; Brigham-Grette, J; Bolshiyanov, D; Schwamborn, G; Juschus, O</t>
  </si>
  <si>
    <t>Fedorov, G.; Nolan, M.; Brigham-Grette, J.; Bolshiyanov, D.; Schwamborn, G.; Juschus, O.</t>
  </si>
  <si>
    <t>Preliminary estimation of Lake El'gygytgyn water balance and sediment income</t>
  </si>
  <si>
    <t>CLIMATE OF THE PAST</t>
  </si>
  <si>
    <t>HYDROLOGY; CLIMATE; CRATER</t>
  </si>
  <si>
    <t>Modern process studies of the hydrologic balance of Lake El'gygytgyn, central Chukotka, and the sediment income from the catchment were carried out during a field campaign in spring and summer 2003. Despite high uncertainties due to the limited data, the results provide important first estimates for better understanding the modern and past sedimentation processes in this basin. Formed ca. 3.6 million years ago as a result of a meteorite impact, the basin contains one of the longest paleoclimate records in the terrestrial Arctic. Fluvial activity is concentrated over the short snowmelt period (about 20 days in second part of June). Underground outflow plays a very important role in the water balance and predominates over surface outflow. The residence time of the lake water is estimated to be about 100 yr.</t>
  </si>
  <si>
    <t>[Fedorov, G.] Arctic &amp; Antarctic Res Inst, St Petersburg 199397, Russia; [Fedorov, G.; Bolshiyanov, D.] St Petersburg State Univ, Fac Geog &amp; Geoecol, St Petersburg 199178, Russia; [Nolan, M.] Univ Alaska Fairbanks, Inst Northern Engn, Water &amp; Environm Res Ctr, Fairbanks, AK 99775 USA; [Brigham-Grette, J.] Univ Massachusetts, Dept Geosci, Amherst, MA 01003 USA; [Schwamborn, G.] Alfred Wegener Inst Polar &amp; Marine Res, D-14471 Potsdam, Germany; [Juschus, O.] Tech Univ Berlin, Inst Appl Geol, D-13355 Berlin, Germany</t>
  </si>
  <si>
    <t>Arctic &amp; Antarctic Research Institute; Saint Petersburg State University; University of Alaska System; University of Alaska Fairbanks; University of Massachusetts System; University of Massachusetts Amherst; Helmholtz Association; Alfred Wegener Institute, Helmholtz Centre for Polar &amp; Marine Research; Technical University of Berlin</t>
  </si>
  <si>
    <t>Fedorov, G (corresponding author), Arctic &amp; Antarctic Res Inst, Bering St 38, St Petersburg 199397, Russia.</t>
  </si>
  <si>
    <t>fedorov@aari.ru</t>
  </si>
  <si>
    <t>Fedorov, Grigory/N-5788-2019; Fedorov, Grigory/N-3444-2013; Schwamborn, Georg Johannes/ABC-9636-2020</t>
  </si>
  <si>
    <t>Fedorov, Grigory/0000-0003-2269-4501; Fedorov, Grigory/0000-0003-2269-4501; Schwamborn, Georg Johannes/0000-0001-9635-0539</t>
  </si>
  <si>
    <t>International Continental Scientific Drilling Program (ICDP); German Federal Ministry of Education and Research (BMBF) [03G0586, 03G0642]; US National Science Foundation [OPP 007122, 96-15768, 0002643]; Russian Academy of Sciences; Austrian Federal Ministry of Science and Research; Russian Federation [11.G34.31.0025]; Russian Foundation of Basic Research [10-05-00235-a]</t>
  </si>
  <si>
    <t>International Continental Scientific Drilling Program (ICDP); German Federal Ministry of Education and Research (BMBF)(Federal Ministry of Education &amp; Research (BMBF)); US National Science Foundation(National Science Foundation (NSF)); Russian Academy of Sciences(Russian Academy of Sciences); Austrian Federal Ministry of Science and Research; Russian Federation(Russian Federation); Russian Foundation of Basic Research(Russian Foundation for Basic Research (RFBR))</t>
  </si>
  <si>
    <t>We would like to thank the funding agencies including the International Continental Scientific Drilling Program (ICDP), German Federal Ministry of Education and Research (BMBF; grants 03G0586 and 03G0642), US National Science Foundation (grants OPP 007122, 96-15768, and 0002643), Russian Academy of Sciences, Austrian Federal Ministry of Science and Research and all the participants of the international El'gygytgyn Drilling Project for support and collaborations. Field work was also supported by a governmental grant of the Russian Federation (grant 11.G34.31.0025). We are also grateful to the Russian Foundation of Basic Research (grant 10-05-00235-a) and the Russian-German Otto Schmidt Laboratory for supporting the analytical work.</t>
  </si>
  <si>
    <t>1814-9324</t>
  </si>
  <si>
    <t>1814-9332</t>
  </si>
  <si>
    <t>CLIM PAST</t>
  </si>
  <si>
    <t>Clim. Past.</t>
  </si>
  <si>
    <t>10.5194/cp-9-1455-2013</t>
  </si>
  <si>
    <t>Geosciences, Multidisciplinary; Meteorology &amp; Atmospheric Sciences</t>
  </si>
  <si>
    <t>Geology; Meteorology &amp; Atmospheric Sciences</t>
  </si>
  <si>
    <t>205AN</t>
  </si>
  <si>
    <t>WOS:000323412600006</t>
  </si>
  <si>
    <t>Goeller, S; Thoma, M; Grosfeld, K; Miller, H</t>
  </si>
  <si>
    <t>Goeller, S.; Thoma, M.; Grosfeld, K.; Miller, H.</t>
  </si>
  <si>
    <t>A balanced water layer concept for subglacial hydrology in large-scale ice sheet models</t>
  </si>
  <si>
    <t>FREE-SURFACE FLOW; WEST ANTARCTICA; GROUNDING-LINE; STREAM-B; LAKE; BENEATH; VOSTOK; DRAINAGE; SENSITIVITY; INVENTORY</t>
  </si>
  <si>
    <t>There is currently no doubt about the existence of a widespread hydrological network under the Antarctic Ice Sheet, which lubricates the ice base and thus leads to increased ice velocities. Consequently, ice models should incorporate basal hydrology to obtain meaningful results for future ice dynamics and their contribution to global sea level rise. Here, we introduce the balanced water layer concept, covering two prominent subglacial hydrological features for ice sheet modeling on a continental scale: the evolution of subglacial lakes and balance water fluxes. We couple it to the thermomechanical ice-flow model RIMBAY and apply it to a synthetic model domain. In our experiments we demonstrate the dynamic generation of subglacial lakes and their impact on the velocity field of the overlaying ice sheet, resulting in a negative ice mass balance. Furthermore, we introduce an elementary parametrization of the water flux-basal sliding coupling and reveal the predominance of the ice loss through the resulting ice streams against the stabilizing influence of less hydrologically active areas. We point out that established balance flux schemes quantify these effects only partially as their ability to store subglacial water is lacking.</t>
  </si>
  <si>
    <t>[Goeller, S.; Thoma, M.; Grosfeld, K.; Miller, H.] Helmholtz Ctr Polar &amp; Marine Res, Alfred Wegener Inst, D-27568 Bremerhaven, Germany</t>
  </si>
  <si>
    <t>Goeller, S (corresponding author), Helmholtz Ctr Polar &amp; Marine Res, Alfred Wegener Inst, Alten Hafen 26, D-27568 Bremerhaven, Germany.</t>
  </si>
  <si>
    <t>sebastian.goeller@awi.de</t>
  </si>
  <si>
    <t>Miller, Heinrich/0000-0003-1015-2828; Thoma, Malte/0000-0002-4033-3905; Grosfeld, Klaus/0000-0001-5936-179X</t>
  </si>
  <si>
    <t>Helmholtz Climate Initiative REKLIM (Regional Climate Change); Helmholtz Association of German research centres (HGF); DFG [MA3347/2-1]</t>
  </si>
  <si>
    <t>Helmholtz Climate Initiative REKLIM (Regional Climate Change); Helmholtz Association of German research centres (HGF)(Helmholtz Association); DFG(German Research Foundation (DFG))</t>
  </si>
  <si>
    <t>This work was funded by the Helmholtz Climate Initiative REKLIM (Regional Climate Change), a joint research project of the Helmholtz Association of German research centres (HGF), and through the DFG research grant MA3347/2-1. The authors wish to thank Christoph Mayer for his collaboration in this project, Angelika Humbert for fruitful discussions, Conor Purcell for proof reading as well as Basile de Fleurian and three anonymous reviewers for their constructive comments which improved the manuscript.</t>
  </si>
  <si>
    <t>10.5194/tc-7-1095-2013</t>
  </si>
  <si>
    <t>212LU</t>
  </si>
  <si>
    <t>WOS:000323985700006</t>
  </si>
  <si>
    <t>Champollion, N; Picard, G; Arnaud, L; Lefebvre, E; Fily, M</t>
  </si>
  <si>
    <t>Champollion, N.; Picard, G.; Arnaud, L.; Lefebvre, E.; Fily, M.</t>
  </si>
  <si>
    <t>Hoar crystal development and disappearance at Dome C, Antarctica: observation by near-infrared photography and passive microwave satellite</t>
  </si>
  <si>
    <t>SURFACE MASS-BALANCE; MODELING TIME-SERIES; BRIGHTNESS TEMPERATURE; SNOW-SURFACE; AREA; MICROSTRUCTURE; PRECIPITATION; METAMORPHISM; FEATURES; PLATEAU</t>
  </si>
  <si>
    <t>Hoar crystals episodically cover the snow surface in Antarctica and affect the roughness and reflective properties of the air-snow interface. However, little is known about their evolution and the processes responsible for their development and disappearance despite a probable influence on the surface mass balance and energy budget. To investigate hoar evolution, we use continuous observations of the surface by in situ near-infrared photography and by passive microwave remote sensing at Dome C in Antarctica. From the photography data, we retrieved a daily indicator of the presence/absence of hoar crystals using a texture analysis algorithm. The analysis of this 2 yr long time series shows that Dome C surface is covered almost half of the time by hoar. The development of hoar crystals takes a few days and seems to occur whatever the meteorological conditions. In contrast, the disappearance of hoar is rapid (a few hours) and coincident with either strong winds or with moderate winds associated with a change in wind direction from southwest (the prevailing direction) to southeast. From the microwave satellite data, we computed the polarisation ratio (i.e. horizontal over vertical polarised brightness temperatures), an indicator known to be sensitive to hoar in Greenland. Photography data and microwave polarisation ratio are correlated, i.e. high values of polarisation ratio which theoretically correspond to low snow density values near the surface are associated with the presence of hoar crystals in the photography data. Satellite data over nearly ten years (2002-2011) confirm that a strong decrease of the polarisation ratio (i.e. signature of hoar disappearance) is associated with an increase of wind speed or a change in wind direction from the prevailing direction. The photography data provides, in addition, evidence of interactions between hoar and snowfall. Further adding the combined influence of wind speed and wind direction results in a complex picture of the snow-atmosphere interactions in Antarctica which deserves further quantification and modelling.</t>
  </si>
  <si>
    <t>[Champollion, N.; Picard, G.; Arnaud, L.; Lefebvre, E.; Fily, M.] UJF Grenoble 1, CNRS, LGGE, UMR5183, F-38041 Grenoble, France</t>
  </si>
  <si>
    <t>Centre National de la Recherche Scientifique (CNRS); Communaute Universite Grenoble Alpes; Universite Grenoble Alpes (UGA)</t>
  </si>
  <si>
    <t>Champollion, N (corresponding author), UJF Grenoble 1, CNRS, LGGE, UMR5183, F-38041 Grenoble, France.</t>
  </si>
  <si>
    <t>nicolas.champollion@lgge.obs.ujf-grenoble.fr</t>
  </si>
  <si>
    <t>Champollion, Nicolas/B-7921-2014; Picard, Ghislain/D-4246-2013; Champollion, Nicolas/U-4188-2017</t>
  </si>
  <si>
    <t>Champollion, Nicolas/0000-0001-7988-4694; Picard, Ghislain/0000-0003-1475-5853; arnaud, laurent/0000-0002-4432-4205</t>
  </si>
  <si>
    <t>Programme National de Teledetection Spatiale; Agence Nationale de la Recherche [MONISNOW ANR-11-JS56-005-01]</t>
  </si>
  <si>
    <t>Programme National de Teledetection Spatiale; Agence Nationale de la Recherche(Agence Nationale de la Recherche (ANR))</t>
  </si>
  <si>
    <t>This work was supported by the Programme National de Teledetection Spatiale and the Agence Nationale de la Recherche (MONISNOW ANR-11-JS56-005-01). We thank the French polar institute (Institut Paul-Emile Victor) for logistical support through CALVA and TASTE-IDEA programs. We thank the following institutes for providing data: the European Centre for Medium-range Weather Forecasts (ERA Interim), Antarctic Meteorological Research Center (weather observation), the National Snow and Ice Data Center (satellite data) and the Baseline Surface Radiation Network (radiation observations). We also thank C. Genthon and D. Six, LGGE, for the disdrometer data.</t>
  </si>
  <si>
    <t>10.5194/tc-7-1247-2013</t>
  </si>
  <si>
    <t>WOS:000323985700016</t>
  </si>
  <si>
    <t>Grünewald, T; Stötter, J; Pomeroy, JW; Dadic, R; Baños, IM; Marturià, J; Spross, M; Hopkinson, C; Burlando, P; Lehning, M</t>
  </si>
  <si>
    <t>Gruenewald, T.; Stoetter, J.; Pomeroy, J. W.; Dadic, R.; Banos, I. Moreno; Marturia, J.; Spross, M.; Hopkinson, C.; Burlando, P.; Lehning, M.</t>
  </si>
  <si>
    <t>Statistical modelling of the snow depth distribution in open alpine terrain</t>
  </si>
  <si>
    <t>HYDROLOGY AND EARTH SYSTEM SCIENCES</t>
  </si>
  <si>
    <t>MOUNTAIN CATCHMENT; SPATIAL-DISTRIBUTION; WATER EQUIVALENT; BLOWING SNOW; MASS-BALANCE; TEMPORAL VARIABILITY; ROCKY-MOUNTAINS; CLIMATE-CHANGE; WIND FIELDS; COVER</t>
  </si>
  <si>
    <t>The spatial distribution of alpine snow covers is characterised by large variability. Taking this variability into account is important for many tasks including hydrology, glaciology, ecology or natural hazards. Statistical modelling is frequently applied to assess the spatial variability of the snow cover. For this study, we assembled seven data sets of high-resolution snow-depth measurements from different mountain regions around the world. All data were obtained from airborne laser scanning near the time of maximum seasonal snow accumulation. Topographic parameters were used to model the snow depth distribution on the catchment-scale by applying multiple linear regressions. We found that by averaging out the substantial spatial heterogeneity at the metre scales, i.e. individual drifts and aggregating snow accumulation at the landscape or hydrological response unit scale (cell size 400 m), that 30 to 91% of the snow depth variability can be explained by models that are calibrated to local conditions at the single study areas. As all sites were sparsely vegetated, only a few topographic variables were included as explanatory variables, including elevation, slope, the deviation of the aspect from north (northing), and a wind sheltering parameter. In most cases, elevation, slope and northing are very good predictors of snow distribution. A comparison of the models showed that importance of parameters and their coefficients differed among the catchments. A global model, combining all the data from all areas investigated, could only explain 23% of the variability. It appears that local statistical models cannot be transferred to different regions. However, models developed on one peak snow season are good predictors for other peak snow seasons.</t>
  </si>
  <si>
    <t>[Gruenewald, T.; Lehning, M.] WSL Inst Snow &amp; Avalanche Res SLF, CH-7260 Davos, Switzerland; [Gruenewald, T.; Lehning, M.] Ecole Polytech Fed Lausanne, Cryos, Sch Architecture Civil &amp; Environm Engn, CH-1015 Lausanne, Switzerland; [Stoetter, J.; Spross, M.] Univ Innsbruck, Inst Geog, A-6020 Innsbruck, Austria; [Pomeroy, J. W.] Univ Saskatchewan, Ctr Hydrol, Saskatoon, SK S7N 5C8, Canada; [Dadic, R.; Burlando, P.] ETH, Inst Environm Engn, CH-8093 Zurich, Switzerland; [Dadic, R.] Victoria Univ Wellington, Antarctic Res Ctr, Wellington, New Zealand; [Banos, I. Moreno; Marturia, J.] Inst Geol Catalunya, Barcelona 08006, Spain; [Hopkinson, C.] Univ Lethbridge, Dept Geog, Lethbridge, AB T1K 3M4, Canada</t>
  </si>
  <si>
    <t>Swiss Federal Institutes of Technology Domain; Swiss Federal Institute for Forest, Snow &amp; Landscape Research; Swiss Federal Institutes of Technology Domain; Ecole Polytechnique Federale de Lausanne; University of Innsbruck; University of Saskatchewan; Swiss Federal Institutes of Technology Domain; ETH Zurich; Victoria University Wellington; University of Lethbridge</t>
  </si>
  <si>
    <t>Grünewald, T (corresponding author), WSL Inst Snow &amp; Avalanche Res SLF, Fluelastr 35, CH-7260 Davos, Switzerland.</t>
  </si>
  <si>
    <t>gruenewald@slf.ch</t>
  </si>
  <si>
    <t>Dadic, Ruzica/O-4458-2019; Grünewald, Thomas/AAA-2063-2019; Pomeroy, John W/IZE-0873-2023; Pomeroy, John W/A-8589-2013; Lehning, Michael/AFS-9462-2022; Grunewald, Thomas/E-3235-2017</t>
  </si>
  <si>
    <t>Pomeroy, John W/0000-0002-4782-7457; Pomeroy, John W/0000-0002-4782-7457; Lehning, Michael/0000-0002-8442-0875; MARTURIA, JORDI/0000-0001-8999-132X; Stotter, Johann/0000-0002-7750-988X; Dadic, Ruzica/0000-0003-1303-1896; Grunewald, Thomas/0000-0002-6235-0773</t>
  </si>
  <si>
    <t>1027-5606</t>
  </si>
  <si>
    <t>HYDROL EARTH SYST SC</t>
  </si>
  <si>
    <t>Hydrol. Earth Syst. Sci.</t>
  </si>
  <si>
    <t>10.5194/hess-17-3005-2013</t>
  </si>
  <si>
    <t>212KL</t>
  </si>
  <si>
    <t>WOS:000323981900001</t>
  </si>
  <si>
    <t>Bajish, CC; Aoki, S; Taguchi, B; Komori, N; Kim, SJ</t>
  </si>
  <si>
    <t>Bajish, C. C.; Aoki, S.; Taguchi, B.; Komori, N.; Kim, S. -J.</t>
  </si>
  <si>
    <t>Quasi-Decadal Circumpolar Variability of Antarctic Sea Ice</t>
  </si>
  <si>
    <t>SOLA</t>
  </si>
  <si>
    <t>EXTRATROPICAL CIRCULATION; ANNULAR MODES</t>
  </si>
  <si>
    <t>Decadal variability of Antarctic sea ice and a role of ocean dynamics are examined with sea ice concentration (SIC) and sea surface temperature (SST) derived from satellite microwave observation and obtained by a high resolution coupled ocean-atmosphereice general circulation model (CGCM). Sea ice observations revealed a circumpolar variability of sea ice edge (SIE) on quasi-decadal time scale. SST also showed variation on similar time scale with warm (cool) anomaly roughly corresponding to retreat (extension) of SIE at negative (positive) southern annular mode (SAM). CGCM run without anthropogenic forcing and volcanic eruptions revealed that the leading mode of SIC is quasi-circumpolar pattern with a dominant time scale of 12-17 years and the leading mode of SST also has a similar pattern with the SIC showing a high degree of inverse correlation. The modeled SAM significantly correlates with these leading modes of both SIC and SST, representing the same structure with the observations. This indicates that the oceanic natural variability is the key to understand the quasi-decadal variability in sea ice.</t>
  </si>
  <si>
    <t>[Bajish, C. C.] Hokkaido Univ, Grad Sch Environm Sci, Sapporo, Hokkaido 0600810, Japan; [Aoki, S.] Hokkaido Univ, Inst Low Temp Sci, Sapporo, Hokkaido 0600810, Japan; [Taguchi, B.; Komori, N.] JAMSTEC, Earth Simulator Ctr, Yokohama, Kanagawa, Japan; [Kim, S. -J.] KIOST, Korea Polar Res Inst, Inchon, South Korea</t>
  </si>
  <si>
    <t>Hokkaido University; Hokkaido University; Japan Agency for Marine-Earth Science &amp; Technology (JAMSTEC); Korea Polar Research Institute (KOPRI); Korea Institute of Ocean Science &amp; Technology (KIOST)</t>
  </si>
  <si>
    <t>Bajish, CC (corresponding author), Hokkaido Univ, Grad Sch Environm Sci, Kita Ku, North 10,West 5, Sapporo, Hokkaido 0600810, Japan.</t>
  </si>
  <si>
    <t>ccbajish@lowtem.hokudai.ac.jp</t>
  </si>
  <si>
    <t>Taguchi, Bunmei/J-2109-2014; Komori, Nobumasa/D-1989-2013; Aoki, Shigeru/D-9105-2012</t>
  </si>
  <si>
    <t>Taguchi, Bunmei/0000-0002-3537-4462; Komori, Nobumasa/0000-0001-6067-8356; , Bajish/0000-0002-5909-094X</t>
  </si>
  <si>
    <t>Ministry of Education, Culture, Sports, Science and Technology in Japan; Korea Polar Research Institute [PE13010]; JAMSTEC; Grants-in-Aid for Scientific Research [22106009, 22106006, 24540476, 22106010, 22106008, 21310002, 22244057, 22106001, 23340139] Funding Source: KAKEN</t>
  </si>
  <si>
    <t>Ministry of Education, Culture, Sports, Science and Technology in Japan(Ministry of Education, Culture, Sports, Science and Technology, Japan (MEXT)); Korea Polar Research Institute(Korea Polar Research Institute of Marine Research Placement (KOPRI)); JAMSTEC; Grants-in-Aid for Scientific Research(Ministry of Education, Culture, Sports, Science and Technology, Japan (MEXT)Japan Society for the Promotion of ScienceGrants-in-Aid for Scientific Research (KAKENHI))</t>
  </si>
  <si>
    <t>NOAA_OI_SST_V2 data was provided by the NOAA/OAR/ESRL PSD, Boulder, Colorado, USA, from their website at http://www.esrl.noaa.gov/psd/. The monthly mean Antarctic Oscillation index was provided by the NOAA/NCEP Climate Prediction Center in Camp Springs, MD (http://www.cpc.ncep.noaa.gov). This work was supported by Grants-in-Aids for Scientific Research of the Ministry of Education, Culture, Sports, Science and Technology in Japan. S.-J. Kim was supported by the project Reconstruction and observation of components for the Annular Mode to investigate the cause of climate change at polar regions (PE13010) of Korea Polar Research Institute. This study was carried out under the Joint Research Program of the Institute of Low Temperature Science, Hokkaido University. The integration of the CFES was carried out on the Earth Simulator under the support of JAMSTEC. The authors thank the manuscript reviewers for their valuable comments.</t>
  </si>
  <si>
    <t>METEOROLOGICAL SOC JAPAN</t>
  </si>
  <si>
    <t>C/O JAPAN METEOROLOGICAL AGENCY 1-3-4 OTE-MACHI, CHIYODA-KU, TOKYO, 100-0004, JAPAN</t>
  </si>
  <si>
    <t>1349-6476</t>
  </si>
  <si>
    <t>10.2151/sola.2013-008</t>
  </si>
  <si>
    <t>203TT</t>
  </si>
  <si>
    <t>WOS:000323317100008</t>
  </si>
  <si>
    <t>Zhang, SM; Wu, YM</t>
  </si>
  <si>
    <t>Tan, H</t>
  </si>
  <si>
    <t>Zhang Shengmao; Wu Yumei</t>
  </si>
  <si>
    <t>Analysis and Charting of the Sea Conditions in Antarctic krill Fishing Area</t>
  </si>
  <si>
    <t>PIAGENG 2013: IMAGE PROCESSING AND PHOTONICS FOR AGRICULTURAL ENGINEERING</t>
  </si>
  <si>
    <t>3rd International Conference on Photonics and Image in Agriculture Engineering (PIAGENG) - Image Processing and Photonics for Agricultural Engineering</t>
  </si>
  <si>
    <t>JAN 27-28, 2013</t>
  </si>
  <si>
    <t>Sanya, PEOPLES R CHINA</t>
  </si>
  <si>
    <t>Sea surface temperature; chlorophyll-a; ice sea density; Antarctic krill</t>
  </si>
  <si>
    <t>Antarctic krill (Euphausia superba Dana), one of the resources which have never been fished before, is full of development potential. The data of the ocean environment, generated from remote sensing, is the important parameter in analyzing the spatial and temporal distribution, the state of resource and the fishery work environment of Antarctic krill fishery. After downloading, extracting, clipping, registration, projection and calculation, we have got the information about the sea area and state data of Antarctic Krill fishery. Then we make the thematic map according to the data characteristic. From the distribution map of the 3 fishing areas in 2011, it is indicated that chlorophyll-a density is maximum in December and minimum in February. The sea surface temperature is maximum in February, and minimum in August. And the sea ice density is maximum in September and minimum in February. There are some differences in different season.</t>
  </si>
  <si>
    <t>[Zhang Shengmao] E China Normal Univ, Minist Educ, Key Lab Geog Informat Sci, Shanghai 200062, Peoples R China</t>
  </si>
  <si>
    <t>East China Normal University</t>
  </si>
  <si>
    <t>Zhang, SM (corresponding author), E China Normal Univ, Minist Educ, Key Lab Geog Informat Sci, Shanghai 200062, Peoples R China.</t>
  </si>
  <si>
    <t>wym_07@163.com</t>
  </si>
  <si>
    <t>zhang, shengmao/A-3630-2011</t>
  </si>
  <si>
    <t>978-0-8194-9558-7</t>
  </si>
  <si>
    <t>87610I</t>
  </si>
  <si>
    <t>10.1117/12.2020289</t>
  </si>
  <si>
    <t>Agricultural Engineering; Optics; Imaging Science &amp; Photographic Technology</t>
  </si>
  <si>
    <t>Agriculture; Optics; Imaging Science &amp; Photographic Technology</t>
  </si>
  <si>
    <t>BGJ89</t>
  </si>
  <si>
    <t>WOS:000323255700018</t>
  </si>
  <si>
    <t>Lu, XM; Hu, YX</t>
  </si>
  <si>
    <t>Turner, MD; Kamerman, GW</t>
  </si>
  <si>
    <t>Lu, Xiaomei; Hu, Yongxiang</t>
  </si>
  <si>
    <t>Ice sheet surface elevation retrieval from CALIPSO lidar measurements</t>
  </si>
  <si>
    <t>LASER RADAR TECHNOLOGY AND APPLICATIONS XVIII</t>
  </si>
  <si>
    <t>Conference on Laser Radar Technology and Applications XVIII</t>
  </si>
  <si>
    <t>APR 30-MAY 02, 2013</t>
  </si>
  <si>
    <t>Baltimore, MD</t>
  </si>
  <si>
    <t>Laser Altimetry; CALIPSO atmospheric lidar; Remote Sensing; Ice sheets</t>
  </si>
  <si>
    <t>LASER ALTIMETER</t>
  </si>
  <si>
    <t>The primary objective of the atmospheric profiling lidar aboard Cloud-Aerosol Lidar and Infrared Pathfinder Satellite Observations (CALIPSO) mission launched in April 2006 has been studying the climate impact of clouds and aerosols in the atmosphere. However, CALIPSO lidar also collects information about other components of the Earth's ecosystem, such as polar ice sheets. The purpose of this study is to propose a new technique to provide high resolution of polar ice sheet surface elevation from CALIPSO single shot lidar measurements (70 m spot size). The new technique relies on an empirical relationship between the peak signal ratio and the distance between the surface and the peak signal range bin center to achieve high altimetry resolution. The ice sheet surface elevation results in the region of Greenland and Antarctic compare very well with the Ice, Cloud and land Elevation Satellite (ICESat) laser altimetry measurements. The comparisons suggest that the obtained CALIPSO ice sheet surface elevation by the new technique is accurate to within 1 m. Based on the new technique, the preliminary data product of along-track topography retrieved from the CALIPSO lidar measurements is available to the altimetry community for evaluation.</t>
  </si>
  <si>
    <t>[Lu, Xiaomei] NASA Langley Res Ctr, NASA Postdoctoral Program Fellow, Hampton, VA 23681 USA</t>
  </si>
  <si>
    <t>National Aeronautics &amp; Space Administration (NASA); NASA Langley Research Center</t>
  </si>
  <si>
    <t>Lu, XM (corresponding author), NASA Langley Res Ctr, NASA Postdoctoral Program Fellow, Hampton, VA 23681 USA.</t>
  </si>
  <si>
    <t>yongxiang.hu-1@nasa.gov</t>
  </si>
  <si>
    <t>Hu, Yongxiang/K-4426-2012; wang, yan/GSE-6489-2022; LI, XIAO/IQV-9318-2023</t>
  </si>
  <si>
    <t>Hu, Yongxiang/0000-0001-8526-108X</t>
  </si>
  <si>
    <t>978-0-8194-9522-8</t>
  </si>
  <si>
    <t>87310Z</t>
  </si>
  <si>
    <t>10.1117/12.2026617</t>
  </si>
  <si>
    <t>Optics; Telecommunications</t>
  </si>
  <si>
    <t>BGK47</t>
  </si>
  <si>
    <t>WOS:000323324800030</t>
  </si>
  <si>
    <t>Kirkwood, WJ; Peltzer, E; Walz, P; Headley, K; Kecy, C; Shane, F; Scholfield, J; O'Reilly, T</t>
  </si>
  <si>
    <t>Kirkwood, W. J.; Peltzer, E.; Walz, P.; Headley, K.; Kecy, C.; Shane, F.; Scholfield, J.; O'Reilly, T.</t>
  </si>
  <si>
    <t>xFOCE: An Open Source Technology Consortium for Ocean Acidification Research</t>
  </si>
  <si>
    <t>2013 IEEE INTERNATIONAL UNDERWATER TECHNOLOGY SYMPOSIUM (UT)</t>
  </si>
  <si>
    <t>IEEE Underwater Technology UT</t>
  </si>
  <si>
    <t>IEEE International Underwater Technology Symposium (UT)</t>
  </si>
  <si>
    <t>MAR 05-08, 2013</t>
  </si>
  <si>
    <t>Tokyo, JAPAN</t>
  </si>
  <si>
    <t>The Free Ocean CO2 Enrichment (FOCE) concept and systems have been developed by the Monterey Bay Aquarium Research Institute (MBARI) as a way of performing comprehensive in situ ocean acidification (OA) seafloor experiments. MBARI funded an early project to test potential technologies for closed loop control of shifting pH associated with addition of acidified sea water, into a natural flow, stream that would manage the considerable lag times associated with the chemical reactions taking place; thus the protoFOCE was born. Later the full-scale deep water (850m depth) FOCE (dpFOCE) was tested with cabled control. We briefly outline the basic issues with OA experiments and describe why systems like FOCE are needed to better understand the impacts of OA. Early OA studies focused directly on the decreasing ability of some animals to form calcium carbonate shells under more acidic conditions. More recent work has focused on behavioral changes in marine species associated with a high CO2 environment. Each of these science studies can now be addressed by controlled in situ field experiments. Early engineering tests were published and soon external interest in the concept heightened. MBARI transferred FOCE technology to researcher working on the Great Barrier Reef. The resulting collaboration created the Coral-Prototype FOCE (cpFOCE) system. cpFOCE directly demonstrated the significant carbonate losses that may be anticipated in our High CO2 Ocean future. We also have the European FOCE (eFOCE), a proposal for Antarctic FOCE (antFOCE), and MBARI's own shallow water FOCE (swFOCE) with local collaborators underway. Interest in FOCE systems continues to grow as we've published and presented this capable in situ technology. To support the interested community MBARI engineering and science has developed a new concept. xFOCE is a project to create a generic FOCE reference design and to build the community support structure enabling FOCE technology to be freely available to the OA science community outside of MBARI. Within this paper we outline the technologies behind the xFOCE project and discuss the various elements of the project including decisions and ultimate goals. We also review how xFOCE can be implemented using alternate technologies if the science user chooses to do so. We outline our heavy focus on building a user group of researchers who ultimately will create and direct FOCE projects much the same as the open source software community has done with the GNU General Public License project. The distinction between open source and free is clearly articulated and we explain why this is important for building an enduring community with common standards for the execution of FOCE experiments.</t>
  </si>
  <si>
    <t>[Kirkwood, W. J.; Peltzer, E.; Walz, P.; Headley, K.; Kecy, C.; Shane, F.; Scholfield, J.; O'Reilly, T.] Monterey Bay Aquarium Res Inst, Moss Landing, CA 93950 USA</t>
  </si>
  <si>
    <t>Monterey Bay Aquarium Research Institute</t>
  </si>
  <si>
    <t>Kirkwood, WJ (corresponding author), Monterey Bay Aquarium Res Inst, 7700 Sandholdt Rd, Moss Landing, CA 93950 USA.</t>
  </si>
  <si>
    <t>kiwi@mbari.org</t>
  </si>
  <si>
    <t>Brewer, Peter/0000-0002-5448-0199</t>
  </si>
  <si>
    <t>2573-3788</t>
  </si>
  <si>
    <t>2573-3796</t>
  </si>
  <si>
    <t>978-1-4673-5948-1; 978-1-4673-5947-4</t>
  </si>
  <si>
    <t>IEEE UNDERWATER TECH</t>
  </si>
  <si>
    <t>Engineering, Marine; Engineering, Electrical &amp; Electronic</t>
  </si>
  <si>
    <t>BGD72</t>
  </si>
  <si>
    <t>WOS:000322477900001</t>
  </si>
  <si>
    <t>Järvinen, E; Virkkula, A; Nieminen, T; Aalto, PP; Asmi, E; Lanconelli, C; Busetto, M; Lupi, A; Schioppo, R; Vitale, V; Mazzola, M; Petäjä, T; Kerminen, VM; Kulmala, M</t>
  </si>
  <si>
    <t>Jarvinen, E.; Virkkula, A.; Nieminen, T.; Aalto, P. P.; Asmi, E.; Lanconelli, C.; Busetto, M.; Lupi, A.; Schioppo, R.; Vitale, V.; Mazzola, M.; Petaja, T.; Kerminen, V. -M.; Kulmala, M.</t>
  </si>
  <si>
    <t>Seasonal cycle and modal structure of particle number size distribution at Dome C, Antarctica</t>
  </si>
  <si>
    <t>CLOUD CONDENSATION NUCLEI; ATMOSPHERIC AEROSOLS; SULFURIC-ACID; GROWTH-RATES; SOUTH-POLE; NUCLEATION; STATION; MODEL; OH; SPECTROMETER</t>
  </si>
  <si>
    <t>We studied new particle formation and modal behavior of ultrafine aerosol particles on the high East Antarctic plateau at the Concordia station, Dome C (75 degrees 06' S, 123 degrees 23' E). Aerosol particle number size distributions were measured in the size range 10-600 nm from 14 December 2007 to 7 November 2009. We used an automatic algorithm for fitting up to three modes to the size distribution data. The total particle number concentration was low with the median of 109 cm(-3). There was a clear seasonal cycle in the total particle number and the volume concentrations. The concentrations were at their highest during the austral summer with the median values of 260 cm(-3) and 0.086 mu m(3) cm(-3), and at their lowest during the austral winter with corresponding values of 15 cm(-3) and 0.009 mu m(3) cm(-3). New particle formation events were determined from the size distribution data. During the measurement period, natural new particle formation was observed on 60 days and for 15 of these days the particle growth rates from 10 to 25 nm in size could be determined. The median particle growth rate during all these events was 2.5 nm h(-1) and the median formation rate of 10 nm particles was 0.023 cm(-3) s(-1). Most of the events were similar to those observed at other continental locations, yet also some variability in event types was observed. Exceptional features in Dome C were the winter events that occurred during dark periods, as well as the events for which the growth could be followed during several consecutive days. We called these latter events slowly growing events. This paper is the first one to analyze long-term size distribution data from Dome C, and also the first paper to show that new particle formation events occur in central Antarctica.</t>
  </si>
  <si>
    <t>[Jarvinen, E.; Virkkula, A.; Nieminen, T.; Aalto, P. P.; Petaja, T.; Kerminen, V. -M.; Kulmala, M.] Univ Helsinki, Dept Phys, FIN-00014 Helsinki, Finland; [Virkkula, A.; Asmi, E.] Finnish Meteorol Inst, Helsinki 00560, Finland; [Lanconelli, C.; Busetto, M.; Lupi, A.; Vitale, V.; Mazzola, M.] Italian Natl Res Council ISAC CNR, Inst Atmospher Sci &amp; Climate, I-40129 Bologna, Italy; [Schioppo, R.] ENEA UTA Unita Tecn Antartica, Rome, Italy</t>
  </si>
  <si>
    <t>University of Helsinki; Finnish Meteorological Institute; Consiglio Nazionale delle Ricerche (CNR); Istituto di Scienze dell'Atmosfera e del Clima (ISAC-CNR)</t>
  </si>
  <si>
    <t>Järvinen, E (corresponding author), Univ Helsinki, Dept Phys, POB 64, FIN-00014 Helsinki, Finland.</t>
  </si>
  <si>
    <t>emma.jarvinen@helsinki.fi</t>
  </si>
  <si>
    <t>Nieminen, Tuomo/AAB-8686-2020; busetto, maurizio/Q-4118-2018; Lanconelli, Christian/Q-5848-2018; Virkkula, Aki/B-8575-2014; Kerminen, Veli-Matti/M-9026-2014; vitale, vito/AAW-8441-2021; Aalto, Pasi P/A-1539-2009; Petäjä, Tuukka/A-8009-2008; Järvinen, Emma/G-7120-2014; Nieminen, Tuomo J/D-1618-2011; Mazzola, Mauro/K-9376-2016; Kulmala, Markku/I-7671-2016</t>
  </si>
  <si>
    <t>Nieminen, Tuomo/0000-0002-2713-715X; Lanconelli, Christian/0000-0002-9545-1255; Virkkula, Aki/0000-0003-4874-7552; Petäjä, Tuukka/0000-0002-1881-9044; Järvinen, Emma/0000-0001-5171-1759; Mazzola, Mauro/0000-0002-8394-2292; Asmi, Eija/0000-0002-9226-2360; vitale, vito/0000-0003-0978-8976; busetto, maurizio/0000-0003-1115-6564; Kulmala, Markku/0000-0003-3464-7825; lupi, angelo/0000-0002-5009-9876</t>
  </si>
  <si>
    <t>Academy of Finland (Center of Excellence program) [127534]; Academy of Finland (Finnish Antarctic Research Program) [264375, 264390]; Nordic Top-level Research Initiative (TRI) Cryosphere-Atmosphere Interactions in a Changing Arctic Climate (CRAICC); Italian Programma Nazionale di Ricerche in Antartide (PNRA) [2010/A3.05]; Academy of Finland (AKA) [127534, 264390, 264375] Funding Source: Academy of Finland (AKA)</t>
  </si>
  <si>
    <t>Academy of Finland (Center of Excellence program)(Research Council of Finland); Academy of Finland (Finnish Antarctic Research Program); Nordic Top-level Research Initiative (TRI) Cryosphere-Atmosphere Interactions in a Changing Arctic Climate (CRAICC); Italian Programma Nazionale di Ricerche in Antartide (PNRA); Academy of Finland (AKA)(Research Council of Finland)</t>
  </si>
  <si>
    <t>This research was supported by the Academy of Finland (Center of Excellence program, project number 127534, and Finnish Antarctic Research Program, decision nrs. 264375 and 264390), by the Nordic Top-level Research Initiative (TRI) Cryosphere-Atmosphere Interactions in a Changing Arctic Climate (CRAICC) and by the Italian Programma Nazionale di Ricerche in Antartide (PNRA) and developed as a sub-project 2010/A3.05 Effetti radiativi diretti di aerosol e nubi sul clima alle alte latitudini: una prospettiva bipolare (DECA-POL).</t>
  </si>
  <si>
    <t>10.5194/acp-13-7473-2013</t>
  </si>
  <si>
    <t>200XE</t>
  </si>
  <si>
    <t>WOS:000323103900014</t>
  </si>
  <si>
    <t>Dugan, HA; Obryk, MK; Doran, PT</t>
  </si>
  <si>
    <t>Dugan, H. A.; Obryk, M. K.; Doran, P. T.</t>
  </si>
  <si>
    <t>Lake ice ablation rates from permanently ice-covered Antarctic lakes</t>
  </si>
  <si>
    <t>MCMURDO DRY VALLEYS; TAYLOR GLACIER; VICTORIA LAND; SUBLIMATION; CLIMATE; HOARE; DYNAMICS; BONNEY; SNOW</t>
  </si>
  <si>
    <t>In the McMurdo Dry Valleys of Antarctica, three large, permanently ice-covered, closed-basin lakes exist along the floor of Taylor Valley. Lake ice ablation (loss of ice mass) is calculated as the sum of sublimation and surface melt, and is the driver of ice-cover turnover in these systems. In Taylor Valley, both manual and automated lake ice ablation rates have been calculated from 2001 to 2011. Results indicate relatively consistent winter ablation of 0.07-0.21 m (0.2-0.7 mm w.e.d(-1)). Summer ablation of lake ice is more variable and ranges from 0.25 to 1.62 m (5-31 mm w.e.d(-1)) over an average 51 day period. Previous to this study, ablation rates have been cited as 0.35 m a(-1) in the dry valleys from sublimation modeling based on meteorological variables. We show that this value has significantly underestimated mean ablation and ice-cover turnover on the Taylor Valley lakes.</t>
  </si>
  <si>
    <t>[Dugan, H. A.; Obryk, M. K.; Doran, P. T.] Univ Illinois, Dept Earth &amp; Environm Sci, Chicago, IL 60607 USA</t>
  </si>
  <si>
    <t>University of Illinois System; University of Illinois Chicago; University of Illinois Chicago Hospital</t>
  </si>
  <si>
    <t>Dugan, HA (corresponding author), Univ Illinois, Dept Earth &amp; Environm Sci, Chicago, IL 60607 USA.</t>
  </si>
  <si>
    <t>hilarydugan@gmail.com</t>
  </si>
  <si>
    <t>Obryk, Maciej/0000-0002-8182-8656</t>
  </si>
  <si>
    <t>US National Science Foundation (NSF) Office of Polar Programs [9810219, 0423595, 0096250, 0832755, 1041742, 1115245]; Directorate For Geosciences; Office of Polar Programs (OPP) [9810219] Funding Source: National Science Foundation; Directorate For Geosciences; Office of Polar Programs (OPP) [0423595, 0096250, 1115245] Funding Source: National Science Foundation</t>
  </si>
  <si>
    <t>US National Science Foundation (NSF) Office of Polar Programs(National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</si>
  <si>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We thank all the field members who contributed to this project, including Jennifer Lawson, Phil Allen and Miroljub Medved, as well two reviewers whose comments greatly improved the manuscript. GPS support was provided by UNAVCO. This research was funded by the US National Science Foundation (NSF) Office of Polar Programs (grants 9810219, 0423595, 0096250, 0832755, 1041742 and 1115245).</t>
  </si>
  <si>
    <t>10.3189/2013JoG12J080</t>
  </si>
  <si>
    <t>202BX</t>
  </si>
  <si>
    <t>WOS:000323189600008</t>
  </si>
  <si>
    <t>Darnell, KN; Amundson, JM; Cathles, LM; MacAyeal, DR</t>
  </si>
  <si>
    <t>Darnell, K. N.; Amundson, J. M.; Cathles, L. M.; MacAyeal, D. R.</t>
  </si>
  <si>
    <t>The morphology of supraglacial lake ogives</t>
  </si>
  <si>
    <t>BED DATA SET; WEST GREENLAND; ICE THICKNESS; VELOCITY; ISBRAE</t>
  </si>
  <si>
    <t>Supraglacial lakes on grounded regions of the Greenland and Antarctic ice sheets sometimes produce 'lake ogives' or banded structures that sweep downstream from the lakes. Using a variety of remote-sensing data, we demonstrate that lake ogives originate from supraglacial lakes that form each year in the same bedrock-fixed location near the equilibrium-line altitude. As the ice flows underneath one of these lakes, an 'image' of the lake is imprinted on the ice surface both by summer-season ablation and by superimposed ice (lake ice) formation. Ogives associated with a lake are sequenced in time, with the downstream ogives being the oldest, and with spatial separation equal to the local annual ice displacement. In addition, lake ogives can have decimeter- to meter-scale topographic relief, much like wave ogives that form below icefalls on alpine glaciers. Our observations highlight the fact that lake ogives, and other related surface features, are a consequence of hydrological processes in a bedrock-fixed reference frame. These features should arise naturally from physically based thermodynamic models of supraglacial water transport, and thus they may serve as fiducial features that help to test the performance of such models.</t>
  </si>
  <si>
    <t>[Darnell, K. N.; Amundson, J. M.; Cathles, L. M.; MacAyeal, D. R.] Univ Chicago, Dept Geophys Sci, Chicago, IL 60637 USA; [Amundson, J. M.] Univ Alaska Southeast, Dept Nat Sci, Juneau, AK USA</t>
  </si>
  <si>
    <t>University of Chicago; University of Alaska System; University of Alaska Southeastern</t>
  </si>
  <si>
    <t>Darnell, KN (corresponding author), Univ Chicago, Dept Geophys Sci, 5734 S Ellis Ave, Chicago, IL 60637 USA.</t>
  </si>
  <si>
    <t>darnellk@uchiciago.edu</t>
  </si>
  <si>
    <t>MacAyeal, Douglas/0000-0003-0647-6176</t>
  </si>
  <si>
    <t>US National Science Foundation (NSF) [ARC-0907834, ANT-0944248, ANT-0944193]; NSF grant [ANT-0424589]; NASA grant [NNX10AT68G]; NASA [122239, NNX10AT68G] Funding Source: Federal RePORTER</t>
  </si>
  <si>
    <t>US National Science Foundation (NSF)(National Science Foundation (NSF)); NSF grant(National Science Foundation (NSF)); NASA grant(National Aeronautics &amp; Space Administration (NASA)); NASA(National Aeronautics &amp; Space Administration (NASA))</t>
  </si>
  <si>
    <t>Research conducted at the University of Chicago was supported by several US National Science Foundation (NSF) grants, including ARC-0907834, ANT-0944248 and ANT-0944193. We thank Dorian S. Abbot for helpful discussions and review of earlier manuscripts. This work began as a result of NSF-supported summer research internships awarded in 2010 to Pablo S. Wooley (Bowdoin College) and Julia E. Vidonish (University of Chicago). We thank S.G. Warren for informative discussions about the brightening of lake bottom surfaces. We also thank Roman J. Motyka for helpful discussions and the use of SPOT5 products. SPOT data products used in this study were provided by the SPOT5 stereoscopic survey of Polar Ice: Reference Images and Topographies (SPIRIT) during the fourth International Polar Year (2007-09). We acknowledge W.T. Colgan for helpful criticism of the ideas presented in this paper, and review of earlier versions of the manuscript. We acknowledge the use of data and/or data products from CReSIS generated with support from NSF grant ANT-0424589 and NASA grant NNX10AT68G. Ed Waddington, Derrick Lampkin and and two anonymous referees provided comments that significantly improved the manuscript. We dedicate this manuscript to the memory of Keith Echelmeyer, who first described lake ogives and considerably enriched the science of glaciology throughout his life.</t>
  </si>
  <si>
    <t>10.3189/2013JoG12J098</t>
  </si>
  <si>
    <t>WOS:000323189600013</t>
  </si>
  <si>
    <t>Warner, RC; Roberts, JL</t>
  </si>
  <si>
    <t>Warner, Roland C.; Roberts, Jason L.</t>
  </si>
  <si>
    <t>Pine Island Glacier (Antarctica) velocities from Landsat7 images between 2001 and 2011: FFT-based image correlation for images with data gaps</t>
  </si>
  <si>
    <t>ICE-SHELF; WEST ANTARCTICA; AMUNDSEN SEA; ACCELERATION; BENEATH</t>
  </si>
  <si>
    <t>Remote sensing of ice motion by tracking displacement of surface features is a valuable tool in glaciology. Efficient image feature-tracking programs, such as IMCORR, based on fast Fourier transform methods can produce misleading correlations if there are data gaps in either or both of the reference and search images. This is particularly problematic if the data gaps are regular in character, such as for Landsat7 images collected after the failure of the Scan Line Corrector (SLC-off images). We demonstrate that this situation can be alleviated by filling the data gaps with suitably chosen random data. We modified IMCORR to achieve this automatically (source code is included), but generic image-processing software could be used to modify inputs for other correlation packages. We test our method using images of Pine Island Ice Shelf, Antarctica, and document the acceleration of the velocity field for the floating extension of Pine Island Glacier over the decade 2001-11. We also combine our velocities with recent NASA Operation Ice Bridge ice thickness data from CReSIS to estimate the basal melt rates.</t>
  </si>
  <si>
    <t>[Warner, Roland C.; Roberts, Jason L.] Australian Antarctic Div, Dept Sustainabil Environm Water Populat &amp; Communi, Kingston, Tas, Australia; [Warner, Roland C.; Roberts, Jason L.] Univ Tasmania, Antarctic Climate &amp; Ecosyst Cooperat Res Ctr, Hobart, Tas, Australia</t>
  </si>
  <si>
    <t>Australian Antarctic Division; University of Tasmania; Antarctic Climate &amp; Ecosystems Cooperative Research Centre (ACE CRC)</t>
  </si>
  <si>
    <t>Warner, RC (corresponding author), Australian Antarctic Div, Dept Sustainabil Environm Water Populat &amp; Communi, Kingston, Tas, Australia.</t>
  </si>
  <si>
    <t>Roberts, Jason L/B-2235-2012; Warner, Roland Charles/ISS-2485-2023; Warner, Robert R./M-5342-2013</t>
  </si>
  <si>
    <t>Roberts, Jason L/0000-0002-3477-4069; Warner, Roland Charles/0000-0002-9778-3544;</t>
  </si>
  <si>
    <t>Australian Government's Cooperative Research Centres Programme through the Antarctic Climate and Ecosystems Cooperative Research Centre (ACE CRC); US National Science Foundation (NSF) [ANT-0424589]; NASA grant [NNX10AT68G]; NASA [122239, NNX10AT68G] Funding Source: Federal RePORTER</t>
  </si>
  <si>
    <t>Australian Government's Cooperative Research Centres Programme through the Antarctic Climate and Ecosystems Cooperative Research Centre (ACE CRC)(Australian GovernmentDepartment of Industry, Innovation and ScienceCooperative Research Centres (CRC) Programme); US National Science Foundation (NSF)(National Science Foundation (NSF)); NASA grant(National Aeronautics &amp; Space Administration (NASA)); NASA(National Aeronautics &amp; Space Administration (NASA))</t>
  </si>
  <si>
    <t>This work was supported by the Australian Government's Cooperative Research Centres Programme through the Antarctic Climate and Ecosystems Cooperative Research Centre (ACE CRC). Landsat7 images courtesy of the US Geological Survey. We acknowledge the use of data and/or data products from the Center for Remote Sensing of Ice Sheets (CReSIS), University of Kansas, USA, generated with support from US National Science Foundation (NSF) grant ANT-0424589 and NASA grant NNX10AT68G. Neil Glasser (Scientific Editor), David Shean and an anonymous reviewer provided constructive feedback on the manuscript.</t>
  </si>
  <si>
    <t>10.3189/2013JoG12J113</t>
  </si>
  <si>
    <t>WOS:000323189600016</t>
  </si>
  <si>
    <t>Tyler, SW; Holland, DM; Zagorodnov, V; Stern, AA; Sladek, C; Kobs, S; White, S; Suárez, F; Bryenton, J</t>
  </si>
  <si>
    <t>Tyler, S. W.; Holland, D. M.; Zagorodnov, V.; Stern, A. A.; Sladek, C.; Kobs, S.; White, S.; Suarez, F.; Bryenton, J.</t>
  </si>
  <si>
    <t>Using distributed temperature sensors to monitor an Antarctic ice shelf and sub-ice-shelf cavity</t>
  </si>
  <si>
    <t>OCEAN CIRCULATION; BENEATH; ISLAND</t>
  </si>
  <si>
    <t>Monitoring of ice-shelf and sub-ice-shelf ocean temperatures represents an important component in understanding ice-sheet stability. Continuous monitoring is challenging due to difficult surface access, difficulties in penetrating the ice shelf, and the need for long-term operation of non-recoverable sensors. We aim to develop rapid lightweight drilling and near-continuous fiber-optic temperature-monitoring methods to meet these challenges. During November 2011, two instrumented moorings were installed within and below the McMurdo Ice Shelf (a sub-region of the Ross Ice Shelf, Antarctica) at Windless Bight. We used a combination of ice coring for the upper portion of each shelf borehole and hot-point drilling for penetration into the ocean. The boreholes provided temporary access to the ice-shelf cavity, into which distributed temperature sensing (DTS) fiber-optic cables and conventional pressure/temperature transducers were installed. The DTS moorings provided near-continuous (in time and depth) observations of ice and ocean temperatures to a depth of almost 800 m beneath the ice-shelf surface. Data received document the presence of near-freezing water throughout the cavity from November through January, followed by an influx of warmer water reaching similar to 150 m beneath the ice-shelf base during February and March. The observations demonstrate prospects for achieving much higher spatial sampling of temperature than more conventional oceanographic moorings.</t>
  </si>
  <si>
    <t>[Tyler, S. W.; Sladek, C.; Kobs, S.] Univ Nevada, Dept Geol Sci &amp; Engn, Reno, NV 89557 USA; [Holland, D. M.; Stern, A. A.] NYU, Courant Inst Math Sci, New York, NY USA; [Zagorodnov, V.] Ohio State Univ, Byrd Polar Res Ctr, Columbus, OH 43210 USA; [White, S.] UNAVCO, Boulder, CO USA; [Suarez, F.] Pontificia Univ Catolica Chile, Dept Hydraul &amp; Environm Engn, Santiago, Chile; [Bryenton, J.] Lockheed Martin Co, Centennial, CO USA</t>
  </si>
  <si>
    <t>Nevada System of Higher Education (NSHE); University of Nevada Reno; New York University; University System of Ohio; Ohio State University; Pontificia Universidad Catolica de Chile; Lockheed Martin</t>
  </si>
  <si>
    <t>Tyler, SW (corresponding author), Univ Nevada, Dept Geol Sci &amp; Engn, Reno, NV 89557 USA.</t>
  </si>
  <si>
    <t>styler@unr.edu</t>
  </si>
  <si>
    <t>Suarez, Francisco/B-2954-2008</t>
  </si>
  <si>
    <t>Suarez, Francisco/0000-0002-4394-957X</t>
  </si>
  <si>
    <t>Office of Polar Programs of the US National Science Foundation (NSF) [ANT-1043395]; NSF-CTEMPs [EAR-1128999]; NSF; NASA under NSF Cooperative Agreement [EAR-0735156]; [ANT-043154]; [ANT-1043217]; [ANT-104339]; [ANT-073286]; Directorate For Geosciences; Division Of Earth Sciences [1129003, 1128999] Funding Source: National Science Foundation; Directorate For Geosciences; Office of Polar Programs (OPP) [1043395] Funding Source: National Science Foundation; Office of Polar Programs (OPP); Directorate For Geosciences [1043154] Funding Source: National Science Foundation</t>
  </si>
  <si>
    <t>Office of Polar Programs of the US National Science Foundation (NSF)(National Science Foundation (NSF)); NSF-CTEMPs; NSF(National Science Foundation (NSF)); NASA under NSF Cooperative Agreement; ; ; ; ; Directorate For Geosciences; Division Of Earth Sciences(National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</si>
  <si>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Funding for this project has been provided by the Office of Polar Programs of the US National Science Foundation (NSF) under grant ANT-1043395, and support was provided to V.Z. and D.M.H. by grants ANT-043154 and ANT-1043217. D.M.H. acknowledges additional support from ANT-104339 and ANT-073286. Additional instrument support was provided by NSF-CTEMPs under EAR-1128999, and engineering services were provided by the UNAVCO facility with support from the NSF and NASA under NSF Cooperative Agreement No. EAR-0735156. The manuscript was greatly improved by the thoughtful and insightful comments of the two anonymous reviewers. We appreciate the efforts and contributions of Kendrick Taylor, Wade Cline, John R. Anderson, Mark Hausner, Estarose Wolfson and all of those involved in logistical support from the US Antarctic Program. We also thank Thomas Hertig (Brugg Kable), Craig Stratton (AFL Telecommunications), Bill Mann (In-Situ), Jeff Adams (Campbell Scientific) and Peter Bennett (Sensornet) for their energy and efforts in the design phase of the project.</t>
  </si>
  <si>
    <t>10.3189/2013JoG12J207</t>
  </si>
  <si>
    <t>WOS:000323189600017</t>
  </si>
  <si>
    <t>Haridas, V; Naik, S</t>
  </si>
  <si>
    <t>Haridas, V.; Naik, Sarala</t>
  </si>
  <si>
    <t>Natural macromolecular antifreeze agents to synthetic antifreeze agents</t>
  </si>
  <si>
    <t>RSC ADVANCES</t>
  </si>
  <si>
    <t>WINTER FLOUNDER ANTIFREEZE; POINT-DEPRESSING GLYCOPROTEINS; CARBOHYDRATE-BINDING SITE; ICE-BINDING; THERMAL-HYSTERESIS; FREEZING RESISTANCE; CRYSTAL-STRUCTURE; LONGHORN SCULPIN; SEA RAVEN; MOLECULAR RECOGNITION</t>
  </si>
  <si>
    <t>Many living systems native to the Arctic and Antarctic regions express antifreeze proteins (AFPs) or antifreeze glycoproteins (AFGPs) that recognize and bind to specific faces of ice crystals, thereby inhibiting ice growth. The non-colligative freezing point depression induced by these proteins results primarily from their unique chemical structures. This review describes the various classes of AF(G)Ps, their structural hierarchy, their mechanisms of action, and novel synthetic antifreeze compounds. The mechanism of action of AF(G)Ps displays a high degree of precision present in natural systems. The varied chemical structures of AFPs with similar antifreeze activities suggest convergent evolution. Structural studies of AFPs from insects, plants and bacteria have revealed unusual beta helical structures. A variety of AF(G) P analogs have been synthesized and have revealed the mechanisms underlying the action of AF(G)Ps. The utility of AF(G)Ps and their analogs in cryopreservation, cryosurgery, and the food industry motivates the development of new artificial antifreeze agents.</t>
  </si>
  <si>
    <t>[Haridas, V.; Naik, Sarala] IITD, Dept Chem, New Delhi 110016, India</t>
  </si>
  <si>
    <t>Indian Institute of Technology System (IIT System); Indian Institute of Technology (IIT) - Delhi</t>
  </si>
  <si>
    <t>Haridas, V (corresponding author), IITD, Dept Chem, Hauz Khas, New Delhi 110016, India.</t>
  </si>
  <si>
    <t>h_haridas@hotmail.com</t>
  </si>
  <si>
    <t>Department of Science and Technology (DST), New Delhi</t>
  </si>
  <si>
    <t>Department of Science and Technology (DST), New Delhi(Department of Science &amp; Technology (India))</t>
  </si>
  <si>
    <t>We thank the Department of Science and Technology (DST), New Delhi for the financial assistance.</t>
  </si>
  <si>
    <t>ROYAL SOC CHEMISTRY</t>
  </si>
  <si>
    <t>THOMAS GRAHAM HOUSE, SCIENCE PARK, MILTON RD, CAMBRIDGE CB4 0WF, CAMBS, ENGLAND</t>
  </si>
  <si>
    <t>2046-2069</t>
  </si>
  <si>
    <t>RSC ADV</t>
  </si>
  <si>
    <t>RSC Adv.</t>
  </si>
  <si>
    <t>10.1039/c3ra00081h</t>
  </si>
  <si>
    <t>195XP</t>
  </si>
  <si>
    <t>WOS:000322737400003</t>
  </si>
  <si>
    <t>Demissie, TD; Kleinknecht, NH; Hibbins, RE; Espy, PJ; Straub, C</t>
  </si>
  <si>
    <t>Demissie, T. D.; Kleinknecht, N. H.; Hibbins, R. E.; Espy, P. J.; Straub, C.</t>
  </si>
  <si>
    <t>Quasi-16-day period oscillations observed in middle atmospheric ozone and temperature in Antarctica</t>
  </si>
  <si>
    <t>Meteorology and Atmospheric Dynamics; Middle atmosphere dynamics; Waves and tides</t>
  </si>
  <si>
    <t>SUMMER MESOSPHERIC TEMPERATURE; QUASI 16-DAY OSCILLATION; LOWER THERMOSPHERE; PLANETARY-WAVES; SASKATOON 52-DEGREES-N; STRATOSPHERE; 107-DEGREES-W; RADAR; 5-DAY</t>
  </si>
  <si>
    <t>Nightly averaged mesospheric temperature derived from the hydroxyl nightglow at Rothera station (67 degrees 34' S, 68 degrees 08' W) and nightly midnight measurements of ozone mixing ratio obtained from Troll station (72 degrees 01' S, 2 degrees 32' E) in Antarctica have been used to investigate the presence and vertical profile of the quasi-16-day planetary wave in the stratosphere and mesosphere during the Antarctic winter of 2009. The variations caused by planetary waves on the ozone mixing ratio and temperature are discussed, and spectral and cross-correlation analyses are performed to extract the wave amplitudes and to examine the vertical structure of the wave from 34 to 80 km. The results show that while planetary-wave signatures with periods 3-12 days are strong below the stratopause, the oscillations associated with the 16-day wave are the strongest and present in both the mesosphere and stratosphere. The period of the wave is found to increase below 42 km due to the Doppler shifting by the strong eastward zonal wind. The 16-day oscillation in the temperature is found to be correlated and phase coherent with the corresponding oscillation observed in O-3 volume mixing ratio at all levels, and the wave is found to have vertical phase fronts consistent with a normal mode structure.</t>
  </si>
  <si>
    <t>[Demissie, T. D.; Kleinknecht, N. H.; Hibbins, R. E.; Espy, P. J.; Straub, C.] Norwegian Univ Sci &amp; Technol NTNU, Trondheim, Norway; [Demissie, T. D.; Hibbins, R. E.; Espy, P. J.] Birkeland Ctr Space Sci, Bergen, Norway</t>
  </si>
  <si>
    <t>Norwegian University of Science &amp; Technology (NTNU)</t>
  </si>
  <si>
    <t>Demissie, TD (corresponding author), Norwegian Univ Sci &amp; Technol NTNU, Trondheim, Norway.</t>
  </si>
  <si>
    <t>teferi.demissie@ntnu.no</t>
  </si>
  <si>
    <t>Hibbins, Robert/0000-0002-6867-2255; Espy, Patrick/0000-0002-0793-6202</t>
  </si>
  <si>
    <t>Norwegian Research council (NFR); Norwegian Polar Institute Antarctic Program</t>
  </si>
  <si>
    <t>Norwegian Research council (NFR)(Research Council of Norway); Norwegian Polar Institute Antarctic Program</t>
  </si>
  <si>
    <t>We thank David Newnham at BAS, Kim Holmen at the Norwegian Polar Institute (NPI) and Paul Hartogh at Max Planck Institute (MPI) for their support of the microwave radiometer. We also thank Asbjorn Djupdal (NPI), David Maxfield and Paul Breen (BAS) for their help. The work has been funded by the Norwegian Research council (NFR) project Gravity-wave sources and scales in the Polar Regions and their effect on Polar Mesospheric Clouds. In addition, we acknowledge the Norwegian Polar Institute Antarctic Program which provided funding for Corinne Straub under the project Observations of carbon monoxide and ozone in the Antarctic and Arctic: Implications for the Inter-hemispheric coupling of vertical motions.</t>
  </si>
  <si>
    <t>10.5194/angeo-31-1279-2013</t>
  </si>
  <si>
    <t>192WO</t>
  </si>
  <si>
    <t>WOS:000322518500014</t>
  </si>
  <si>
    <t>Servetto, N; Torre, L; Sahade, R</t>
  </si>
  <si>
    <t>Servetto, Natalia; Torre, Luciana; Sahade, Ricardo</t>
  </si>
  <si>
    <t>Reproductive biology of the Antarctic sea pen Malacobelemnon daytoni (Octocorallia, Pennatulacea, Kophobelemnidae)</t>
  </si>
  <si>
    <t>Antarctica; benthic communities; Pennatulacea; reproduction; oogenesis</t>
  </si>
  <si>
    <t>SOUTH SHETLAND ISLANDS; KING GEORGE ISLAND; LARVAL DEVELOPMENT; SEXUAL REPRODUCTION; POTTER COVE; ADULT SIZE; WEST-COAST; ECOLOGY; ANTHOZOA; PATTERNS</t>
  </si>
  <si>
    <t>The reproductive biology of the sea pen Malacobelemnon daytoni was studied at Potter Cove, South Shetland Islands, where it is one of the dominant species in shallow waters. Specimens collected at 15-22 m depth were examined by histological analysis. M. daytoni is gonochoristic and exhibited a sex ratio of 1:1. Oocyte sizes (&gt;300 mu m) and the absence of embryos or newly developed larvae in the colonies suggest that this species can have lecithotrophic larvae and experience external fertilization. This life strategy is in line with other members of the group and supports the hypothesis that this could be a phylogenetically fixed trait for pennatulids. It was observed that oocytes were generated by gastrodermic tissue and released to the longitudinal canal. Thereafter, they migrate along the canal until they reach maturity and are released by autozooids at the top of the colonies. This striking feature has not yet been reported for other pennatulaceans. Mature oocytes were observed from colonies of 15 mm in length, suggesting that sexual maturity can be reached rapidly. This is contrary to what is hypothesized for the vast majority of Antarctic benthic invertebrates, namely that rates of activities associated with development, reproduction and growth are almost universally very slow. This strategy may also explain the ecological success of M. daytoni in areas with high ice impact as in the shallow waters of Potter Cove.</t>
  </si>
  <si>
    <t>[Servetto, Natalia; Torre, Luciana; Sahade, Ricardo] Univ Nacl Cordoba, Fac Ciencias Exactas Fis &amp; Nat, Inst Diversidad &amp; Ecol Anim, RA-5000 Cordoba, Argentina; [Servetto, Natalia; Torre, Luciana; Sahade, Ricardo] Consejo Nacl Invest Cient &amp; Tecn, Cordoba, Argentina</t>
  </si>
  <si>
    <t>National University of Cordoba; Consejo Nacional de Investigaciones Cientificas y Tecnicas (CONICET)</t>
  </si>
  <si>
    <t>Sahade, R (corresponding author), Univ Nacl Cordoba, Fac Ciencias Exactas Fis &amp; Nat, Inst Diversidad &amp; Ecol Anim, Av Velez Sarsfield 299 X5000JJC, RA-5000 Cordoba, Argentina.</t>
  </si>
  <si>
    <t>rsahade@efn.uncor.edu</t>
  </si>
  <si>
    <t>Servetto, Natalia/0000-0002-3713-9116; Torre, Luciana/0000-0002-2090-1258; Sahade, Ricardo/0000-0001-5650-8135</t>
  </si>
  <si>
    <t>Consejo Nacional de Investigaciones Cientificas y Tecnologicas; Instituto Antartico Argentino; Alfred Wegener Institute for Polar and Marine Research (Germany); Universidad Nacional de Cordoba</t>
  </si>
  <si>
    <t>We thank the Carlini Station diving team, Francisco Mansilla, Ariel Vazquez, Jose Luis Irala Fernandez, Federico Carbone, Daniel Maione and especially Cristian Lagger. We are also grateful to our colleagues at the Dallmann Laboratory and Carlini Station for their cooperation during sampling and laboratory work. Many thanks to Jurgen Laudien, Lopez-Gonzalez Pablo and the reviewers for comments and suggestions that greatly improved this manuscript. The present study was supported by the Consejo Nacional de Investigaciones Cientificas y Tecnologicas, the Instituto Antartico Argentino, the Alfred Wegener Institute for Polar and Marine Research (Germany) and the Universidad Nacional de Cordoba. The work is part of the European Science Foundation-Impact of climate induced glacier melt on marine coastal systems, Antarctica associated work package AP-4 of RS. NS and LT are doctoral students in Biological Sciences at the Universidad Nacional de Cordoba.</t>
  </si>
  <si>
    <t>10.3402/polar.v32i0.20040</t>
  </si>
  <si>
    <t>197YD</t>
  </si>
  <si>
    <t>WOS:000322887800001</t>
  </si>
  <si>
    <t>Tan, B; Lu, P; Li, ZJ; Li, RL</t>
  </si>
  <si>
    <t>Tan Bing; Lu Peng; Li Zhijun; Li Runling</t>
  </si>
  <si>
    <t>Form drag on pressure ridges and drag coefficient in the northwestern Weddell Sea, Antarctica, in winter</t>
  </si>
  <si>
    <t>WIND STRESS; ARCTIC ICE; PACK ICE; ROUGHNESS; THICKNESS; ZONE</t>
  </si>
  <si>
    <t>Surface elevation data for sea ice in the northwesternty - Weddell Sea, Antarctica, collected by a helicopter-borne laser altimeter during the Winter Weddell Outflow Study 2006, were used to estimate the form drag on pressure ridges and its contribution to the total wind drag, and the air ice drag coefficient at a reference height of 10 m under neutral stability conditions (C-dn(10)). This was achieved by partitioning the total wind drag into two components: form drag on pressure ridges and skin drag over rough sea-ice surfaces. The results reveal that for the compacted ice field, the contribution of form drag on pressure ridges to the total wind drag increases with increasing ridging intensity R-i (where R-i is the ratio of mean ridge height to spacing), while the contribution decreases with increasing roughness length. There is also an increasing trend in the air ice drag coefficient C-dn(10) as ridging intensity R-i increases. However, as roughness length increases, C-dn(10) increases at lower ridging intensities (R-i &lt;= 0.023) but decreases at lower ridging intensities (0.023 &lt; R-i &lt; 0.05). These opposing trends are mainly caused by the dominance of the form drag on pressure ridges and skin drag over rough ice surfaces. Generally, the form drag becomes dominant only when the ridging intensity is sufficiently large, while the skin drag is the dominant component at relatively larger ridging intensities. These results imply that a large value of C-dn(10) is caused not only by the form drag on pressure ridges, but also by the skin drag over rough ice surfaces. Additionally, the estimated drag coefficients are consistent with reported measurements in the northwestern Weddell Sea, further demonstrating the feasibility of the drag partition model.</t>
  </si>
  <si>
    <t>[Tan Bing; Lu Peng; Li Zhijun; Li Runling] Dalian Univ Technol, State Key Lab Coastal &amp; Offshore Engn, Dalian, Peoples R China; [Tan Bing] Nanyang Normal Coll, Dept Math &amp; Stat, Nanyang, Peoples R China</t>
  </si>
  <si>
    <t>Dalian University of Technology; Nanyang Normal College</t>
  </si>
  <si>
    <t>Tan, B (corresponding author), Dalian Univ Technol, State Key Lab Coastal &amp; Offshore Engn, Dalian, Peoples R China.</t>
  </si>
  <si>
    <t>tanbing111@126.com</t>
  </si>
  <si>
    <t>Lu, Peng/HNR-4786-2023; Li, Zhijun/A-5299-2019</t>
  </si>
  <si>
    <t>National Nature Science Foundation of China [41276191, 50921001, 40930848]; Nature Science Foundation of Henan Province [102300410184]; special project for high-quality professionals of Nanyang Normal College, China</t>
  </si>
  <si>
    <t>National Nature Science Foundation of China(National Natural Science Foundation of China (NSFC)); Nature Science Foundation of Henan Province; special project for high-quality professionals of Nanyang Normal College, China</t>
  </si>
  <si>
    <t>We are grateful for the support of pilots and crew of the German RN Polarstem and chief scientist Peter Lemke during WWOS 2006. We thank Christian Haas and Marcel Nicolaus for preparing data and for comments during preparation of the manuscript. We thank the Chinese Arctic and Antarctic Administration for supporting the participation of Li Zhijun in the expedition organized by the Alfred Wegener Institute. This study was supported by the National Nature Science Foundation of China (Nos. 41276191, 50921001 and 40930848), the Nature Science Foundation of Henan Province (102300410184) and the special project for high-quality professionals of Nanyang Normal College, China.</t>
  </si>
  <si>
    <t>10.3189/2013AoG62A092</t>
  </si>
  <si>
    <t>186LZ</t>
  </si>
  <si>
    <t>WOS:000322047100002</t>
  </si>
  <si>
    <t>Ingvander, S; Dahlke, HE; Jansson, P; Surdyk, S</t>
  </si>
  <si>
    <t>Ingvander, Susanne; Dahlke, Helen E.; Jansson, Peter; Surdyk, Sylviane</t>
  </si>
  <si>
    <t>In situ sampled snow particle sizes of the East Antarctic ice sheet and their relation to physical and remotely sensed snow surface parameters</t>
  </si>
  <si>
    <t>INFRARED REFLECTANCE; SPECTRAL ALBEDO; AREA; BALANCE; SAR</t>
  </si>
  <si>
    <t>Knowledge of snow properties across Antarctica is important in estimating how climate could potentially influence the mass balance of the Antarctic ice sheet. However, measuring these variables has proven to be challenging because appropriate techniques have not yet been developed and extensive datasets of field estimates are lacking. The goal of this study was to estimate the relationship between field-observed snow particle-size parameters from across the East Antarctic ice sheet and a suite of spatial datasets (i.e. topography, remote-sensing data) using a principal component analysis (PCA). Five snow particle-size parameters were correlated to spatial datasets of the following five groups: (1) relief properties such as elevation and slope; (2) remote-sensing data from Moderate Resolution Imaging Spectroradiometer (MODIS) and synthetic aperture radar (SAR) sensors; (3) spatially interpolated data (i.e. 10 m maps of temperature and approximate snow accumulation in kg m(-2) a(-1)); (4) field-retrieved data on surface roughness; and (5) in situ elevation and distance from the coast. The results show that the relief parameter slope correlated best with the snow particle length and area (r=0.76, r=0.80). Further, the PCA indicated that the different remote-sensing parameters correlated differently with the size parameters and that the most common parameter in visual analysis, particle length (grain diameter), is not always the optimal parameter to characterize the snow particle size as, for example, area correlates better to slope and aspect than length.</t>
  </si>
  <si>
    <t>[Ingvander, Susanne; Dahlke, Helen E.; Jansson, Peter] Stockholm Univ, Dept Phys Geog &amp; Quaternary Geol, S-10691 Stockholm, Sweden; [Surdyk, Sylviane] Res Org Informat &amp; Syst, Natl Inst Polar Res, Tachikawa, Tokyo, Japan</t>
  </si>
  <si>
    <t>Stockholm University; Research Organization of Information &amp; Systems (ROIS); National Institute of Polar Research (NIPR) - Japan</t>
  </si>
  <si>
    <t>Ingvander, S (corresponding author), Stockholm Univ, Dept Phys Geog &amp; Quaternary Geol, S-10691 Stockholm, Sweden.</t>
  </si>
  <si>
    <t>susanne.ingvander@natgeo.su.se</t>
  </si>
  <si>
    <t>Dahlke, Helen/A-5561-2012; Jansson, Peter/B-5761-2012</t>
  </si>
  <si>
    <t>Dahlke, Helen/0000-0001-8757-6982; Jansson, Peter/0000-0002-8832-8806</t>
  </si>
  <si>
    <t>Swedish Research Council; National Institute of Polar Research (Japan); Swedish National Space Board; YMER-80 Foundation; Swedish Society for Anthropology and Geography; Helge Ax:son Johnsons Foundation</t>
  </si>
  <si>
    <t>Swedish Research Council(Swedish Research Council); National Institute of Polar Research (Japan); Swedish National Space Board(Swedish National Space Agency (SNSA)); YMER-80 Foundation; Swedish Society for Anthropology and Geography; Helge Ax:son Johnsons Foundation</t>
  </si>
  <si>
    <t>We acknowledge the Swedish Polar Research Secretariat for logistic support and the Swedish Research Council, the National Institute of Polar Research (Japan), the Swedish National Space Board, the YMER-80 Foundation, the Swedish Society for Anthropology and Geography and the Helge Ax:son Johnsons Foundation for financial support. We thank the field crew and staff of both Swedish and Japanese departments who provided the spatial datasets.</t>
  </si>
  <si>
    <t>10.3189/2013AoG62A193</t>
  </si>
  <si>
    <t>WOS:000322047100006</t>
  </si>
  <si>
    <t>Lensu, M; Elder, BC; Richter-Menge, J; Haapala, J</t>
  </si>
  <si>
    <t>Lensu, Mikko; Elder, Bruce C.; Richter-Menge, Jackie; Haapala, Jari</t>
  </si>
  <si>
    <t>Comparison of ice stress records in terms of extreme value analysis</t>
  </si>
  <si>
    <t>SEA-ICE; PACK ICE; DEFORMATION; MODEL</t>
  </si>
  <si>
    <t>Dynamic ice models use stress tensor to describe the forces arising from internal ice friction. The model stress values are typically one to two magnitudes smaller than values measured by stressmeters deployed on ice floes. The synthesis of the pack-ice stress state from the measurements has been complicated by the peaky character of stress records, and the means to connect them with spatial stress distribution of the floe system have been lacking. Here a reanalysis of Arctic Sea Ice Mechanics Initiative (SIMI) data is made in terms of extreme value statistics. The basic quantity is the maximum stress observed during a time period. The records exhibit self-affine scaling. The statistics are then determined by two parameters, the Hurst exponent H and a reference stress level. Similar analysis is possible for the kinematic data. This establishes the comparability of stress records with each other and with kinematic records. The results suggest that the exponent is related to the stress state of the regional floe system, while the stress level is determined by local floe characteristics. Based on this a characterization of spatial distribution of pack-ice stresses is given.</t>
  </si>
  <si>
    <t>[Lensu, Mikko; Haapala, Jari] Finnish Meteorol Inst, FIN-00101 Helsinki, Finland; [Elder, Bruce C.; Richter-Menge, Jackie] USACE Engineer Res &amp; Dev Ctr, Cold Reg Res &amp; Engn Lab, Hanover, NH USA</t>
  </si>
  <si>
    <t>Finnish Meteorological Institute; United States Department of Defense; United States Army; U.S. Army Corps of Engineers; U.S. Army Engineer Research &amp; Development Center (ERDC); Cold Regions Research &amp; Engineering Laboratory (CRREL)</t>
  </si>
  <si>
    <t>Lensu, M (corresponding author), Finnish Meteorol Inst, FIN-00101 Helsinki, Finland.</t>
  </si>
  <si>
    <t>mikko.lensu@fmi.fi</t>
  </si>
  <si>
    <t>European Union [SCP8-GA-2009-233884-SAFEWIN]</t>
  </si>
  <si>
    <t>European Union(European Union (EU))</t>
  </si>
  <si>
    <t>This research was conducted within the European Union-funded projects 'Safety of winter navigation in dynamic ice' (contract SCP8-GA-2009-233884-SAFEWIN). The partners in this project are Aalto University, the Arctic and Antarctic Research Institute, the Finnish Meteorological Institute, the Finnish Transport Agency, ILS Oy, Stena Rederi AB, the Swedish Maritime Administration, the Swedish Meteorological and Hydrological Institute, Tallinn University of Technology and the AS Tallink Group. The open access to US Army Cold Regions Research and Engineering Laboratory (CRREL) stress data is greatly appreciated.</t>
  </si>
  <si>
    <t>10.3189/2013AoG62A194</t>
  </si>
  <si>
    <t>WOS:000322047100020</t>
  </si>
  <si>
    <t>Wagman, BM; Catania, GA</t>
  </si>
  <si>
    <t>Wagman, Benjamin M.; Catania, Ginny A.</t>
  </si>
  <si>
    <t>The impact of subglacial hydrology on the force balance of a physically modelled ice stream</t>
  </si>
  <si>
    <t>WEST ANTARCTICA; BENEATH; FLOW; SHEET; STAGNATION; RADAR; REFLECTIVITY; MECHANICS; MARGINS; REVEAL</t>
  </si>
  <si>
    <t>We use a physical model to investigate how changes in subglacial hydrology affect ice motion of Antarctic ice streams. Ice streams are modelled using silicone polymer placed over a thin water layer to mimic ice flow dominated by basal sliding. The model ice-stream force balance is calculated and compared directly to the observed force balance of Whillans Ice Stream (WIS). Dynamic similarity between the model and WIS is achieved when their force balances are equivalent. The WIS force balance has evolved over time owing to increased basal resistance. We test two hypotheses: (1) the subglacial water distribution influences the ice-flow speed and thus the force balance; (2) shear margins are locations where transitions in water layer thickness occur. We find that the velocity and force balance are sensitive to pulsed water discharge events and changes in lubrication that result in sticky spots, and that model shear margins tend to overlie water lubrication boundaries. We conclude that local changes in basal lubrication near margins (possibly as a result of the presence of sticky spots or subglacial lakes) influence the stability of ice-stream margin position and may be responsible for large and rapid shifts in margin location.</t>
  </si>
  <si>
    <t>[Wagman, Benjamin M.; Catania, Ginny A.] Univ Texas Austin, Inst Geophys, Austin, TX 78712 USA; [Catania, Ginny A.] Univ Texas Austin, Dept Geol Sci, Austin, TX USA</t>
  </si>
  <si>
    <t>University of Texas System; University of Texas Austin; University of Texas System; University of Texas Austin</t>
  </si>
  <si>
    <t>Wagman, BM (corresponding author), Univ Texas Austin, Inst Geophys, Austin, TX 78712 USA.</t>
  </si>
  <si>
    <t>wagman@ig.utexas.edu</t>
  </si>
  <si>
    <t>; Catania, Ginny/B-9787-2008</t>
  </si>
  <si>
    <t>Wagman, Benjamin/0000-0001-7179-9831; Catania, Ginny/0000-0002-7561-5902</t>
  </si>
  <si>
    <t>Jackson School of Geosciences at the University of Texas at Austin</t>
  </si>
  <si>
    <t>This research was conducted with support from the Jackson School of Geosciences at the University of Texas at Austin, and with wide-ranging help from Joe MacGregor, Lauren Andrews and Michael Markowski. We also thank David Mohrig and James Buttles, who assisted with experimental design and read a previous version of the manuscript. Finally, we thank our scientific editor, Richard Hindmarsh, and two reviewers, Alexander Jarosch and an anonymous reviewer, for their careful revisions.</t>
  </si>
  <si>
    <t>10.3189/2013AoG63A345</t>
  </si>
  <si>
    <t>186MA</t>
  </si>
  <si>
    <t>WOS:000322047200016</t>
  </si>
  <si>
    <t>Valentich-Scott, P; Foighil, DO; Li, JC</t>
  </si>
  <si>
    <t>Valentich-Scott, Paul; Foighil, Diarmaid O.; Li, Jingchun</t>
  </si>
  <si>
    <t>Where's Waldo? A new commensal species, Waldo arthuri (Mollusca, Bivalvia, Galeommatidae), from the Northeastern Pacific Ocean</t>
  </si>
  <si>
    <t>ZOOKEYS</t>
  </si>
  <si>
    <t>Commensal relationships; Bivalvia; Galeommatidae; Waldo; Echinodea; urchin; taxonomy</t>
  </si>
  <si>
    <t>COMPARATIVE ANATOMY; ALGORITHM; BIOLOGY</t>
  </si>
  <si>
    <t>A galeommatid bivalve mollusk, representing a new species, is described from off the coasts of California and Vancouver Island, British Columbia. The new bivalve has a commensal relationship with the heart urchin, Brisaster latifrons. It has been observed crawling between the oral spines of this urchin, frequently near the peristome. The bivalve has been recorded from 80 (Vancouver Island) to 444 (southern California) meters depth, in muddy sediments. In common with other galeommatoideans, the new species broods its young; however it differs from the large majority of commensal members in lacking planktotrophic larval development. Waldo arthuri, new species, has multiple morphological, ecological and developmental similarities to other members of the genus Waldo Nicol, 1966, from the southern Atlantic and Antarctic Oceans. This is most pronounced for the Argentine species, Waldo paucitentaculatus Zelaya &amp; Ituarte, 2013, W. arthuri's sister species in nuclear and mitochondrial gene trees. Despite this close relationship, W. arthuri is phylogentically distinct and possesses several hinge, shell sculpture, foot, and mantle tentacle characteristics that merit its description as new.</t>
  </si>
  <si>
    <t>[Valentich-Scott, Paul] Santa Barbara Museum Nat Hist, Santa Barbara, CA 93105 USA; [Foighil, Diarmaid O.; Li, Jingchun] Univ Michigan, Museum Zool, Dept Ecol &amp; Evolutionary Biol, Ann Arbor, MI 48109 USA</t>
  </si>
  <si>
    <t>University of Michigan System; University of Michigan</t>
  </si>
  <si>
    <t>Valentich-Scott, P (corresponding author), Santa Barbara Museum Nat Hist, 2559 Puesta Sol Rd, Santa Barbara, CA 93105 USA.</t>
  </si>
  <si>
    <t>pvscott@sbnature2.org</t>
  </si>
  <si>
    <t>Valentich-Scott, Paul/0000-0003-0019-7643; Li, Jingchun/0000-0001-7947-0950</t>
  </si>
  <si>
    <t>National Science Foundation OCE award [0850625]; Directorate For Geosciences [0850625] Funding Source: National Science Foundation; Division Of Ocean Sciences [0850625] Funding Source: National Science Foundation</t>
  </si>
  <si>
    <t>National Science Foundation OCE award; Directorate For Geosciences(National Science Foundation (NSF)NSF - Directorate for Geosciences (GEO)); Division Of Ocean Sciences(National Science Foundation (NSF)NSF - Directorate for Geosciences (GEO))</t>
  </si>
  <si>
    <t>We are grateful to the many individuals who loaned specimens of the new species to us over the past two decades, and are too numerous to mention here. Cristian Ituarte forwarded us critical comparative material from Argentina. The 2011 Bamfield Marine Science Centre Marine Invertebrate Zoology Course (Instructed by Majorie Wonham and Tara Macdonald) made a special effort to get us fresh material of the new species. We are deeply appreciative of the patience and assistance from Kelley Bartlett, Donald B. Cadien, Tony Phillips, Ronald Velarde, and Linda Kuhnz. Diego Zelaya provided images of the Atlantic species of Waldo, and provided invaluable input on the manuscript. Brian Morton, Eugene V. Coan and John Taylor provided useful information and discussion on the new species. Daniel Geiger (SBMNH) assisted with the scanning electron micrographs. This study was partially supported by National Science Foundation OCE award 0850625 to DOF.</t>
  </si>
  <si>
    <t>PENSOFT PUBLISHERS</t>
  </si>
  <si>
    <t>12 PROF GEORGI ZLATARSKI ST, SOFIA, 1700, BULGARIA</t>
  </si>
  <si>
    <t>1313-2989</t>
  </si>
  <si>
    <t>1313-2970</t>
  </si>
  <si>
    <t>ZooKeys</t>
  </si>
  <si>
    <t>10.3897/zookeys.316.4256</t>
  </si>
  <si>
    <t>184LM</t>
  </si>
  <si>
    <t>WOS:000321891200004</t>
  </si>
  <si>
    <t>Hemery, LG; Améziane, N; Eléaume, M</t>
  </si>
  <si>
    <t>Hemery, Lenaig G.; Ameziane, Nadia; Eleaume, Marc</t>
  </si>
  <si>
    <t>Circumpolar dataset of sequenced specimens of Promachocrinus kerguelensis (Echinodermata, Crinoidea)</t>
  </si>
  <si>
    <t>Antarctica; Crinoidea; Cytochrome Oxydase subunit I; Echinodermata; Phylogeography; Promachocrinus; Southern Ocean; Sub-Antarctic</t>
  </si>
  <si>
    <t>LINEAGES</t>
  </si>
  <si>
    <t>This circumpolar dataset of the comatulid (Echinodermata: Crinoidea) Promachocrinus kerguelensis (Carpenter, 1888) from the Southern Ocean, documents biodiversity associated with the specimens sequenced in Hemery et al. (2012). The aim of Hemery et al. (2012) paper was to use phylogeographic and phylogenetic tools to assess the genetic diversity, demographic history and evolutionary relationships of this very common and abundant comatulid, in the context of the glacial history of the Antarctic and Sub-Antarctic shelves (Thatje et al. 2005, 2008). Over one thousand three hundred specimens (1307) used in this study were collected during seventeen cruises from 1996 to 2010, in eight regions of the Southern Ocean: Kerguelen Plateau, Davis Sea, Dumont d'Urville Sea, Ross Sea, Amundsen Sea, West Antarctic Peninsula, East Weddell Sea and Scotia Arc including the tip of the Antarctic Peninsula and the Bransfield Strait. We give here the metadata of this dataset, which lists sampling sources (cruise ID, ship name, sampling date, sampling gear), sampling sites (station, geographic coordinates, depth) and genetic data (phylogroup, haplotype, sequence ID) for each of the 1307 specimens. The identification of the specimens was controlled by an expert taxonomist specialist of crinoids (Marc Eleaume, Museum national d'Histoire naturelle, Paris) and all the COI sequences were matched against those available on the Barcode of Life Data System (BOLD: http://www.boldsystems.org/index.php/ IDS_OpenIdEngine). This dataset can be used by studies dealing with, among other interests, Antarctic and/or crinoid diversity ( species richness, distribution patterns), biogeography or habitat / ecological niche modeling. This dataset is accessible through the GBIF network at http://ipt.biodiversity.aq/resource.do?r=proke.</t>
  </si>
  <si>
    <t>[Hemery, Lenaig G.; Ameziane, Nadia; Eleaume, Marc] UPMC, Museum Natl Hist Nat, Dept Milieux &amp; Peuplements Aquat, UMR 7208,MNHN,CNRS,IRD 207,CP26, F-75231 Paris 05, France</t>
  </si>
  <si>
    <t>Centre National de la Recherche Scientifique (CNRS); Institut de Recherche pour le Developpement (IRD); Museum National d'Histoire Naturelle (MNHN); Sorbonne Universite</t>
  </si>
  <si>
    <t>Hemery, LG (corresponding author), UPMC, Museum Natl Hist Nat, Dept Milieux &amp; Peuplements Aquat, UMR 7208,MNHN,CNRS,IRD 207,CP26, 57 Rue Cuvier, F-75231 Paris 05, France.</t>
  </si>
  <si>
    <t>lhemery@mnhn.fr</t>
  </si>
  <si>
    <t>Hemery, Lenaïg/AAA-5799-2021</t>
  </si>
  <si>
    <t>Hemery, Lenaïg/0000-0001-5337-4514; Ameziane, Nadia/0000-0002-8546-9961</t>
  </si>
  <si>
    <t>PENSOFT PUBL</t>
  </si>
  <si>
    <t>10.3897/zookeys.315.5673</t>
  </si>
  <si>
    <t>180QO</t>
  </si>
  <si>
    <t>WOS:000321609900003</t>
  </si>
  <si>
    <t>Baginski, F; Gorham, P</t>
  </si>
  <si>
    <t>Baginski, Frank; Gorham, Peter</t>
  </si>
  <si>
    <t>Technology Development for the ExaVolt Antenna (EVA) Suborbital Ultra-High Energy Particle Observatory</t>
  </si>
  <si>
    <t>2013 IEEE AEROSPACE CONFERENCE</t>
  </si>
  <si>
    <t>IEEE Aerospace Conference Proceedings</t>
  </si>
  <si>
    <t>IEEE Aerospace Conference</t>
  </si>
  <si>
    <t>MAR 02-09, 2013</t>
  </si>
  <si>
    <t>Big Sky, MT</t>
  </si>
  <si>
    <t>COSMIC-RAY SPECTRUM; BALLOONS; NEUTRINO</t>
  </si>
  <si>
    <t>We describe technology development for the ExaVolt Antenna (EVA) mission, a planned ultra-high energy (UHE) particle observatory under development for NASA's suborbital super-pressure balloon program in Antarctica. The design is based on a novel application of toroidal reflector optics which utilizes a super-pressure balloon surface, along with a feed-array mounted on an inner membrane, to create an ultra-large radio antenna system with a synoptic view of the Antarctic ice sheet below it.</t>
  </si>
  <si>
    <t>[Baginski, Frank] George Washington Univ, Dept Math, Washington, DC 20052 USA; [Gorham, Peter] Univ Hawaii Manoa, Dept Phys &amp; Astron, Honolulu, HI 96822 USA</t>
  </si>
  <si>
    <t>George Washington University; University of Hawaii System; University of Hawaii Manoa</t>
  </si>
  <si>
    <t>Baginski, F (corresponding author), George Washington Univ, Dept Math, Washington, DC 20052 USA.</t>
  </si>
  <si>
    <t>baginski@gwu.edu; gorham@phys.hawaii.edu</t>
  </si>
  <si>
    <t>Gorham, Peter/0000-0002-0923-9363</t>
  </si>
  <si>
    <t>National Aeronautics and Space Administration</t>
  </si>
  <si>
    <t>National Aeronautics and Space Administration(National Aeronautics &amp; Space Administration (NASA))</t>
  </si>
  <si>
    <t>This work was supported by the National Aeronautics and Space Administration.</t>
  </si>
  <si>
    <t>1095-323X</t>
  </si>
  <si>
    <t>978-1-4673-1811-2</t>
  </si>
  <si>
    <t>AEROSP CONF PROC</t>
  </si>
  <si>
    <t>Engineering, Aerospace; Engineering, Electrical &amp; Electronic</t>
  </si>
  <si>
    <t>BFJ62</t>
  </si>
  <si>
    <t>WOS:000320123902072</t>
  </si>
  <si>
    <t>Besson, D</t>
  </si>
  <si>
    <t>Lahmann, R; Eberl, T; Graf, K; James, C; Huege, T; Karg, T; Nahnhauer, R</t>
  </si>
  <si>
    <t>Besson, Dave</t>
  </si>
  <si>
    <t>History and Current Status of In-Ice Radio Frequency (RF) Neutrino Detection</t>
  </si>
  <si>
    <t>5TH INTERNATIONAL WORKSHOP ON ACOUSTIC AND RADIO EEV NEUTRINO DETECTION ACTIVITIES (ARENA 2012)</t>
  </si>
  <si>
    <t>5th International Workshop on Acoustic and Radio Eev Neutrino Detection Activities (ARENA)</t>
  </si>
  <si>
    <t>JUN 19-22, 2012</t>
  </si>
  <si>
    <t>Friedrich Alexander Univ Erlangen Nurnberg (FAU), Erlangen Ctr Astropartic, Erlangen, GERMANY</t>
  </si>
  <si>
    <t>Friedrich Alexander Univ Erlangen Nurnberg (FAU), Erlangen Ctr Astropartic</t>
  </si>
  <si>
    <t>Neutrinos; Askaryan Effect; Radiowave Detection</t>
  </si>
  <si>
    <t>PULSES; QCD</t>
  </si>
  <si>
    <t>As of this writing, there are three dedicated experiments based in Antarctica which seek first-ever measurement of the ultra-high-energy (UHE, E-nu &gt;100 PeV) neutrino flux at Earth by exploiting the Askaryan effect. All three (ANITA, ARA and ARIANNA) target detection of the so-called 'cosmogenic neutrinos' which should result from interactions of ultrahigh-energy baryons with the Cosmic Microwave Background Radiation (CMBR). Photoproduction of charged pions, via N gamma -&gt; Delta -&gt; N pi(+/-), with subsequent weak decays of those charged pions, results in neutrinos of typical energies two decades lower in energy than the primary progenitor. Subsequent in-ice weak and neutral scattering of those neutrinos off ice molecules can yield a detectable pulse of coherent, RF radiation. We will discuss the status of the latter of those three experiments (ARA and ARIANNA), which seek to measure ultra-high-energy neutrinos using antennas which are buried into Antarctic snow. Professor Dave Seckel of the University of Delaware will review the status of the balloon-borne ANITA experiment.</t>
  </si>
  <si>
    <t>KU Phys Dept, Lawrence, KS 66045 USA</t>
  </si>
  <si>
    <t>Besson, D (corresponding author), KU Phys Dept, 1082 Malott Hall, Lawrence, KS 66045 USA.</t>
  </si>
  <si>
    <t>978-0-7354-1159-3</t>
  </si>
  <si>
    <t>10.1063/1.4807512</t>
  </si>
  <si>
    <t>Astronomy &amp; Astrophysics; Physics, Nuclear; Physics, Particles &amp; Fields</t>
  </si>
  <si>
    <t>Astronomy &amp; Astrophysics; Physics</t>
  </si>
  <si>
    <t>BFT58</t>
  </si>
  <si>
    <t>WOS:000321252400001</t>
  </si>
  <si>
    <t>Gusev, GA</t>
  </si>
  <si>
    <t>Gusev, G. A.</t>
  </si>
  <si>
    <t>On the Attenuation of Radio Cherenkov Radiation from a Cascade in a Solid Medium at Ultrahigh Energies</t>
  </si>
  <si>
    <t>Cherenkov radiation; cascade; cosmic rays; ultrahigh energies; neutrino; electron-hole plasma; radiation shielding by plasma; ice; lunar regolith</t>
  </si>
  <si>
    <t>It is shown that the effect of the formation of an electron-hole plasma during ionization of a solid medium by a cascade developing in it can shield charge-excess Cherenkov radiation for radio frequences at energies of primaries above 10(20) eV. Such a shielding effect is strong in pure Antarctic ice and is weaker in lunar regolith. So, in principle the LORD type experiment on the detection of cascades from ultrahigh-energy cosmic rays and neutrinos by a circumlunar apparatuses retains the possibility of detecting particles up to energies of similar to 3.10(22) eV.</t>
  </si>
  <si>
    <t>Russian Acad Sci, PN Lebedev Phys Inst, Moscow 119991, Russia</t>
  </si>
  <si>
    <t>Russian Academy of Sciences; Russian Academy of Science Lebedev Physical Institute</t>
  </si>
  <si>
    <t>Gusev, GA (corresponding author), Russian Acad Sci, PN Lebedev Phys Inst, Leninskii Pr 53, Moscow 119991, Russia.</t>
  </si>
  <si>
    <t>Gusev, German/M-9596-2015</t>
  </si>
  <si>
    <t>10.1063/1.4807518</t>
  </si>
  <si>
    <t>WOS:000321252400007</t>
  </si>
  <si>
    <t>Chiba, M; Kamijo, T; Tanikawa, T; Yano, H; Yabuki, F; Yasuda, O; Chikashige, Y; Kon, T; Shimizu, Y; Watanabe, S; Utsumi, M; Fujii, M</t>
  </si>
  <si>
    <t>Chiba, Masami; Kamijo, Toshio; Tanikawa, Takahiro; Yano, Hiroyuki; Yabuki, Fumiaki; Yasuda, Osamu; Chikashige, Yuichi; Kon, Tadashi; Shimizu, Yutaka; Watanabe, Souichirou; Utsumi, Michiaki; Fujii, Masatoshi</t>
  </si>
  <si>
    <t>Measurement of a Phase of a Radio Wave Reflected from Rock Salt and Ice Irradiated by an Electron Beam for Detection of Ultra-High-Energy Neutrinos</t>
  </si>
  <si>
    <t>Neutrino detectors; ultra-high-energy cosmic rays; Rock salt; Antarctic ice sheet; Radar</t>
  </si>
  <si>
    <t>We have found a radio-wave-reflection effect in rock salt for the detection of ultra-high energy neutrinos (UHE nu's) which are expected to be generated in Greisen, Zatsepin, and Kuzmin (GZK) processes in the universe. When an UHE nu interacts with rock salt or ice as a detection medium, a shower is generated. That shower is formed by hadronic and electromagnetic avalanche processes. The energy of the UHE nu shower converts to thermal energy through ionization processes. Consequently, the temperature rises along the shower produced by the UHE nu. The refractive index of the medium rises with temperature. The irregularity of the refractive index in the medium leads to a reflection of radio waves. This reflection effect combined with the long attenuation length of radio waves in rock salt and ice would yield a new method to detect UHE nu's. We measured the phase of the reflected radio wave under irradiation with an electron beam on ice and rock salt powder. The measured phase showed excellent consistence with the power reflection fraction which was measured directly. A model taking into account the temperature change explained the phase and the amplitude of the reflected wave. Therefore the reflection mechanism was confirmed. The power reflection fraction was compared with that calculated with the Fresnel equations, the ratio between the measured result and that obtained with the Fresnel equations in ice was larger than that of rock salt.</t>
  </si>
  <si>
    <t>[Chiba, Masami; Kamijo, Toshio; Tanikawa, Takahiro; Yano, Hiroyuki; Yabuki, Fumiaki; Yasuda, Osamu] Tokyo Metropolitan Univ, Grad Sch Sci &amp; Engn, Hachioji, Tokyo 1920397, Japan</t>
  </si>
  <si>
    <t>Tokyo Metropolitan University</t>
  </si>
  <si>
    <t>Chiba, M (corresponding author), Tokyo Metropolitan Univ, Grad Sch Sci &amp; Engn, 1-1 Minami Ohsawa, Hachioji, Tokyo 1920397, Japan.</t>
  </si>
  <si>
    <t>Yasuda, Osamu/R-2988-2017</t>
  </si>
  <si>
    <t>Yasuda, Osamu/0000-0001-5446-583X</t>
  </si>
  <si>
    <t>10.1063/1.4807519</t>
  </si>
  <si>
    <t>WOS:000321252400008</t>
  </si>
  <si>
    <t>Heinen, D; Paul, L; Wiebusch, C</t>
  </si>
  <si>
    <t>Heinen, Dirk; Paul, Larissa; Wiebusch, Christopher</t>
  </si>
  <si>
    <t>Performance of the Aachen Acoustic Laboratory and results from comparative studies in water and ice</t>
  </si>
  <si>
    <t>Neutrino; acoustic detection; thermoacoustic; laser induced thermoacoustic effect; AAL; acoustic sensors; SPATS; cosmic rays; ice; South Pole</t>
  </si>
  <si>
    <t>To investigate acoustic ice properties under laboratory conditions and to test the thermoacoustic model, the Aachen Acoustic Laboratory (AAL) was founded as a part of the activities of the acoustic working group (SPATS) within the IceCube collaboration. The goal of SPATS is to evaluate the possibility of acoustic detection of ultra high-energy neutrinos in the Antarctic ice. The AAL provides a test facility setup with a proper infrastructure to study acoustics and thermoacoustics in a large volume of water and ice. The control of the freezing process, the ice quality, the temperature monitoring at different phases of the medium and the laser-based thermoacoustic sound generation are the key features of the setup. The AAL setup provides the possibility for the characterization of a wide range of acoustic transducers, sensor/transmitter calibration, study of the thermoacoustic sound generation, study of the acoustic properties of the ice, water as well as the water/ice interfaces, and research and development of new types of acoustic transducers (PVDF-based) as an alternative to standard PZTs. In this document, the different parts of the AAL setup are described, results on the commissioning from the laser based thermoacoustic sound generation are presented and the performance of an absolute sensor calibration method in water and ice are discussed.</t>
  </si>
  <si>
    <t>[Heinen, Dirk; Paul, Larissa; Wiebusch, Christopher] Rhein Westfal TH Aachen, Phys Inst 3, D-52056 Aachen, Germany</t>
  </si>
  <si>
    <t>RWTH Aachen University</t>
  </si>
  <si>
    <t>Heinen, D (corresponding author), Rhein Westfal TH Aachen, Phys Inst 3, D-52056 Aachen, Germany.</t>
  </si>
  <si>
    <t>Wiebusch, Christopher H.V./G-6490-2012; Heinen, Dirk/ABF-7280-2020</t>
  </si>
  <si>
    <t>Wiebusch, Christopher H.V./0000-0002-6418-3008; Heinen, Dirk/0000-0002-4502-7288</t>
  </si>
  <si>
    <t>10.1063/1.4807547</t>
  </si>
  <si>
    <t>WOS:000321252400036</t>
  </si>
  <si>
    <t>Belov, K</t>
  </si>
  <si>
    <t>Belov, Konstantin</t>
  </si>
  <si>
    <t>ANITA Collaboration</t>
  </si>
  <si>
    <t>Towards Determining the energy of the UHECRs observed by the ANITA detector</t>
  </si>
  <si>
    <t>cosmic rays; extensive air showers; radio emission; moving charge in medium</t>
  </si>
  <si>
    <t>MONTE-CARLO SIMULATIONS; RADIO-EMISSION; AIR; SHOWERS</t>
  </si>
  <si>
    <t>The Antarctic Impulsive Transient Antenna (ANITA) is a balloon-borne radio experiment designed to discover ultra-high energy cosmic neutrinos. The ANITA detector has completed one prototype and two full-scale flights above the Antarctic continent. Two direct and fourteen reflected cosmic ray events of ultra-high energy were observed during the first full scale flight and several others in the second flight. We present a Monte Carlo technique and analysis developed to determine the energy of the primary cosmic ray particles from the ANITA data.</t>
  </si>
  <si>
    <t>[Belov, Konstantin; ANITA Collaboration] Univ Calif Los Angeles, Dept Phys &amp; Astron 154705, Los Angeles, CA 90095 USA</t>
  </si>
  <si>
    <t>University of California System; University of California Los Angeles</t>
  </si>
  <si>
    <t>Belov, K (corresponding author), Univ Calif Los Angeles, Dept Phys &amp; Astron 154705, 475 Portola Plaza, Los Angeles, CA 90095 USA.</t>
  </si>
  <si>
    <t>Belov, Konstantin V/D-2520-2013</t>
  </si>
  <si>
    <t>Belov, Konstantin V/0000-0002-8861-110X</t>
  </si>
  <si>
    <t>10.1063/1.4807550</t>
  </si>
  <si>
    <t>WOS:000321252400039</t>
  </si>
  <si>
    <t>MacAyeal, DR; Sergienko, OV</t>
  </si>
  <si>
    <t>MacAyeal, Douglas R.; Sergienko, Olga V.</t>
  </si>
  <si>
    <t>The flexural dynamics of melting ice shelves</t>
  </si>
  <si>
    <t>FRACTURE-MECHANICS APPROACH; PENETRATION; CREVASSES</t>
  </si>
  <si>
    <t>A conspicuous precursor of catastrophic ice-shelf break-up along the Antarctic Peninsula, reported widely in the literature, is the gradual increase in surface melting and consequent proliferation of supraglacial lakes and dolines. Here we present analytical and numerical solutions for the flexure stresses within an ice shelf covered by lakes and dolines, both isolated and arrayed. We conclude that surface water promotes ice-shelf instability in two ways: (1) by water-assisted crevasse penetration, as previously noted, and (2) by the inducement of strong tensile flexure stresses (exceeding background spreading stress by 10-100 times) in response to surface water mass loads and 'hydrostatic rebound' occurring when meltwater lakes drain.</t>
  </si>
  <si>
    <t>[MacAyeal, Douglas R.] Univ Chicago, Dept Geophys Sci, Chicago, IL 60637 USA; [Sergienko, Olga V.] Princeton Univ, GFDL AOS Program, Princeton, NJ 08544 USA</t>
  </si>
  <si>
    <t>University of Chicago; National Oceanic Atmospheric Admin (NOAA) - USA; Princeton University</t>
  </si>
  <si>
    <t>MacAyeal, DR (corresponding author), Univ Chicago, Dept Geophys Sci, 5734 S Ellis Ave, Chicago, IL 60637 USA.</t>
  </si>
  <si>
    <t>drm7@uchicago.edu</t>
  </si>
  <si>
    <t>Sergienko, Olga/HII-8500-2022</t>
  </si>
  <si>
    <t>Sergienko, Olga/0000-0002-5764-8815; MacAyeal, Douglas/0000-0003-0647-6176</t>
  </si>
  <si>
    <t>US National Science Foundation [ANT-0944248, ANT-0838811, ARC-0934534]; Directorate For Geosciences; Office of Polar Programs (OPP) [0838811] Funding Source: National Science Foundation; Office of Polar Programs (OPP); Directorate For Geosciences [0944248, 0934534] Funding Source: National Science Foundation</t>
  </si>
  <si>
    <t>US 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</si>
  <si>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This work is is supported by the US National Science Foundation under grants ANT-0944248, ANT-0838811 and ARC-0934534. We thank Martin O'Leary, Kristopher Darnell and Mac Cathles for valuable discussion. Comments by two anonymous referees and by the scientific editor produced substantial improvements to the scientific quality of the work and to the clarity of the manuscript.</t>
  </si>
  <si>
    <t>10.3189/2013AoG63A256</t>
  </si>
  <si>
    <t>181RF</t>
  </si>
  <si>
    <t>WOS:000321685500002</t>
  </si>
  <si>
    <t>Lu, P; Li, ZJ; Shi, LQ; Huang, WF</t>
  </si>
  <si>
    <t>Lu, Peng; Li, Zhijun; Shi, Liqiong; Huang, Wenfeng</t>
  </si>
  <si>
    <t>Marine radar observations of iceberg distribution in the summer Southern Ocean</t>
  </si>
  <si>
    <t>ANTARCTIC PENINSULA; SIZE DISTRIBUTIONS; ICE SHELF; FRAGMENTATION</t>
  </si>
  <si>
    <t>During the 19th Chinese National Antarctic Research Expedition from December 2002 to January 2003, 1085 icebergs were observed along the cruise track within the range 58-68 degrees S in the Southern Ocean using the marine radar on the R/V Xuelong. These icebergs were located mainly in the Ross Sea, Weddell Sea and Prydz Bay with lengths ranging from 68 to 8169 m. Both power-law and Weibull functions are applied to the curve fitting of cumulative probability distribution of iceberg length in each region. The results reveal that the power-law function underestimates the measured data in the middle of the data, but overestimates them for both the smallest and largest iceberg sizes, whereas the Weibull function underestimates the measured data when iceberg length is large enough. To reduce the relative error increasing with iceberg length, the Weibull function is used only in fitting to iceberg lengths less than a threshold value of iceberg size (L-t) and the power-law function is used in fitting to iceberg lengths &gt;L-t. The improved curve fits show a good correlation over the full range of the data. This clearly reveals that an upper limit of iceberg length exists in the good agreement between the Weibull function and the measured data, which is attributed to different thermodynamic effects on calving processes and subsequent modification of large and small icebergs. In addition, iceberg size in Prydz Bay increases and then decreases when approaching the Amery Ice Shelf as a result of bergy bits and growlers calved from large icebergs in front of the ice shelf.</t>
  </si>
  <si>
    <t>[Lu, Peng; Li, Zhijun; Shi, Liqiong; Huang, Wenfeng] Dalian Univ Technol, State Key Lab Coastal &amp; Offshore Engn, Dalian, Peoples R China</t>
  </si>
  <si>
    <t>Dalian University of Technology</t>
  </si>
  <si>
    <t>Lu, P (corresponding author), Dalian Univ Technol, State Key Lab Coastal &amp; Offshore Engn, Dalian, Peoples R China.</t>
  </si>
  <si>
    <t>lupeng@dlut.edu.cn</t>
  </si>
  <si>
    <t>National Natural Science Foundation of China [41276191, 40930848]</t>
  </si>
  <si>
    <t>National Natural Science Foundation of China(National Natural Science Foundation of China (NSFC))</t>
  </si>
  <si>
    <t>This research was supported by the National Natural Science Foundation of China (41276191 and 40930848). Z.L. carried out the field data collection from Chinese Polar Expeditions organized by the Chinese Arctic and Antarctic Administration. We thank all the crew on the RN Xuelong for their help in using the marine radar on the ship.</t>
  </si>
  <si>
    <t>10.3189/2013AoG62A086</t>
  </si>
  <si>
    <t>181RD</t>
  </si>
  <si>
    <t>WOS:000321685300007</t>
  </si>
  <si>
    <t>Ingvander, S; Rosqvist, G; Svensson, J; Dahlke, HE</t>
  </si>
  <si>
    <t>Ingvander, Susanne; Rosqvist, Gunhild; Svensson, Jonas; Dahlke, Helen E.</t>
  </si>
  <si>
    <t>Seasonal and interannual variability of elemental carbon in the snowpack of Storglaciaren, northern Sweden</t>
  </si>
  <si>
    <t>BLACK CARBON; SPECTRAL ALBEDO; ANTARCTIC SNOW; SOOT; PRECIPITATION; ICE; CLIMATE; DEPOSITION; TRANSPORT; GLACIERS</t>
  </si>
  <si>
    <t>We studied the variability of elemental carbon (EC) over 3 years (2009-11) in the winter snowpack of Storglaciaren, Sweden. The goal of this study was to relate the seasonal variation in EC to specific snow accumulation events in order to improve understanding of how different atmospheric circulation patterns control the deposition of EC. Specifically, we related meteorological parameters (e.g. wind direction, precipitation) to snow physical properties, EC content, stable-isotope 8180 ratios and anion concentrations in the snowpack. The distribution of EC in the snowpack varied between years. Low EC contents corresponded to a predominance of weather systems originating in the northwest, i.e. North Atlantic. Analysis of single layers within the snowpacks showed that snow layers enriched in heavy isotopes coincided predominantly with low EC contents but high chloride and sulfate concentration. Based on this isotopic and geochemical evidence, snow deposited during these events had a strong oceanic, i.e. North Atlantic, imprint. In contrast, snow layers with high EC content coincided with snow layers depleted in heavy isotopes but high anion concentrations, indicating a more continental source of air masses and origin of EC from industrial emissions.</t>
  </si>
  <si>
    <t>[Ingvander, Susanne; Rosqvist, Gunhild; Dahlke, Helen E.] Stockholm Univ, Dept Phys Geog &amp; Quaternary Geol, S-10691 Stockholm, Sweden; [Svensson, Jonas] Finnish Meteorol Inst, Climate Change Unit, FIN-00101 Helsinki, Finland</t>
  </si>
  <si>
    <t>Stockholm University; Finnish Meteorological Institute</t>
  </si>
  <si>
    <t>Dahlke, Helen/A-5561-2012</t>
  </si>
  <si>
    <t>Dahlke, Helen/0000-0001-8757-6982; Rosqvist, Gunhild/0000-0002-9195-607X</t>
  </si>
  <si>
    <t>Metsa Tissue AB environmental research; Department of Physical Geography and Quaternary Geology, Stockholm University; Bergstrom Foundation; Tarfala Research Station</t>
  </si>
  <si>
    <t>This research was partially financed by Metsa Tissue AB environmental research, the Tarfala Research Station, the Department of Physical Geography and Quaternary Geology, Stockholm University, and the Bergstrom Foundation. We acknowledge the staff who worked in the field retrieving samples, and in the laboratory analyzing EC and chemistry samples.</t>
  </si>
  <si>
    <t>10.3189/2013AoG62A229</t>
  </si>
  <si>
    <t>WOS:000321685300009</t>
  </si>
  <si>
    <t>Burton, JC; Mac Cathles, L; Wilder, WG</t>
  </si>
  <si>
    <t>Burton, Justin C.; Mac Cathles, L.; Wilder, W. Grant</t>
  </si>
  <si>
    <t>The role of cooperative iceberg capsize in ice-shelf disintegration</t>
  </si>
  <si>
    <t>ANTARCTIC PENINSULA; BREAK-UP; STABILITY; RETREAT</t>
  </si>
  <si>
    <t>Disintegration of several ice shelves along the Antarctic Peninsula demonstrates a mechanism that involves the conversion of a contiguous ice shelf into an expanding plume of ice-shelf fragments that spreads rapidly across the ocean surface. The growth of surface area and energetic expansion are hypothesized to be driven by gravitational potential energy release associated with iceberg capsize and break-up. Here we investigate this process using a water tank filled with plastic icebergs scaled to represent a laboratory analogue of an expanding plume of ice-shelf fragments (icebergs). Our experiments suggest that hydrodynamic pressure within the water separating neighbouring icebergs is sufficient to couple the motion when their separation is comparable to the iceberg size. This allows one iceberg's capsize to initiate a 'domino-like' effect, where the entire array will subsequently capsize in the same direction and expand across the water surface. Our experimental results motivate the suggestion that cooperative iceberg hydrodynamics is a process that enhances the expansion of ice-shelf fragment plumes during ice-shelf disintegration.</t>
  </si>
  <si>
    <t>[Burton, Justin C.] Univ Chicago, Dept Phys, Chicago, IL 60637 USA; [Burton, Justin C.] Univ Chicago, James Franck Inst, Chicago, IL 60637 USA; [Mac Cathles, L.; Wilder, W. Grant] Univ Chicago, Dept Geophys Sci, Chicago, IL 60637 USA</t>
  </si>
  <si>
    <t>University of Chicago; University of Chicago; University of Chicago</t>
  </si>
  <si>
    <t>Burton, JC (corresponding author), Univ Chicago, Dept Phys, Chicago, IL 60637 USA.</t>
  </si>
  <si>
    <t>jcburton@uchicago.edu</t>
  </si>
  <si>
    <t>Burton, Justin C/M-9735-2016</t>
  </si>
  <si>
    <t>Burton, Justin C/0000-0002-4797-8968</t>
  </si>
  <si>
    <t>US National Science Foundation [ANT-0944248, NSF-PREM DMR-0934192]; Office of Polar Programs (OPP); Directorate For Geosciences [0944193] Funding Source: National Science Foundation</t>
  </si>
  <si>
    <t>US National Science Foundation(National Science Foundation (NSF)); Office of Polar Programs (OPP); Directorate For Geosciences(National Science Foundation (NSF)NSF - Directorate for Geosciences (GEO))</t>
  </si>
  <si>
    <t>This work is supported by the US National Science Foundation under grants ANT-0944248 and NSF-PREM DMR-0934192. The Fultz family and N. Nakamura provided access to laboratory facilities where the experiments were conducted. We thank D.S. Abbot, J.M. Amundson, K.N. Darnell, W.W. Zhang, S. Correa-Legisos, O. Sergienko and A. Boghosian for assistance and helpful discussions. We also thank two anonymous reviewers for their comments. We are particularly indebted to D.R. MacAyeal for insightful comments on the manuscript.</t>
  </si>
  <si>
    <t>10.3189/2013AoG63A436</t>
  </si>
  <si>
    <t>WOS:000321685500011</t>
  </si>
  <si>
    <t>Schumann, N; Gales, NJ; Harcourt, RG; Arnould, JPY</t>
  </si>
  <si>
    <t>Schumann, Nicole; Gales, Nick J.; Harcourt, Robert G.; Arnould, John P. Y.</t>
  </si>
  <si>
    <t>Impacts of climate change on Australian marine mammals</t>
  </si>
  <si>
    <t>AUSTRALIAN JOURNAL OF ZOOLOGY</t>
  </si>
  <si>
    <t>cetaceans; dugongs; sea lions; sea surface temperature; seals</t>
  </si>
  <si>
    <t>ARCTOCEPHALUS-PUSILLUS-DORIFERUS; DOLPHINS TURSIOPS-ADUNCUS; NEW-ZEALAND; FUR SEALS; SOUTHERN-OCEAN; PUP PRODUCTION; SITE FIDELITY; TEMPERATURE IMPLICATIONS; NEOPHOCA-CINEREA; TORRES STRAIT</t>
  </si>
  <si>
    <t>Increasing evidence suggests that climate change is negatively affecting marine ecosystems and biota. However, little is known of how climate change will impact marine mammals. This review aims to identify the effects of climatic variations on Australian marine mammals and determine their potential responses to climate change. Shifts in distributions and reproductive success have been associated with climatic factors, while stranding events, drowning of seal pups, exposure to altered water conditions and disease in several marine mammal species have followed extreme weather events. Climate change may produce distributional shifts as the ranges of warm-water species expand or shift southwards, and those of cold-water species contract. Reductions in the extent of key habitats, changes in breeding success, a greater incidence of strandings in dugongs and cetaceans, and increased exposure of coastal species to pollutants and pathogens are likely. The capacity of Australian marine mammals to adapt to climate change is poorly understood, though there is evidence that several species may be able to modify their physiology or behaviour in response to warming temperatures. To increase the resilience of marine mammals, it is necessary to address non-climatic threats, such as ensuring that key habitats are protected in Australia.</t>
  </si>
  <si>
    <t>[Schumann, Nicole; Arnould, John P. Y.] Deakin Univ, Sch Life &amp; Environm Sci, Burwood, Vic 3125, Australia; [Gales, Nick J.] Australian Antarctic Div, Australian Antarct Program, Kingston, Tas 7050, Australia; [Harcourt, Robert G.] Macquarie Univ, Grad Sch Environm, Sydney, NSW 2109, Australia</t>
  </si>
  <si>
    <t>Deakin University; Australian Antarctic Division; Macquarie University</t>
  </si>
  <si>
    <t>Schumann, N (corresponding author), Deakin Univ, Sch Life &amp; Environm Sci, 221 Burwood Highway, Burwood, Vic 3125, Australia.</t>
  </si>
  <si>
    <t>nschumann@gmail.com</t>
  </si>
  <si>
    <t>Harcourt, Robert/0000-0003-4666-2934</t>
  </si>
  <si>
    <t>Marine NARP project [2010/533]; FRDC-DCCEE on behalf of the Australian Government</t>
  </si>
  <si>
    <t>Marine NARP project; FRDC-DCCEE on behalf of the Australian Government(Fisheries R&amp;D Corp)</t>
  </si>
  <si>
    <t>This review is based on a national marine report card for Australia (Schumann et al. 2012) and we thank CSIRO for their involvement. This research was supported by the Marine NARP project 2010/533, which was supported by funding from the FRDC-DCCEE on behalf of the Australian Government. We are grateful to the anonymous reviewers for their constructive comments, which greatly improved the manuscript.</t>
  </si>
  <si>
    <t>0004-959X</t>
  </si>
  <si>
    <t>1446-5698</t>
  </si>
  <si>
    <t>AUST J ZOOL</t>
  </si>
  <si>
    <t>Aust. J. Zool.</t>
  </si>
  <si>
    <t>10.1071/ZO12131</t>
  </si>
  <si>
    <t>180WA</t>
  </si>
  <si>
    <t>WOS:000321628400006</t>
  </si>
  <si>
    <t>Holt, TO; Glasser, NF; Quincey, DJ; Siegfried, MR</t>
  </si>
  <si>
    <t>Holt, T. O.; Glasser, N. F.; Quincey, D. J.; Siegfried, M. R.</t>
  </si>
  <si>
    <t>Speedup and fracturing of George VI Ice Shelf, Antarctic Peninsula</t>
  </si>
  <si>
    <t>BASAL MELT; BREAK-UP; SATELLITE RADAR; GROUNDING ZONE; COLLAPSE; RETREAT; DISINTEGRATION; VARIABILITY; ACCURACY; STABILITY</t>
  </si>
  <si>
    <t>George VI Ice Shelf (GVIIS) is located on the Antarctic Peninsula, a region where several ice shelves have undergone rapid breakup in response to atmospheric and oceanic warming. We use a combination of optical (Landsat), radar (ERS 1/2 SAR) and laser altimetry (GLAS) datasets to examine the response of GVIIS to environmental change and to offer an assessment on its future stability. The spatial and structural changes of GVIIS (ca. 1973 to ca. 2010) are mapped and surface velocities are calculated at different time periods (InSAR and optical feature tracking from 1989 to 2009) to document changes in the ice shelf's flow regime. Surface elevation changes are recorded between 2003 and 2008 using repeat track ICESat acquisitions. We note an increase in fracture extent and distribution at the south ice front, ice-shelf acceleration towards both the north and south ice fronts and spatially varied negative surface elevation change throughout, with greater variations observed towards the central and southern regions of the ice shelf. We propose that whilst GVIIS is in no imminent danger of collapse, it is vulnerable to ongoing atmospheric and oceanic warming and is more susceptible to breakup along its southern margin in ice preconditioned for further retreat.</t>
  </si>
  <si>
    <t>[Holt, T. O.; Glasser, N. F.] Aberystwyth Univ, Ctr Glaciol, Inst Geog &amp; Earth Sci, Aberystwyth SY23 3DB, Dyfed, Wales; [Quincey, D. J.] Univ Leeds, Sch Geog, Leeds LS2 9JT, W Yorkshire, England; [Siegfried, M. R.] Univ Calif San Diego, Scripps Inst Oceanog, La Jolla, CA 92093 USA</t>
  </si>
  <si>
    <t>Aberystwyth University; University of Leeds; University of California System; University of California San Diego; Scripps Institution of Oceanography</t>
  </si>
  <si>
    <t>Holt, TO (corresponding author), Aberystwyth Univ, Ctr Glaciol, Inst Geog &amp; Earth Sci, Aberystwyth SY23 3DB, Dyfed, Wales.</t>
  </si>
  <si>
    <t>toh08@aber.ac.uk</t>
  </si>
  <si>
    <t>Holt, Tom/0000-0001-8361-0688; Quincey, Duncan/0000-0002-7602-7926; Glasser, Neil/0000-0002-8245-2670</t>
  </si>
  <si>
    <t>10.5194/tc-7-797-2013</t>
  </si>
  <si>
    <t>174GX</t>
  </si>
  <si>
    <t>WOS:000321144100003</t>
  </si>
  <si>
    <t>Besson, D; Kravchenko, I</t>
  </si>
  <si>
    <t>Besson, D.; Kravchenko, I.</t>
  </si>
  <si>
    <t>Radio-frequency probes of Antarctic ice at South Pole</t>
  </si>
  <si>
    <t>RADIO-WAVES; SCATTERING; SHEETS; RADAR; CORE; POLARIZATION; ZONE; FLOW; DOME</t>
  </si>
  <si>
    <t>Using hardware developed for the ARA (Askaryan Radio Array) particle astrophysics experiment, we herein report on the amplitude and temporal characteristics of polarized surface radar echo data collected in South Polar ice using radio sounding equipment with 0.5-ns echo-time sampling. We observe strong echoes at 6, 9.6, 13.9, 17, and 19 mu s following vertical pulse emission from the surface, corresponding to reflectors in the upper half of the ice sheet. The synchronicity of those echoes for all broadcast azimuthal polarizations affirms the lack of observable birefringence over the upper half of the ice sheet. Of the five strongest echoes, three exhibit an evident amplitude correlation with the local surface ice flow direction, qualitatively consistent with measurements in East Antarctica. Combined with other radio echo sounding data, we conclude that observed birefringent asymmetries at South Pole are generated entirely in the lower half of the ice sheet. By contrast, birefringent asymmetries are observed at shallow depths in East Antarctica.</t>
  </si>
  <si>
    <t>[Besson, D.] Univ Kansas, Dept Phys &amp; Astron, Lawrence, KS 66045 USA; [Kravchenko, I.] Univ Nebraska, Dept Phys &amp; Astron, Lincoln, NE 68588 USA</t>
  </si>
  <si>
    <t>University of Kansas; University of Nebraska System; University of Nebraska Lincoln</t>
  </si>
  <si>
    <t>Besson, D (corresponding author), Univ Kansas, Dept Phys &amp; Astron, Lawrence, KS 66045 USA.</t>
  </si>
  <si>
    <t>zedlam@ku.edu</t>
  </si>
  <si>
    <t>National Science Foundation's Office of Polar Programs [OPP-0826747]; QuarkNet programs; Direct For Mathematical &amp; Physical Scien; Division Of Physics [1306953] Funding Source: National Science Foundation; Direct For Mathematical &amp; Physical Scien; Division Of Physics [0970004] Funding Source: National Science Foundation</t>
  </si>
  <si>
    <t>National Science Foundation's Office of Polar Programs(National Science Foundation (NSF)); QuarkNet programs; Direct For Mathematical &amp; Physical Scien; Division Of Physics(National Science Foundation (NSF)NSF - Directorate for Mathematical &amp; Physical Sciences (MPS)); Direct For Mathematical &amp; Physical Scien; Division Of Physics(National Science Foundation (NSF)NSF - Directorate for Mathematical &amp; Physical Sciences (MPS))</t>
  </si>
  <si>
    <t>The authors particularly thank Chris Allen and John Paden (University of Kansas), John Ralston (University of Kansas), Rebecca Boon (Pennsylvania State University), Joe MacGregor (University of Texas), and Kenny Matsuoka (Norwegian Polar Institute) for very helpful discussions, as well as our colleagues on the RICE and ANITA experiments. We also thank Andy Bricker of Lawrence High School (Lawrence, KS) for his assistance working with Lawrence High School students who performed essential antenna calibrations. This work was supported by the National Science Foundation's Office of Polar Programs (grant OPP-0826747) and QuarkNet programs. Any opinions, findings, and conclusions or recommendations expressed in this material are those of the author(s) and do not necessarily reflect the views of the National Science Foundation.</t>
  </si>
  <si>
    <t>10.5194/tc-7-855-2013</t>
  </si>
  <si>
    <t>WOS:000321144100007</t>
  </si>
  <si>
    <t>Rabenstein, L; Krumpen, T; Hendricks, S; Koeberle, C; Haas, C; Hoelemann, JA</t>
  </si>
  <si>
    <t>Rabenstein, L.; Krumpen, T.; Hendricks, S.; Koeberle, C.; Haas, C.; Hoelemann, J. A.</t>
  </si>
  <si>
    <t>A combined approach of remote sensing and airborne electromagnetics to determine the volume of polynya sea ice in the Laptev Sea</t>
  </si>
  <si>
    <t>THICKNESS; EM</t>
  </si>
  <si>
    <t>A combined interpretation of synthetic aperture radar (SAR) satellite images and helicopter electromagnetic (HEM) sea-ice thickness data has provided an estimate of sea-ice volume formed in Laptev Sea polynyas during the winter of 2007/08. The evolution of the surveyed sea-ice areas, which were formed between late December 2007 and middle April 2008, was tracked using a series of SAR images with a sampling interval of 2-3 days. Approximately 160 km of HEM data recorded in April 2008 provided sea-ice thicknesses along profiles that transected sea ice varying in age from 1 to 116 days. For the volume estimates, thickness information along the HEM profiles was extrapolated to zones of the same age. The error of areal mean thickness information was estimated to be between 0.2 m for younger ice and up to 1.55 m for older ice, with the primary error source being the spatially limited HEM coverage. Our results have demonstrated that the modal thicknesses and mean thicknesses of level ice correlated with the sea-ice age, but that varying dynamic and thermodynamic sea-ice growth conditions resulted in a rather heterogeneous sea-ice thickness distribution on scales of tens of kilometers. Taking all uncertainties into account, total sea-ice area and volume produced within the entire surveyed area were 52 650 km(2) and 93.6 +/- 26.6 km(3). The surveyed polynya contributed 2.0 +/- 0.5% of the sea-ice produced throughout the Arctic during the 2007/08 winter. The SAR-HEM volume estimate compares well with the 112 km(3) ice production calculated with a similar to high-resolution ocean sea-ice model. Measured modal and mean-level ice thicknesses correlate with calculated freezing-degree-day thicknesses with a factor of 0.87-0.89, which was too low to justify the assumption of homogeneous thermodynamic growth conditions in the area, or indicates a strong dynamic thickening of level ice by rafting of even thicker ice.</t>
  </si>
  <si>
    <t>[Rabenstein, L.] Swiss Fed Inst Technol, Inst Geophys, Zurich, Switzerland; [Krumpen, T.; Hendricks, S.; Koeberle, C.; Hoelemann, J. A.] Alfred Wegener Inst Polar &amp; Marine Res, Bremerhaven, Germany; [Haas, C.] York Univ, Dept Earth &amp; Space Sci &amp; Engn, Toronto, ON M3J 2R7, Canada</t>
  </si>
  <si>
    <t>Swiss Federal Institutes of Technology Domain; ETH Zurich; Helmholtz Association; Alfred Wegener Institute, Helmholtz Centre for Polar &amp; Marine Research; York University - Canada</t>
  </si>
  <si>
    <t>Rabenstein, L (corresponding author), Swiss Fed Inst Technol, Inst Geophys, Zurich, Switzerland.</t>
  </si>
  <si>
    <t>rabenstein@aug.ig.erdw.ethz.ch; thomas.krumpen@awi.de</t>
  </si>
  <si>
    <t>Haas, Christian/L-5279-2016; Rabenstein, Lasse/D-5006-2011; Krumpen, Thomas/D-5163-2011; Hendricks, Stefan/D-5168-2011; Hoelemann, Jens/N-3608-2016</t>
  </si>
  <si>
    <t>Haas, Christian/0000-0002-7674-3500; Krumpen, Thomas/0000-0001-6234-8756; Hendricks, Stefan/0000-0002-1412-3146; Hoelemann, Jens/0000-0001-5102-4086</t>
  </si>
  <si>
    <t>Bundesministerium fur Bildung und Forschung (BMBF) [03G0639A]; ESA AO-project [AO500]</t>
  </si>
  <si>
    <t>Bundesministerium fur Bildung und Forschung (BMBF)(Federal Ministry of Education &amp; Research (BMBF)); ESA AO-project</t>
  </si>
  <si>
    <t>Field work was completed during the TRANSDRIFT XIII expedition within the German-Russian cooperation System Laptev Sea funded by the Bundesministerium fur Bildung und Forschung (BMBF) under grant 03G0639A. Logistics and instrumentation were supported by the Alfred Wegener Institute (AWI), Bremerhaven, Germany, and the Arctic and Antarctic Research Institute (AARI) in St Petersburg, Russia. We are also grateful to the members of the Lena Delta Reserve in Tiksi for help and logistics on site. Processing of the data and writing of the publication was completed at AWI Bremerhaven and at the Swiss Federal Institute of Technology (ETH) Zurich, Switzerland. Envisat SAR images were obtained through ESA AO-project AO500. We are indebted to the following persons: Torben Klagge from GEOMAR Kiel for technical field support; Heidemarie Kassens from GEOMAR, Ekaterina Taldenkova from Moscow State University; Viktor Visitov from AARI for administration, organization and negotiations in Tiksi; Sergey Kirillov, Andrey Novikhin and Michael Makhotin from AARI for help during the helicopter surveys; and Alan Green from ETH Zurich for a critical internal review of the paper. The COSMO dataset was kindly provided by the Environmental and Meteorology Department of the University Trier.</t>
  </si>
  <si>
    <t>10.5194/tc-7-947-2013</t>
  </si>
  <si>
    <t>Green Accepted, Green Submitted, gold, Green Published</t>
  </si>
  <si>
    <t>WOS:000321144100015</t>
  </si>
  <si>
    <t>Oke, PR; Griffin, DA; Schiller, A; Matear, RJ; Fiedler, R; Mansbridge, J; Lenton, A; Cahill, M; Chamberlain, MA; Ridgway, K</t>
  </si>
  <si>
    <t>Oke, P. R.; Griffin, D. A.; Schiller, A.; Matear, R. J.; Fiedler, R.; Mansbridge, J.; Lenton, A.; Cahill, M.; Chamberlain, M. A.; Ridgway, K.</t>
  </si>
  <si>
    <t>Evaluation of a near-global eddy-resolving ocean model</t>
  </si>
  <si>
    <t>FRESH-WATER DISCHARGE; DATA ASSIMILATION; PARAMETER OPTIMIZATION; VOLUME TRANSPORT; MESOSCALE EDDIES; CIRCULATION; IRON; VARIABILITY; KUROSHIO; SYSTEM</t>
  </si>
  <si>
    <t>Analysis of the variability of the last 18 yr (1993-2012) of a 32 yr run of a new near-global, eddy-resolving ocean general circulation model coupled with biogeochemistry is presented. Comparisons between modelled and observed mean sea level (MSL), mixed layer depth (MLD), sea level anomaly (SLA), sea surface temperature (SST), and {\chla} indicate that the model variability is realistic. We find some systematic errors in the modelled MLD, with the model generally deeper than observations, which results in errors in the {\chla}, owing to the strong biophysical coupling. We evaluate several other metrics in the model, including the zonally averaged seasonal cycle of SST, meridional overturning, volume transports through key straits and passages, zonally averaged temperature and salinity, and El Nino-related SST indices. We find that the modelled seasonal cycle in SST is 0.5-1.5 A degrees C weaker than observed; volume transports of the Antarctic Circumpolar Current, the East Australian Current, and Indonesian Throughflow are in good agreement with observational estimates; and the correlation between the modelled and observed NINO SST indices exceeds 0.91. Most aspects of the model circulation are realistic. We conclude that the model output is suitable for broader analysis to better understand upper ocean dynamics and ocean variability at mid- and low latitudes. The new model is intended to underpin a future version of Australia's operational short-range ocean forecasting system.</t>
  </si>
  <si>
    <t>[Oke, P. R.; Griffin, D. A.; Schiller, A.; Matear, R. J.; Fiedler, R.; Mansbridge, J.; Lenton, A.; Cahill, M.; Chamberlain, M. A.; Ridgway, K.] CSIRO Marine &amp; Atmospher Res, Ctr Australian Weather &amp; Climate Res, Hobart, Tas 7001, Australia</t>
  </si>
  <si>
    <t>Oke, PR (corresponding author), CSIRO Marine &amp; Atmospher Res, Ctr Australian Weather &amp; Climate Res, GPO Box 1538, Hobart, Tas 7001, Australia.</t>
  </si>
  <si>
    <t>peter.oke@csiro.au</t>
  </si>
  <si>
    <t>Chamberlain, Matthew/D-4805-2012; Schiller, Andreas/C-5129-2011; Ridgway, Ken/AAA-4040-2019; Oke, Peter/C-5127-2011; Lenton, Andrew/D-2077-2012; matear, richard/C-5133-2011</t>
  </si>
  <si>
    <t>Oke, Peter/0000-0002-3163-5610; Lenton, Andrew/0000-0001-9437-8896; Schiller, Andreas/0000-0001-8530-166X; matear, richard/0000-0002-3225-0800; Chamberlain, Matthew/0000-0002-3287-3282; Ridgway, Ken/0000-0002-5861-1360</t>
  </si>
  <si>
    <t>CSIRO; Wealth from Oceans National Research Flagship; Royal Australian Navy</t>
  </si>
  <si>
    <t>CSIRO(Commonwealth Scientific &amp; Industrial Research Organisation (CSIRO)); Wealth from Oceans National Research Flagship; Royal Australian Navy</t>
  </si>
  <si>
    <t>Funding for this research was provided by CSIRO, through the Wealth from Oceans National Research Flagship, and through the Royal Australian Navy. The authors gratefully acknowledge contributions from the Bluelink science team; and comments from P. Sakov, S. Cravatte, and W. Kessler that led to improvements in this manuscript. Satellite altimetry is provided by NASA, NOAA and CNES. SST observations are provided by NOAA (www.nodc.noaa.gov) and Remote Sensing Systems (www.remss.com).</t>
  </si>
  <si>
    <t>10.5194/gmd-6-591-2013</t>
  </si>
  <si>
    <t>174EU</t>
  </si>
  <si>
    <t>WOS:000321137700002</t>
  </si>
  <si>
    <t>Moulin, H</t>
  </si>
  <si>
    <t>Harlow, J</t>
  </si>
  <si>
    <t>Moulin, Herve</t>
  </si>
  <si>
    <t>The International Geophysical Year: The French Participation, Its Influence on the Beginning of the National Space Program</t>
  </si>
  <si>
    <t>HISTORY OF ROCKETRY AND ASTRONAUTICS</t>
  </si>
  <si>
    <t>AAS History Series</t>
  </si>
  <si>
    <t>42nd History Symposium of the International-Academy-of-Astronautics</t>
  </si>
  <si>
    <t>SEP 29-OCT 03, 2008</t>
  </si>
  <si>
    <t>Glasgow, SCOTLAND</t>
  </si>
  <si>
    <t>In 1957-1958, the International Geophysical Year (IGY) was the most important scientific cooperation program in the world, after World War II. Thousands of scientists from 67 countries, among them many French scientists, were involved in this large operation. The IGY was previously called the International Polar Year (IPY), and France, in addition to many other countries, was involved in the Arctic and Antarctic regions research. The IGY is at the origins of Sputnik and the first launches of Soviet and American satellites. But less is known about the IGY rocket program itself, in which France had intended to participate. This chapter will discuss the program with a special highlight on some aspects of the French participation and its relationship with the IGY program. Questions arise such as: Which French scientists were involved? What was the attitude of the French government about this program? Did the IGY have a real influence on the beginning of French space research activities?</t>
  </si>
  <si>
    <t>Inst Francais Hist Espace, Paris, France</t>
  </si>
  <si>
    <t>Moulin, H (corresponding author), Inst Francais Hist Espace, Paris, France.</t>
  </si>
  <si>
    <t>AMER ASTRONAUTICAL SOC</t>
  </si>
  <si>
    <t>SAN DIEGO</t>
  </si>
  <si>
    <t>PUBLICATIONS OFFICE PO BOX 28130, SAN DIEGO, CA 92128 USA</t>
  </si>
  <si>
    <t>0730-3564</t>
  </si>
  <si>
    <t>978-0-87703-590-9</t>
  </si>
  <si>
    <t>AAS HIST SER</t>
  </si>
  <si>
    <t>Engineering, Aerospace</t>
  </si>
  <si>
    <t>BFR69</t>
  </si>
  <si>
    <t>WOS:000321076100002</t>
  </si>
  <si>
    <t>Higgins, KL; Semmens, JM; Doubleday, ZA; Burridge, CP</t>
  </si>
  <si>
    <t>Higgins, Kaitlyn L.; Semmens, Jayson M.; Doubleday, Zoe A.; Burridge, Christopher P.</t>
  </si>
  <si>
    <t>Comparison of population structuring in sympatric octopus species with and without a pelagic larval stage</t>
  </si>
  <si>
    <t>Octopus; Microsatellite; Population structure; Sympatric; Isolation by distance; Life history</t>
  </si>
  <si>
    <t>MICROSATELLITE DNA MARKERS; STYLET ELEMENTAL SIGNATURES; HIGH GENE FLOW; LIFE-HISTORY; VULGARIS CEPHALOPODA; REEF FISH; DISPERSAL; CORAL; DIVERGENCE; DIFFERENTIATION</t>
  </si>
  <si>
    <t>An understanding of the influence of life history on dispersal capability is central to a range of disciplines within ecology and evolution. While studies have investigated this question by contrasting spatial population structuring in taxa that differ in life history, in the vast majority such comparisons differ in space and time, and therefore environmental factors may have contributed. Here, population structure of a holobenthic (i.e. direct developing) octopus, Octopus pallidus, was investigated genetically. This was compared to existing genetic data for a co-occurring merobenthic (i.e. planktonic larvae) species, Macroctopus maorum. Greater spatial genetic structuring was evident in O. pallidus than M. maorum. Patterns were consistent with isolation by distance in O. pallidus, but appeared related to oceanographic circulation systems in M. maorum, suggesting distance-dependent adult dispersal and current-mediated larval dispersal, respectively. Genetic population structuring in O. pallidus also largely corroborated inferences based on stylet microchemistry, indicating the utility of these environmental signatures. This study enables stronger predictions to be made regarding the dispersal capabilities and spatial population structuring of other cephalopods based on life history.</t>
  </si>
  <si>
    <t>[Higgins, Kaitlyn L.; Burridge, Christopher P.] Univ Tasmania, Sch Zool, Hobart, Tas 7001, Australia; [Semmens, Jayson M.] Univ Tasmania, Inst Marine &amp; Antarctic Studies, Fisheries Aquaculture &amp; Coasts Ctr, Hobart, Tas 7001, Australia; [Doubleday, Zoe A.] Univ Adelaide, Sch Earth &amp; Environm Sci, Southern Seas Ecol Labs, Adelaide, SA 5005, Australia</t>
  </si>
  <si>
    <t>University of Tasmania; University of Tasmania; University of Adelaide</t>
  </si>
  <si>
    <t>Higgins, KL (corresponding author), Univ Tasmania, Sch Zool, Private Bag 5, Hobart, Tas 7001, Australia.</t>
  </si>
  <si>
    <t>kaitlyn.l.higgins@gmail.com</t>
  </si>
  <si>
    <t>Burridge, Chris/L-4392-2019; Burridge, Christopher/J-2653-2012; Doubleday, Zoe/AAU-6278-2020; Doubleday, Zoe/N-9955-2013; Doubleday, Zoe/N-9955-2013</t>
  </si>
  <si>
    <t>Burridge, Christopher/0000-0002-8185-6091; Doubleday, Zoe/0000-0003-0045-6377; Higgins, Kaitlyn/0000-0002-3666-0225; Doubleday, Zoe/0000-0002-6850-3507; Semmens, Jayson/0000-0003-1742-6692</t>
  </si>
  <si>
    <t>W. V. Scott Charitable Trust; Tasmanian Department of Primary Industries, Parks, Water and the Environment</t>
  </si>
  <si>
    <t>Samples were collected with the assistance of the Hardy family, S. Leporati, Spring Bay Seafoods and N. Beeton. We thank J. Worth and A. Smolenski for assisting with laboratory analyses, and P. Unmack, N. Beeton and the Tasmanian Department of Primary Industries, Parks, Water and the Environment for assistance with figures. This study was supported by the W. V. Scott Charitable Trust and the Tasmanian Department of Primary Industries, Parks, Water and the Environment.</t>
  </si>
  <si>
    <t>10.3354/meps10330</t>
  </si>
  <si>
    <t>182WX</t>
  </si>
  <si>
    <t>WOS:000321776600017</t>
  </si>
  <si>
    <t>Yang, Q</t>
  </si>
  <si>
    <t>Tang, X; Zhong, W; Zhuang, D; Li, C; Liu, Y</t>
  </si>
  <si>
    <t>Yang, Qiao</t>
  </si>
  <si>
    <t>Taxonomic Identification and Bioactivity Screening of the Symbiotic Bacteria Strains of Euphausia superba from Antarctic Ocean</t>
  </si>
  <si>
    <t>PROGRESS IN ENVIRONMENTAL PROTECTION AND PROCESSING OF RESOURCE, PTS 1-4</t>
  </si>
  <si>
    <t>International Conference on Sustainable Energy and Environmental Engineering (ICSEEE 2012)</t>
  </si>
  <si>
    <t>DEC 29-30, 2012</t>
  </si>
  <si>
    <t>Guangzhou, PEOPLES R CHINA</t>
  </si>
  <si>
    <t>Antarctic krill; Euphausia superb; Symbiotic marine bacterium; Isolation and identification; Antarctic Ocean</t>
  </si>
  <si>
    <t>NATURAL-PRODUCTS; DRUGS</t>
  </si>
  <si>
    <t>The marine symbiotic bacteria strains were isolated from the Antarctic krill (Euphausia superb) samples captured in Antarctica Ocean. The taxonomic identification was then performed. The screening of the bioactivity against nitric oxide (NO) release for the crude extract after the strain fermentation and cell culture extraction were finally carried out. The taxonomic identification analysis showed the strain was very close to Salegentibacter salinus ISL with the similarity value of 94.5% based on 16S rDNA gene sequencing and homology analysis. According to the analysis, this strain was identified as a new strain and nominated as Salegentibacter sp. NJ-102. The bioactivity screening analysis of the culture extract demonstrated the crude extract showed significant inhibitory bioactivity against NO release and the expression of the inducible nitric oxide synthase (iNOS) in the ECV-304 cells.</t>
  </si>
  <si>
    <t>qyang2012@126.com</t>
  </si>
  <si>
    <t>978-3-03785-649-9</t>
  </si>
  <si>
    <t>295-298</t>
  </si>
  <si>
    <t>10.4028/www.scientific.net/AMM.295-298.173</t>
  </si>
  <si>
    <t>Engineering, Environmental; Engineering, Petroleum; Environmental Sciences; Mining &amp; Mineral Processing</t>
  </si>
  <si>
    <t>Engineering; Environmental Sciences &amp; Ecology; Mining &amp; Mineral Processing</t>
  </si>
  <si>
    <t>BFO98</t>
  </si>
  <si>
    <t>WOS:000320828200036</t>
  </si>
  <si>
    <t>Meinander, O; Kazadzis, S; Arola, A; Kivi, R; Kontu, A; Suokanerva, H; Kyrö, E; Aaltonen, V; Manninen, T; Riihelä, A; Roujeane, JL; Hautecoeur, O</t>
  </si>
  <si>
    <t>Cahalan, RF; Fischer, J</t>
  </si>
  <si>
    <t>Meinander, O.; Kazadzis, S.; Arola, A.; Kivi, R.; Kontu, A.; Suokanerva, H.; Kyro, E.; Aaltonen, V.; Manninen, T.; Riihela, A.; Roujeane, J. -L.; Hautecoeur, O.</t>
  </si>
  <si>
    <t>About UV Albedo of Seasonal Snow at Sodankyla including Arctic - Antarctic Comparison Aspects</t>
  </si>
  <si>
    <t>RADIATION PROCESSES IN THE ATMOSPHERE AND OCEAN (IRS2012)</t>
  </si>
  <si>
    <t>International Radiation Symposium on Radiation Processes in the Atmosphere and Ocean (IRS)</t>
  </si>
  <si>
    <t>AUG 06-10, 2012</t>
  </si>
  <si>
    <t>Free Univ Berlin, Berlin, GERMANY</t>
  </si>
  <si>
    <t>Free Univ Berlin</t>
  </si>
  <si>
    <t>UV; Albedo; Snow; Black carbon</t>
  </si>
  <si>
    <t>SPECTRAL ALBEDO; MODEL</t>
  </si>
  <si>
    <t>Finland is especially advantageous for snow albedo studies, as it represents the European Arctic, the snow cover melts every year, we have five out of the six global snow classes, and the topography is flat, thus favorable to albedo studies. In 2007, new continuous broadband measurements on Arctic snow UV albedo at Sodankyl (67 degrees 22'N, 26 degrees 39'E, 179 m asl) were started by the Finnish Meteorological Institute as part of the IPY activities. Weekly snow samples have been collected for BC analyses at Sodankyl since 2009, and snow grain size data belongs to the snow time regular measurement procedures at Sodankyl as well. In literature, albedo values for clean snow in UV-VIS are 0.97-0.98, consistent with the extremely small absorption coefficient of ice in this spectral range. We have found that in case of intensively melting Arctic snow, with melt water surrounding the several millimeter snow grains, containing possibly BC up to 40 ppb and organic carbon up to 1734 ppb, and confirmed by three independent ancillary snow albedo measurements, the UV-VIS albedo of snow measured at an open snow covered field (surrounded by distant trees not shadowing the field during the measurement) can be around 0.5-0.7. For comparison, we have measured the clean Arctic Sea ice and snow at 87 degrees N to have A = 0.91 - 0.92 both in the UV and VIS. Our experimental results on artificially sooted snow show that when albedo of natural southern Finnish snow was A(VIS)=0.92 and A(UV)=0.70, with surface EC=87 ppb, then introducing an amount of EC=4916 ppb soot on the surface of snow, decreased albedo immediately into A=0.28-0.29 in both the UV and VIS. We have also studied the SZA asymmetry of albedo found in the Arctic and Antarctic albedo data, and Radiative Transfer (RT) model calculations have been used to study e. g. the effect of the measured local albedo on radiative forcing.</t>
  </si>
  <si>
    <t>[Meinander, O.; Aaltonen, V.; Manninen, T.; Riihela, A.] Finnish Meteorol Inst, FIN-00101 Helsinki, Finland</t>
  </si>
  <si>
    <t>Finnish Meteorological Institute</t>
  </si>
  <si>
    <t>Meinander, O (corresponding author), Finnish Meteorol Inst, POB 503, FIN-00101 Helsinki, Finland.</t>
  </si>
  <si>
    <t>Meinander, Outi I/M-8589-2014; Aaltonen, Veijo/J-8814-2017; Arola, Antti/S-8917-2019; Kazadzis, Stelios/A-5628-2011; Meinander, Outi/AAN-1460-2020; Kontu, Anna/O-8886-2014; Riihela, Aku/D-2799-2013</t>
  </si>
  <si>
    <t>Arola, Antti/0000-0002-9220-0194; Kazadzis, Stelios/0000-0002-8624-8247; Meinander, Outi/0000-0001-6608-3951; Kontu, Anna/0000-0001-6880-6260; Manninen, Terhikki/0000-0001-8945-9122; Riihela, Aku/0000-0001-6581-8792; Kazadzis, Stelios/0000-0003-1031-0216</t>
  </si>
  <si>
    <t>978-0-7354-1155-5</t>
  </si>
  <si>
    <t>10.1063/1.4804883</t>
  </si>
  <si>
    <t>Meteorology &amp; Atmospheric Sciences; Physics, Applied</t>
  </si>
  <si>
    <t>Meteorology &amp; Atmospheric Sciences; Physics</t>
  </si>
  <si>
    <t>BFO62</t>
  </si>
  <si>
    <t>WOS:000320763100188</t>
  </si>
  <si>
    <t>Wolfram, EA; Salvador, J; Orte, F; Bulnes, D; D'Elia, R; Antón, M; Alados-Arboledas, L; Quel, E</t>
  </si>
  <si>
    <t>Wolfram, Elian A.; Salvador, Jacobo; Orte, Facundo; Bulnes, Daniela; D'Elia, Raul; Anton, Manuel; Alados-Arboledas, Lucas; Quel, Eduardo</t>
  </si>
  <si>
    <t>Study of Cloud Enhanced Surface UV Radiation at the Atmospheric Observatory of Southern Patagonia, Rio Gallegos, Argentina</t>
  </si>
  <si>
    <t>UVI; CMF; Ozone; Remote sensing</t>
  </si>
  <si>
    <t>Ozone and ultraviolet (UV) radiation are two important issues in the study of Earth's atmosphere. The anthropogenic perturbation of the ozone layer has induced change in the amount of UV radiation that reaches the Earth's surface, mainly through the Antarctic ozone hole. Also clouds have been identified as the main modulator of UV amount over short time scales. While clouds can decrease direct radiation, they can produce an increase in the diffuse component, and as a consequence the surface UV radiation may be higher than during an equivalent clear sky scenario. In particular this situation can be important when a low ozone column and partially cloud coverered skies occur simultaneously. These situations happen frequently in southern Patagonia, where the CEILAP Lidar Division has established the Atmospheric Observatory of Southern Patagonia, an atmospheric remote sensing site near the city of Rio Gallegos (51 degrees 55' S, 69 degrees 14' W). In this paper, the impact of clouds on UV radiation is investigated by the use of ground based measurements from the passive remote sensing instruments operating at this site, mainly broad and moderate narrow band filter radiometers. Cloud modification factors (CMF, ratio between the measured UV radiation in a cloudy sky and the simulated radiation under cloud-free conditions) are evaluated for the study site. CMFs higher than 1 are found during spring and summer time, when lower total ozone columns, higher solar elevations and high cloud cover occur simultaneously, producing extreme erythemal irradiance at the ground surface. Enhancements as high as 25% were registered. The maximum duration of the enhancement was around 30 minutes. This produces dangerous sunbathing conditions for the Rio Gallegos citizen.</t>
  </si>
  <si>
    <t>[Wolfram, Elian A.; Salvador, Jacobo; Bulnes, Daniela; D'Elia, Raul; Quel, Eduardo] UMI IFAECI CNRS 3351, Ctr Invest Laseres &amp; Aplicac, CEILAP UNIDEF MINDEF CONICET, Villa Martelli, Argentina</t>
  </si>
  <si>
    <t>Wolfram, EA (corresponding author), UMI IFAECI CNRS 3351, Ctr Invest Laseres &amp; Aplicac, CEILAP UNIDEF MINDEF CONICET, Villa Martelli, Argentina.</t>
  </si>
  <si>
    <t>Salvador, Jacobo/ISV-5414-2023; Antón, Manuel/A-8477-2010; Alados-Arboledas, Lucas/P-5630-2014</t>
  </si>
  <si>
    <t>Orte, Pablo Facundo/0000-0003-1826-3741; , Raul/0000-0002-8154-6114; Alados-Arboledas, Lucas/0000-0003-3576-7167; Anton, Manuel/0000-0002-0816-3758</t>
  </si>
  <si>
    <t>10.1063/1.4804918</t>
  </si>
  <si>
    <t>WOS:000320763100223</t>
  </si>
  <si>
    <t>Sears, DWG; Ninagawa, K; Singhvi, AK</t>
  </si>
  <si>
    <t>Sears, Derek W. G.; Ninagawa, Kiyotaka; Singhvi, Ashok K.</t>
  </si>
  <si>
    <t>Luminescence studies of extraterrestrial materials: Insights into their recent radiation and thermal histories and into their metamorphic history</t>
  </si>
  <si>
    <t>CHEMIE DER ERDE-GEOCHEMISTRY</t>
  </si>
  <si>
    <t>Thermoluminescence; Meteorites; Orbits; Terrestrial age; Metamorphism</t>
  </si>
  <si>
    <t>TYPE-3 ORDINARY CHONDRITES; NATURAL THERMOLUMINESCENCE; TERRESTRIAL AGES; ANTARCTIC METEORITES; PARENT-BODY; H CHONDRITES; CARBONACEOUS CHONDRITES; ATMOSPHERIC ABLATION; ENSTATITE CHONDRITES; SHOCK METAMORPHISM</t>
  </si>
  <si>
    <t>Early work on meteorite thermoluminescence (TL), influenced by pottery dating and dosimetry applications, demonstrated a relationship between natural thermoluminescence and (1) the orbital perihelion and (2) the terrestrial age (time since fall) of a meteorite. For 14 years natural TL measurements were routinely made on newly recovered Antarctic meteorites to help identify unusual thermal and radiation histories, and to sort them by terrestrial age and perihelion. Two examples of the value of such data are presented, an Antarctic meteorite that underwent a major orbit change prior to fall, and the collection mechanics of meteorites at the Lewis Cliff ice field. A second major area of focus for meteorite TL that has no non-meteorite heritage, is the use of their induced TL to provide an extraordinarily sensitive and quantitative means of exploring metamorphic intensity and palaeothermometry. While especially valuable for unequilibrated ordinary chondrites, these types of measurement have proved useful with virtually every major class of meteorite, asteroidal and planetary. The challenge now is to extend the technique to small particles, micrometeorites, interplanetary dust particles, and cometary particles. (C) 2013 Elsevier GmbH. All rights reserved.</t>
  </si>
  <si>
    <t>[Sears, Derek W. G.] NASA, Ames Res Ctr, Space Sci &amp; Astrobiol Div, Mountain View, CA 94035 USA; [Ninagawa, Kiyotaka] Okayama Univ Sci, Dept Appl Phys, Okayama 700, Japan; [Singhvi, Ashok K.] Phys Res Lab, Ahmadabad 380009, Gujarat, India</t>
  </si>
  <si>
    <t>National Aeronautics &amp; Space Administration (NASA); NASA Ames Research Center; Okayama University of Science; Department of Space (DoS), Government of India; Physical Research Laboratory - India</t>
  </si>
  <si>
    <t>Sears, DWG (corresponding author), NASA, Ames Res Ctr, Space Sci &amp; Astrobiol Div, MS245-3, Mountain View, CA 94035 USA.</t>
  </si>
  <si>
    <t>Derek.Sears@nasa.gov</t>
  </si>
  <si>
    <t>NASA; NSF; State of Arkansas</t>
  </si>
  <si>
    <t>NASA(National Aeronautics &amp; Space Administration (NASA)); NSF(National Science Foundation (NSF)); State of Arkansas</t>
  </si>
  <si>
    <t>We thank Associate Editor Klaus Keil for soliciting this Invited Review, for advice, encouragement, and for guiding us through the process, and Mike Weisberg and Steve Sutton for extremely helpful reviews. DS is grateful to all the students and colleagues who have worked with him on this topic over the last 40 years and who are responsible for the understandings that we have developed. He is also grateful to the many colleagues who took an interest in our work and offered the best kind of encouragement; they found our work useful. He is also grateful to the Research Corporation, NASA, NSF, and the State of Arkansas who supported the research. Finally, he is grateful to Hazel Sears who has shared this interest with him for 40 years and reviewed the present article. AS is grateful to Professor N. Bhandarin, Dr D. Sengupta, and Dr. Rabiul Biswas for their contributions and ideas. KN appreciates the support of the Visiting Researcher's Program of the Reactor Institute, Kyoto University, for 60Co gamma-ray irradiations of his samples and Professor Kojima and Dr. Imae, of the National Institute of Polar Research, for helpful suggestions concerning the classification of Japanese samples.</t>
  </si>
  <si>
    <t>ELSEVIER GMBH</t>
  </si>
  <si>
    <t>MUNICH</t>
  </si>
  <si>
    <t>HACKERBRUCKE 6, 80335 MUNICH, GERMANY</t>
  </si>
  <si>
    <t>0009-2819</t>
  </si>
  <si>
    <t>1611-5864</t>
  </si>
  <si>
    <t>CHEM ERDE-GEOCHEM</t>
  </si>
  <si>
    <t>Chem Erde-Geochem.</t>
  </si>
  <si>
    <t>10.1016/j.chemer.2012.12.001</t>
  </si>
  <si>
    <t>173MK</t>
  </si>
  <si>
    <t>WOS:000321083400001</t>
  </si>
  <si>
    <t>Meier, WN; Gallaher, D; Campbell, GG</t>
  </si>
  <si>
    <t>Meier, W. N.; Gallaher, D.; Campbell, G. G.</t>
  </si>
  <si>
    <t>New estimates of Arctic and Antarctic sea ice extent during September 1964 from recovered Nimbus I satellite imagery</t>
  </si>
  <si>
    <t>Visible satellite imagery from the 1964 Nimbus I satellite has been recovered, digitized, and processed to estimate Arctic and Antarctic sea ice extent for September 1964. September is the month when the Arctic sea ice reaches its minimum annual extent and the Antarctic sea ice reaches its maximum. Images from a three-week period were manually analyzed to estimate the location of the ice edge and then composited to obtain a hemispheric estimate. Uncertainties were based on limitations in the image analysis and the variation of the ice cover over the three-week period. The 1964 Antarctic extent is higher than estimates from the 1979-present passive microwave record, but is in accord with previous indications of higher extents during the 1960s. The Arctic 1964 extent is near the 1979-2000 average from the passive microwave record, suggesting relatively stable summer extents during the 1960s and 1970s preceding the downward trend since 1979 and particularly the large decrease in the last decade. These early satellite data put the recently observed record into a longer-term context.</t>
  </si>
  <si>
    <t>[Meier, W. N.; Gallaher, D.; Campbell, G. G.] Univ Colorado, Natl Snow &amp; Ice Data Ctr, Boulder, CO 80309 USA</t>
  </si>
  <si>
    <t>Meier, WN (corresponding author), Univ Colorado, Natl Snow &amp; Ice Data Ctr, Boulder, CO 80309 USA.</t>
  </si>
  <si>
    <t>walt@nsidc.org</t>
  </si>
  <si>
    <t>Meier, Walter/AAI-9583-2021</t>
  </si>
  <si>
    <t>Meier, Walter/0000-0003-2857-0550</t>
  </si>
  <si>
    <t>[NNG08HZ07C]</t>
  </si>
  <si>
    <t>This research was funded by a sub-contract to NASA grant #NNG08HZ07C. We also thank the students Carl Gallaher and Alex Calder for their diligence in scanning and documenting the 13 000 images used in this study.</t>
  </si>
  <si>
    <t>10.5194/tc-7-699-2013</t>
  </si>
  <si>
    <t>174UT</t>
  </si>
  <si>
    <t>WOS:000321181800006</t>
  </si>
  <si>
    <t>Matsumto, T; Mori, A; Kise, S; Abe, N</t>
  </si>
  <si>
    <t>Matsumto, Takeshi; Mori, Asuka; Kise, Shinichiro; Abe, Natsue</t>
  </si>
  <si>
    <t>Tectonics and mechanism of a spreading ridge subduction at the Chile Triple Junction based on new marine geophysical data</t>
  </si>
  <si>
    <t>Chile Ridge; Chile Triple Junction; Chile Trench; Outer Gravity High; slab-pull</t>
  </si>
  <si>
    <t>GRAVITY-ANOMALIES; TAITAO OPHIOLITE; SOUTHERN CHILE; VOLCANISM; PACIFIC; FIELD</t>
  </si>
  <si>
    <t>The Chile Triple Junction (CTJ), an RTT-type triple junction located at 46 degrees 13' S, 75 degrees 48' W off the western coast of Chile, is characterized by the subducting Chile Ridge, which is the constructive plate boundary that generates both the Nazca Plate and the Antarctic Plate. The ridge subduction mechanism and the regional tectonics around the CTJ were investigated primarily using marine geophysical data (topography, gravity, geomagnetic field and single-channel seismics) collected during the SORA2009 cruise (Cruise ID = MR08-06) by R/V MIRAI together with other cruise data from the National Geophysical Data Center. The segment of the ridge axis just before the subduction around the CTJ is associated with an axial deep covered with thick sediment unlike that seen in typical ridge crests. The profiles of both topography and the free air anomaly around the CTJ show quite different patterns from those of ordinary subduction zones. However, topographic features typical of a slow-spreading type ridge, including a median valley and both flanks, remain in the seaward side of the trench. Even after the subduction of the eastern flank, the topographic features of the western flank remain. A slight Outer Rise and an Outer Gravity High, which are common in the western Pacific area, were observed in an area far away from the CTJ on both Nazca and Antarctic plate sides. The geomagnetic anomaly pattern around the Chile Ridge near the CTJ shows that the estimated spreading rate decreases gradually towards the ridge crest. This suggests that volcanic activity diminishes gradually towards the subducting ridge axis. The lithosphere under the Chile Ridge might have amalgamated with the surrounding oceanic lithosphere due to heat loss after the cessation of volcanic activity. The oceanic lithosphere towards the trench also thickens rapidly due to heat loss. Consequently, shallow-angle subduction of the youngest and most immature oceanic plate occurs smoothly via slab-pull force without any resistance along the interface between the South American continental plates.</t>
  </si>
  <si>
    <t>[Matsumto, Takeshi; Kise, Shinichiro] Univ Ryukyus, Okinawa 9030213, Japan; [Mori, Asuka] Global Ocean Dev Inc, Konan Ku, Yokohama, Kanagawa 2330002, Japan; [Abe, Natsue] Japan Agcy Marine Earth Sci &amp; Technol, Yokosuka, Kanagawa 2370061, Japan</t>
  </si>
  <si>
    <t>University of the Ryukyus; Japan Agency for Marine-Earth Science &amp; Technology (JAMSTEC)</t>
  </si>
  <si>
    <t>Matsumto, T (corresponding author), Univ Ryukyus, 1 Senbaru, Okinawa 9030213, Japan.</t>
  </si>
  <si>
    <t>tak@sci.u-ryukyu.ac.jp</t>
  </si>
  <si>
    <t>Abe, Natsue/AAP-7388-2021</t>
  </si>
  <si>
    <t>Abe, Natsue/0000-0002-2734-0035</t>
  </si>
  <si>
    <t>10.2343/geochemj.2.0257</t>
  </si>
  <si>
    <t>164RQ</t>
  </si>
  <si>
    <t>WOS:000320427600005</t>
  </si>
  <si>
    <t>Orihashi, Y; Anma, R; Motoki, A; Haller, MJ; Hirata, D; Iwano, H; Sumino, H; Ramos, VA</t>
  </si>
  <si>
    <t>Orihashi, Yuji; Anma, Ryo; Motoki, Akihisa; Haller, Miguel J.; Hirata, Daiji; Iwano, Hideki; Sumino, Hirochika; Ramos, Victor A.</t>
  </si>
  <si>
    <t>Evolution history of the crust underlying Cerro Pampa, Argentine Patagonia: Constraint from LA-ICPMS U-Pb ages for exotic zircons in the Mid-Miocene adakite</t>
  </si>
  <si>
    <t>geochronological fingerprint; zircon; adakite; LA-ICPMS; crustal evolution; Cerro Pampa; Patagonia</t>
  </si>
  <si>
    <t>PLASMA-MASS SPECTROMETRY; ANTARCTIC PENINSULA; MAGALLANES BASIN; SOUTHERN CHILE; VOLCANIC-ROCKS; ION-MICROPROBE; TRACE-ELEMENT; PLATEAU LAVAS; MAGMATISM; LASER</t>
  </si>
  <si>
    <t>This paper newly reports results of LA-ICPMS U-Pb dating for 282 zircon crystals separated from a Middle Miocene adakite in Cerro Pampa, southern Argentine Patagonia. With the exception of one spot age, 174 of the U Pb concordia ages are markedly older (&gt;94 Ma) than the cooling ages of the adakite magma (ca. 12 Ma). The presence of numerous exotic zircon crystals indicates that the adakitic magma carries up information related to the crustal components during its ascent through the entire crust underneath Cerro Pampa. The obtained concordia ages of exotic zircons, 94-1335 Ma, are divisible into five groups having distinctive peaks on a population diagram. The first (94-125 Ma) and second age groups (125-145 Ma) correspond to the age of plutonic activities that formed the main body of the South Patagonian Batholith. The third to fifth groups respectively correspond to activities of the El Qumado-Ibanez volcanic complex (145-170 Ma), plutonic rocks scarcely exposed in Central Patagonia (170-200 Ma), and the Eastern Andean metamorphic complex of Late Paleozoic to Early Mesozoic ages (200-380 Ma). Our data suggest that the crust underneath Cerro Pampa was formed mostly after 380 Ma, the majority forming during the Early Cretaceous to Middle Jurassic. The processes of crustal development ceased for ea. 80 m.y. until the activity of the Cerro Pampa adakite in ca. 12 Ma. In contrast to the existence of numerous Archaean-Palaeoproterozoic exotic zircons in Mesozoic plutonic rocks distributed in Andean Cordillera at around 46 degrees S, no evidence was found for Archaean-Paleoproterozoic crust on the Cerro Pampa region at 48 S. This evidence suggests that two crusts must have aggregated along a boundary between 46 S and 48 S with the continental margin of Gondwana during Late Paleozoic times, as part of the amalgamation of Pangea.</t>
  </si>
  <si>
    <t>[Orihashi, Yuji] Univ Tokyo, Earthquake Res Inst, Bunkyo Ku, Tokyo 1130032, Japan; [Anma, Ryo] Univ Tsukuba, Grad Sch Life &amp; Environm Sci, Tsukuba, Ibaraki 3058572, Japan; [Motoki, Akihisa] Univ Estado Rio De Janeiro, Dept Mineral &amp; Petrol Ignea, Maracana, RJ, Brazil; [Haller, Miguel J.] Univ Nacl Patagonia San Juan Bosco, Puerto Madryn, Argentina; [Haller, Miguel J.] Consejo Nacl Invest Cient &amp; Tecn, Puerto Madryn, Argentina; [Hirata, Daiji] Kanagawa Prefecture Museum Nat Hist, Odawara, Kanagawa 2500031, Japan; [Iwano, Hideki] Kyoto Fiss Track Co Ltd, Kyoto 6038832, Japan; [Sumino, Hirochika] Univ Tokyo, Grad Sch Sci, Geochem Res Ctr, Bunkyo Ku, Tokyo 1130033, Japan; [Ramos, Victor A.] Univ Buenos Aires, Lab Tecton Andina, FCEyN, Buenos Aires, DF, Argentina</t>
  </si>
  <si>
    <t>University of Tokyo; University of Tsukuba; Universidade do Estado do Rio de Janeiro; Universidad Nacional de la Patagonia San Juan Bosco; Consejo Nacional de Investigaciones Cientificas y Tecnicas (CONICET); University of Tokyo; University of Buenos Aires</t>
  </si>
  <si>
    <t>Orihashi, Y (corresponding author), Univ Tokyo, Earthquake Res Inst, Bunkyo Ku, Tokyo 1130032, Japan.</t>
  </si>
  <si>
    <t>oripachi@eri.u-tokyo.ac.jp</t>
  </si>
  <si>
    <t>Sumino, Hirochika/G-4912-2014; Orihashi, Yuji/A-3352-2013; Sumino, Hirochika/AAH-2640-2019</t>
  </si>
  <si>
    <t>Ramos, Victor A./0000-0002-2136-1345; Orihashi, Yuji/0000-0001-7715-3847; Sumino, Hirochika/0000-0002-4689-6231</t>
  </si>
  <si>
    <t>JSPS KAKENHI [13373004, 21403012]; Grants-in-Aid for Scientific Research [13373004]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</si>
  <si>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</si>
  <si>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authors are thankful to Profs. S. Maruyama, K. Nagao, F. Herve and other colleagues of the Chile Ridge Subduction To Magma Supply System (CHRISTMASSY) Project Group for their discussions and supports, and to Drs. M. Schilling, Y. Watanabe and Mr. M. Haller for their field assistance. The authors are also grateful to Drs. A. Folguera and M. Calderon for their kind reviews and Dr. K. R. Ludwig for generously supplying the ISOPLOT program. The present studies were supported by JSPS KAKENHI Grant Numbers 13373004 and 21403012 awarded respectively to RA and YO.</t>
  </si>
  <si>
    <t>10.2343/geochemj.2.0242</t>
  </si>
  <si>
    <t>WOS:000320427600011</t>
  </si>
  <si>
    <t>Fillinger, L; Funke, T</t>
  </si>
  <si>
    <t>Fillinger, L.; Funke, T.</t>
  </si>
  <si>
    <t>A new 3-D modelling method to extract subtransect dimensions from underwater videos</t>
  </si>
  <si>
    <t>OCEAN SCIENCE</t>
  </si>
  <si>
    <t>REMOTELY OPERATED VEHICLE; SMALL-SCALE PATTERNS; EPIBENTHIC MEGAFAUNA; HABITAT COMPLEXITY; CORAL-REEFS; DEEP; SEA; ABUNDANCE; FISH; ASSEMBLAGES</t>
  </si>
  <si>
    <t>Underwater video transects have become a common tool for quantitative analysis of the seafloor. However a major difficulty remains in the accurate determination of the area surveyed as underwater navigation can be unreliable and image scaling does not always compensate for distortions due to perspective and topography. Depending on the camera set-up and available instruments, different methods of surface measurement are applied, which make it difficult to compare data obtained by different vehicles. 3-D modelling of the seafloor based on 2-D video data and a reference scale can be used to compute subtransect dimensions. Focussing on the length of the subtransect, the data obtained from 3-D models created with the software PhotoModeler Scanner are compared with those determined from underwater acoustic positioning (ultra short baseline, USBL) and bottom tracking (Doppler velocity log, DVL). 3-D model building and scaling was successfully conducted on all three tested set-ups and the distortion of the reference scales due to substrate roughness was identified as the main source of imprecision. Acoustic positioning was generally inaccurate and bottom tracking unreliable on rough terrain. Subtransect lengths assessed with PhotoModeler were on average 20 % longer than those derived from acoustic positioning due to the higher spatial resolution and the inclusion of slope. On a high relief wall bottom tracking and 3-D modelling yielded similar results. At present, 3-D modelling is the most powerful, albeit the most time-consuming, method for accurate determination of video subtransect dimensions.</t>
  </si>
  <si>
    <t>[Fillinger, L.; Funke, T.] Helmholtz Zentrum Polar &amp; Meeresforsch, Alfred Wegener Inst, D-27568 Bremerhaven, Germany</t>
  </si>
  <si>
    <t>Fillinger, L (corresponding author), Helmholtz Zentrum Polar &amp; Meeresforsch, Alfred Wegener Inst, Alten Hafen 26, D-27568 Bremerhaven, Germany.</t>
  </si>
  <si>
    <t>laura.fillinger@awi.de</t>
  </si>
  <si>
    <t>BmBF project (Okologie von Hydrokorallenriffe im Flachwasser der Patagonischen Fjorde Chiles) [CHL08/001]; Alfred Wegener Institute [PACES T1.4, 1.6]</t>
  </si>
  <si>
    <t>BmBF project (Okologie von Hydrokorallenriffe im Flachwasser der Patagonischen Fjorde Chiles); Alfred Wegener Institute</t>
  </si>
  <si>
    <t>We would like to acknowledge Marum, University of Bremen; the Sven Loven Centre, University of Gothenburg; and the Department of Bentho-Pelagic Processes, Alfred Wegener Institute, for providing ROVs and video footage; and to the Endesa Fundation Huinay for their logistic support in Chile. We thank W. Dimmler (Fielax, Bremerhaven), Tomas Lundalv (University of Gothenburg, Sweden) and Claudio Richter (Alfred Wegener Institute, Bremerhaven) for assistance in piloting the ROVs. Thanks are due to Julian Gutt for providing video material from ANT-XXIII/8 and to Sandra Maier for her help in the creation of the 3-D models. We also acknowledge Kerstin Jerosch, Gertraud Schmidt, Ruth Alheit, Nils Owsianowski, Claudio Richter and three anonymous reviewers for their contributions to improving this manuscript. Many thanks go to the captains, crew and scientists on our expeditions in the Antarctic (R/V Polarstern) and Chilean Patagonia (M/V Explorador). Funding was provided by a BmBF project (Okologie von Hydrokorallenriffe im Flachwasser der Patagonischen Fjorde Chiles, Grant #CHL08/001) and the Alfred Wegener Institute (PACES T1.4 and 1.6).</t>
  </si>
  <si>
    <t>1812-0784</t>
  </si>
  <si>
    <t>OCEAN SCI</t>
  </si>
  <si>
    <t>Ocean Sci.</t>
  </si>
  <si>
    <t>10.5194/os-9-461-2013</t>
  </si>
  <si>
    <t>163PF</t>
  </si>
  <si>
    <t>WOS:000320348700017</t>
  </si>
  <si>
    <t>Majewski, W</t>
  </si>
  <si>
    <t>Majewski, Wojciech</t>
  </si>
  <si>
    <t>Benthic foraminifera from Pine Island and Ferrero bays, Amundsen Sea</t>
  </si>
  <si>
    <t>West Antarctica; Pine Island Bay; faunal gradient; dissolution; Circumpolar Deep Water</t>
  </si>
  <si>
    <t>KING GEORGE ISLAND; ANTARCTIC ICE-SHEET; WEST ANTARCTICA; EXPLORERS COVE; ADMIRALTY BAY; MCMURDO SOUND; ASSEMBLAGES; CIRCULATION; PENINSULA; ECOLOGY</t>
  </si>
  <si>
    <t>Twenty one core tops from the central part of Pine Island Bay and nearby Ferrero Bay were collected in early 2010. They originate from a poorly studied area of the Amundsen Sea influenced at greater depths by relatively warm Circumpolar Deep Water. Almost all samples came from water-depths between 550 and 900 m and yield benthic foraminiferal assemblages of moderate variability with a significant decrease in calcareous forms with increasing water-depth. In total, 93 benthic taxa, belonging to 71 genera, are identified at the species level. They share a greater percentage of common species with the Ross Sea than with South Shetland Islands, most likely due to stronger climatic dissimilarity with the latter. Interestingly, the assemblages from Pine Island Bay, share the greatest numbers of taxa with assemblages described from Liitzow-Holm Bay in East Antarctica, where the influence of Circumpolar Deep Water has been also recognized.</t>
  </si>
  <si>
    <t>Inst Paleobiol PAN, PL-00818 Warsaw, Poland</t>
  </si>
  <si>
    <t>Polish Academy of Sciences; Institute of Paleobiology of the Polish Academy of Sciences</t>
  </si>
  <si>
    <t>Majewski, W (corresponding author), Inst Paleobiol PAN, Ul Twarda 51-55, PL-00818 Warsaw, Poland.</t>
  </si>
  <si>
    <t>wmaj@twarda.pan.pl</t>
  </si>
  <si>
    <t>Majewski, Wojciech/D-9255-2017</t>
  </si>
  <si>
    <t>Majewski, Wojciech/0000-0002-5407-1782</t>
  </si>
  <si>
    <t>NSF [ANT-0837925]</t>
  </si>
  <si>
    <t>The sampling in PIB during the OS 00910 Expedition was possible thanks to collaboration between the US National Science Foundation (NSF), the Swedish Polar Research Secretariat, and the Swedish Research Council. I would like to thank the captain and crew of the icebreaker Oden, as well as all fellow researchers onboard for this great research opportunity. I am especially grateful to John B. Anderson, who invited me to join this project, supported by NSF grant ANT-0837925. I would like to thank two anonymous reviewers for their valuable comments.</t>
  </si>
  <si>
    <t>10.2478/popore-2013-0012</t>
  </si>
  <si>
    <t>167MG</t>
  </si>
  <si>
    <t>WOS:000320635500004</t>
  </si>
  <si>
    <t>Lowther, AD; Harcourt, RG; Goldsworthy, SD</t>
  </si>
  <si>
    <t>Lowther, A. D.; Harcourt, R. G.; Goldsworthy, S. D.</t>
  </si>
  <si>
    <t>Regional variation in trophic ecology of adult female Australian sea lions inferred from stable isotopes in whiskers</t>
  </si>
  <si>
    <t>WILDLIFE RESEARCH</t>
  </si>
  <si>
    <t>diet; foraging; oceanography features; trophic complexity</t>
  </si>
  <si>
    <t>NEOPHOCA-CINEREA; CLIMATE-CHANGE; WESTERN-AUSTRALIA; FORAGING ECOLOGY; SOUTH-AUSTRALIA; LEEUWIN CURRENT; FUR SEALS; EL-NINO; MILK; DIET</t>
  </si>
  <si>
    <t>Context. The primary selective forces responsible for shaping life-history traits come from the physical and biological environment in which a species resides. Consequently, the limits of a species range may provide a useful measure of adaptive potential to environmental change. The proximity of foraging grounds to terrestrial nursing habitat constrains central-place foragers such as otariid seals in selecting breeding locations. The Australian sea lion (Neophoca cinerea) is an endangered otariid endemic to Australia, whose northern-range extent occurs at a temperate-tropical transition zone on the western coast of Western Australia (WA). Aims. Currently, there is a complete absence of data on the foraging ecology of Australian sea lions in WA. We sought to address this critical knowledge gap and provide data on the foraging ecology of adult female Australian sea lions at three isolated breeding colonies in western WA. Methods. We used stable-isotope ratios of carbon (delta C-13) and nitrogen (delta N-15) in the whiskers of pups as proxies to characterise feeding behaviour of 10-28% of all adult female Australian sea lions at each colony. We then compared these geographic data to (1) conspecifics at similar latitude in South Australia (SA) and (2) isotopic data collated from other studies on seabirds that inhabit the region, to place foraging behaviour of adult female Australian sea lions into context. Key results. At the southernmost colonies in WA, individual animals were members of one of two distinct isotopic clusters that could be described by differences in delta N-15 and delta C-13 values. Individuals at the northernmost colony displayed delta N-15 values similar to those of seabirds in the same region. Across the study, isotope ratios of adult female Australian sea lions in western WA were between 3 parts per thousand and 5 parts per thousand lower than those observed at a colony at similar latitude in SA. Conclusions. Gross differences in the physical oceanography between WA and SA may in part explain the differences in isotope ratios of individuals between the regions, with lower delta N-15 and delta C-13 values in WA probably reflecting the relatively depauperate conditions of the Leeuwin Current. Implications. Potential regional differences in trophic structure should be considered when developing appropriate management plans for Australian sea lions and regional variation in the diet of Australian sea lion warrants further investigation.</t>
  </si>
  <si>
    <t>[Lowther, A. D.; Goldsworthy, S. D.] South Australian Res &amp; Dev Inst Aquat Sci, West Beach, SA 5024, Australia; [Lowther, A. D.] Norwegian Polar Res Inst, Fram Ctr, N-9296 Tromso, Norway; [Harcourt, R. G.] Macquarie Univ, Grad Sch Environm, Marine Mammal Res Grp, N Ryde, NSW 2019, Australia</t>
  </si>
  <si>
    <t>Norwegian Polar Institute; Macquarie University</t>
  </si>
  <si>
    <t>Lowther, AD (corresponding author), South Australian Res &amp; Dev Inst Aquat Sci, 2 Hamra Ave, West Beach, SA 5024, Australia.</t>
  </si>
  <si>
    <t>Andrew.Lowther@npolar.no</t>
  </si>
  <si>
    <t>Lowther, Andrew/T-2511-2019</t>
  </si>
  <si>
    <t>Lowther, Andrew/0000-0003-4294-3157; Goldsworthy, Simon/0000-0003-4988-9085; Harcourt, Robert/0000-0003-4666-2934</t>
  </si>
  <si>
    <t>Department of Environment, Water, Heritage and the Arts' Australian Marine Mammal Centre; Australian Antarctic Division; Commonwealth Environment Research Facilities (CERF) program; Holsworth Wildlife Research Endowment</t>
  </si>
  <si>
    <t>All animal handling and experimentation were performed under the Western Australian Department of Environment and Conservation scientific Permit #SF007255 and University of Adelaide animal ethics Permit #S-010-2008. Research was funded through the Department of Environment, Water, Heritage and the Arts' Australian Marine Mammal Centre, Australian Antarctic Division and the Commonwealth Environment Research Facilities (CERF) program and the Holsworth Wildlife Research Endowment. We acknowledge the field support and assistance of Ben Pitcher, Heidi Ahonen and Isabelle Charrier, and logistical assistance of the Western Australian Department of Conservation rangers. We also thank the comments provided by two anonymous reviewers that greatly improved the manuscript.</t>
  </si>
  <si>
    <t>COLLINGWOOD</t>
  </si>
  <si>
    <t>150 OXFORD ST, PO BOX 1139, COLLINGWOOD, VICTORIA 3066, AUSTRALIA</t>
  </si>
  <si>
    <t>1035-3712</t>
  </si>
  <si>
    <t>1448-5494</t>
  </si>
  <si>
    <t>WILDLIFE RES</t>
  </si>
  <si>
    <t>Wildl. Res.</t>
  </si>
  <si>
    <t>10.1071/WR12181</t>
  </si>
  <si>
    <t>Ecology; Zoology</t>
  </si>
  <si>
    <t>Environmental Sciences &amp; Ecology; Zoology</t>
  </si>
  <si>
    <t>171LR</t>
  </si>
  <si>
    <t>WOS:000320930900006</t>
  </si>
  <si>
    <t>Chang, XM; Dou, YK; Dun, Z; Qin, JM</t>
  </si>
  <si>
    <t>Chang Xiaomin; Dou Yinke; Dun Zhuo; Qin Jianmin</t>
  </si>
  <si>
    <t>An Automatic Detecting Apparatus for Antarctic Sea Ice Cracks</t>
  </si>
  <si>
    <t>MATERIALS TESTING</t>
  </si>
  <si>
    <t>The change in width of sea ice cracks seriously affects the transportation during human's activities in the Antarctic sea, but there are few automatic technologies for accurate monitoring of such cracks. To solve this problem, an automatic detecting apparatus for sea ice cracks was designed, and its feasibility and monitoring principles were studied. Furthermore, a practical methodology was developed and such apparatus was applied to the testing of the Antarctic sea ice cracks. The testing results showed that the data were reliable and stable for the analysis of icing behaviour.</t>
  </si>
  <si>
    <t>[Chang Xiaomin; Qin Jianmin] Minist Educ, Key Lab Adv Transducers &amp; Intelligent Control Sys, Taiyuan 030024, Peoples R China; [Chang Xiaomin; Qin Jianmin] Minist Educ, Sch Phys &amp; Optoelect Engn, Taiyuan 030024, Peoples R China; [Dou Yinke; Dun Zhuo] Taiyuan Univ Technol, Sch Elect &amp; Power Engn, Taiyuan 030024, Peoples R China</t>
  </si>
  <si>
    <t>Taiyuan University of Technology</t>
  </si>
  <si>
    <t>Chang, XM (corresponding author), Minist Educ, Key Lab Adv Transducers &amp; Intelligent Control Sys, Taiyuan 030024, Peoples R China.</t>
  </si>
  <si>
    <t>National Natural Science Foundation of China [41176080]; Natural Science Foundation for Young Scientists of Shanxi Province, China [2010021018]</t>
  </si>
  <si>
    <t>National Natural Science Foundation of China(National Natural Science Foundation of China (NSFC)); Natural Science Foundation for Young Scientists of Shanxi Province, China(Natural Science Foundation of Shanxi Province)</t>
  </si>
  <si>
    <t>The study is funded by the National Natural Science Foundation of China (No. 41176080) and Natural Science Foundation for Young Scientists of Shanxi Province, China (No. 2010021018). The authors also thank the members of China's 28th Antarctic scientific expedition team for their assistance.</t>
  </si>
  <si>
    <t>CARL HANSER VERLAG</t>
  </si>
  <si>
    <t>KOLBERGERSTRASSE 22, POSTFACH 86 04 20, D-81679 MUNICH, GERMANY</t>
  </si>
  <si>
    <t>0025-5300</t>
  </si>
  <si>
    <t>MATER TEST</t>
  </si>
  <si>
    <t>Mater. Test.</t>
  </si>
  <si>
    <t>Materials Science, Characterization &amp; Testing</t>
  </si>
  <si>
    <t>Materials Science</t>
  </si>
  <si>
    <t>160WR</t>
  </si>
  <si>
    <t>WOS:000320151700009</t>
  </si>
  <si>
    <t>Pommereau, JP; Goutail, F; Lefèvre, F; Pazmino, A; Adams, C; Dorokhov, V; Eriksen, P; Kivi, R; Stebel, K; Zhao, X; van Roozendael, M</t>
  </si>
  <si>
    <t>Pommereau, J. -P.; Goutail, F.; Lefevre, F.; Pazmino, A.; Adams, C.; Dorokhov, V.; Eriksen, P.; Kivi, R.; Stebel, K.; Zhao, X.; van Roozendael, M.</t>
  </si>
  <si>
    <t>Why unprecedented ozone loss in the Arctic in 2011? Is it related to climate change?</t>
  </si>
  <si>
    <t>WINTER; CALIPSO; VORTEX</t>
  </si>
  <si>
    <t>An unprecedented ozone loss occurred in the Arctic in spring 2011. The details of the event are revisited from the twice-daily total ozone and NO2 column measurements of the eight SAOZ/NDACC (Systeme d'Analyse par Observation Zenithale/Network for Detection of Atmospheric Composition Changes) stations in the Arctic. It is shown that the total ozone depletion in the polar vortex reached 38% (approx. 170 DU) by the end of March, which is larger than the 30% of the previous record in 1996. Aside from the long extension of the cold stratospheric NAT PSC period, the amplitude of the event is shown to be resulting from a record daily total ozone loss rate of 0.7% d(-1) after mid-February, never seen before in the Arctic but similar to that observed in the Antarctic over the last 20 yr. This high loss rate is attributed to the absence of NOx in the vortex until the final warming, in contrast to all previous winters where, as shown by the early increase of NO2 diurnal increase, partial renoxification occurs by import of NOx or HNO3 from the outside after minor warming episodes, leading to partial chlorine deactivation. The cause of the absence of renoxification and thus of high loss rate, is attributed to a vortex strength similar to that of the Antarctic but never seen before in the Arctic. The total ozone reduction on 20 March was identical to that of the 2002 Antarctic winter, which ended around 20 September, and a 15-day extension of the cold period would have been enough to reach the mean yearly amplitude of the Antarctic ozone hole. However there is no sign of trend since 1994, either in PSC (polar stratospheric cloud) volume (volume of air cold enough to allow formation of PSCs), early winter denitrification, late vortex renoxification, and vortex strength or in total ozone loss. The unprecedented large Arctic ozone loss in 2011 appears to result from an extreme meteorological event and there is no indication of possible strengthening related to climate change.</t>
  </si>
  <si>
    <t>[Pommereau, J. -P.; Goutail, F.; Lefevre, F.; Pazmino, A.] Univ Versailles St Quentin, LATMOS, UMR8190, CNRS, Guyancourt, France; [Dorokhov, V.] Cent Aerol Observ, Dolgoprudnyi, Russia; [Eriksen, P.] Danish Meteorol Inst, Copenhagen, Denmark; [Kivi, R.] Finnish Meteorol Inst, Sodankyla, Finland; [Stebel, K.] Norwegian Inst Air Res, Kjeller, Norway; [Adams, C.; Zhao, X.] Univ Toronto, Dept Phys, Toronto, ON, Canada; [van Roozendael, M.] Belgian Inst Space Aeron IASB BIRA, Brussels, Belgium</t>
  </si>
  <si>
    <t>Centre National de la Recherche Scientifique (CNRS); CNRS - National Institute for Earth Sciences &amp; Astronomy (INSU); Sorbonne Universite; Universite Paris Saclay; Danish Meteorological Institute DMI; Finnish Meteorological Institute; NILU; University of Toronto</t>
  </si>
  <si>
    <t>Pommereau, JP (corresponding author), Univ Versailles St Quentin, LATMOS, UMR8190, CNRS, Guyancourt, France.</t>
  </si>
  <si>
    <t>pommereau@aerov.jussieu.fr</t>
  </si>
  <si>
    <t>Stebel, Kerstin/F-6465-2013</t>
  </si>
  <si>
    <t>Stebel, Kerstin/0000-0002-6935-7564</t>
  </si>
  <si>
    <t>Canadian Space Agency; Environment Canada; Natural Sciences and Engineering Research Council; Northern Scientific Training Program; CNRS Institut National des Sciences de l'Univers (INSU); Centre National d'Etudes Spatiales (CNES); polar Institute Paul Emile Victor (IPEV)</t>
  </si>
  <si>
    <t>Canadian Space Agency(Canadian Space Agency); Environment Canada(CGIAR); Natural Sciences and Engineering Research Council(Natural Sciences and Engineering Research Council of Canada (NSERC)); Northern Scientific Training Program; CNRS Institut National des Sciences de l'Univers (INSU); Centre National d'Etudes Spatiales (CNES)(Centre National D'etudes Spatiales); polar Institute Paul Emile Victor (IPEV)</t>
  </si>
  <si>
    <t>The authors are indebted to the personnel operating the SAOZ/NDACC stations and the ETHER data centre http://ether.ipsl.jussieu.fr/ for providing ECMWF analyses and reanalyses. The SAOZ measurements at Eureka were made with the support of the Canadian Network for the Detection of Atmospheric Change (CANDAC), led by James R. Drummond, and as part of the Canadian Arctic ACE Validation Campaigns, co-led by Kaley A. Walker and Kimberly Strong and funded by the Canadian Space Agency, Environment Canada, the Natural Sciences and Engineering Research Council, and the Northern Scientific Training Program. The SAOZ data are available at http://www.ndsc.ncep.noaa.gov/. The research was supported by the NDACC French programme funded by the CNRS Institut National des Sciences de l'Univers (INSU), the Centre National d'Etudes Spatiales (CNES) and the polar Institute Paul Emile Victor (IPEV), which are gratefully acknowledged.</t>
  </si>
  <si>
    <t>10.5194/acp-13-5299-2013</t>
  </si>
  <si>
    <t>155LK</t>
  </si>
  <si>
    <t>WOS:000319749400015</t>
  </si>
  <si>
    <t>Marsh, JJS; Boschi, VL; Sleighter, RL; Grannas, AM; Hatcher, PG</t>
  </si>
  <si>
    <t>Marsh, Joshua J. S.; Boschi, Vanessa L.; Sleighter, Rachel L.; Grannas, Amanda M.; Hatcher, Patrick G.</t>
  </si>
  <si>
    <t>Characterization of dissolved organic matter from a Greenland ice core by nanospray ionization Fourier transform ion cyclotron resonance mass spectrometry</t>
  </si>
  <si>
    <t>MOLECULAR FORMULAS; SPECTRA; EXTRACTION; MARINE; DOM</t>
  </si>
  <si>
    <t>Nanospray ionization Fourier transform ion cyclotron resonance mass spectrometry was developed as a tool for examining the dissolved organic matter (DOM) present in ice cores, significantly reducing the sample volume required for extraction compared with previous studies. Using smaller sample volumes is important for resolving temporal changes in ice-core DOM. We demonstrate that a small volume of ice-core meltwater can be extracted and analyzed with sufficient mass spectral sensitivity to describe the molecular composition of the DOM. Two different solid-phase extraction resins (PPL and C-18) were compared to examine potential fractionation of the DOM. Over 2500 unique molecular formulas isolated from two different Greenland ice-core samples, dated to approximately AD 1660 and AD 1360, were obtained from the analyses. Method and sensitivity improvements provide an opportunity for organic matter characterization at higher temporal resolution than our previous analyses afforded and allows for examination of ice cores containing low levels of organic carbon.</t>
  </si>
  <si>
    <t>[Marsh, Joshua J. S.; Sleighter, Rachel L.; Hatcher, Patrick G.] Old Dominion Univ, Dept Chem &amp; Biochem, Norfolk, VA 23529 USA; [Boschi, Vanessa L.; Grannas, Amanda M.] Villanova Univ, Dept Chem, Villanova, PA 19085 USA</t>
  </si>
  <si>
    <t>Old Dominion University; Villanova University</t>
  </si>
  <si>
    <t>Marsh, JJS (corresponding author), Old Dominion Univ, Dept Chem &amp; Biochem, Norfolk, VA 23529 USA.</t>
  </si>
  <si>
    <t>amanda.grannas@villanova.edu</t>
  </si>
  <si>
    <t>Grannas, Amanda/F-4804-2010</t>
  </si>
  <si>
    <t>Grannas, Amanda/0000-0003-4719-348X; Sleighter, Rachel/0000-0003-1833-7050</t>
  </si>
  <si>
    <t>US National Science Foundation [ANT-0739691, ANT-0739684]</t>
  </si>
  <si>
    <t>US National Science Foundation(National Science Foundation (NSF))</t>
  </si>
  <si>
    <t>This work was supported by the US National Science Foundation Antarctic Glaciology Program (ANT-0739691 and ANT-0739684). We thank Mark Twickler of the USGS NICL for assistance in the ice-core selection process and Nicole Harmuth for assistance in the method development stages of this research project. We also thank the COSMIC facility at Old Dominion University for assistance with mass spectral data collection and analysis. We appreciate the thoughtful comments of Becky Alexander and an anonymous reviewer on the manuscript.</t>
  </si>
  <si>
    <t>10.3189/2013JoG12J061</t>
  </si>
  <si>
    <t>154ZV</t>
  </si>
  <si>
    <t>WOS:000319716100002</t>
  </si>
  <si>
    <t>Panzer, B; Gomez-Garcia, D; Leuschen, C; Paden, J; Rodriguez-Morales, F; Patel, A; Markus, T; Holt, B; Gogineni, P</t>
  </si>
  <si>
    <t>Panzer, Ben; Gomez-Garcia, Daniel; Leuschen, Carl; Paden, John; Rodriguez-Morales, Fernando; Patel, Aqsa; Markus, Thorsten; Holt, Benjamin; Gogineni, Prasad</t>
  </si>
  <si>
    <t>An ultra-wideband, microwave radar for measuring snow thickness on sea ice and mapping near-surface internal layers in polar firn</t>
  </si>
  <si>
    <t>DEPTH; BACKSCATTER; COVER; LASER</t>
  </si>
  <si>
    <t>Sea ice is generally covered with snow, which can vary in thickness from a few centimeters to &gt;1 m. Snow cover acts as a thermal insulator modulating the heat exchange between the ocean and the atmosphere, and it impacts sea-ice growth rates and overall thickness, a key indicator of climate change in polar regions. Snow depth is required to estimate sea-ice thickness using freeboard measurements made with satellite altimeters. The snow cover also acts as a mechanical load that depresses ice freeboard (snow and ice above sea level). Freeboard depression can result in flooding of the snow/ice interface and the formation of a thick slush layer, particularly in the Antarctic sea-ice cover. The Center for Remote Sensing of Ice Sheets (CReSIS) has developed an ultra-wideband, microwave radar capable of operation on long-endurance aircraft to characterize the thickness of snow over sea ice. The low-power, 100 mW signal is swept from 2 to 8 GHz allowing the air/snow and snow/ice interfaces to be mapped with 5 cm range resolution in snow; this is an improvement over the original system that worked from 2 to 6.5 GHz. From 2009 to 2012, CReSIS successfully operated the radar on the NASA P-3B and DC-8 aircraft to collect data on snow-covered sea ice in the Arctic and Antarctic for NASA Operation IceBridge. The radar was found capable of snow depth retrievals ranging from 10 cm to &gt;1 m. We also demonstrated that this radar can be used to map near-surface internal layers in polar firn with fine range resolution. Here we describe the instrument design, characteristics and performance of the radar.</t>
  </si>
  <si>
    <t>[Panzer, Ben; Gomez-Garcia, Daniel; Leuschen, Carl; Paden, John; Rodriguez-Morales, Fernando; Patel, Aqsa; Gogineni, Prasad] Univ Kansas, Ctr Remote Sensing Ice Sheets, Lawrence, KS 66045 USA; [Markus, Thorsten] NASA, Goddard Space Flight Ctr, Cryospher Sci Lab, Greenbelt, MD 20771 USA; [Holt, Benjamin] CALTECH, Jet Prop Lab, Pasadena, CA USA</t>
  </si>
  <si>
    <t>University of Kansas; National Aeronautics &amp; Space Administration (NASA); NASA Goddard Space Flight Center; California Institute of Technology; National Aeronautics &amp; Space Administration (NASA); NASA Jet Propulsion Laboratory (JPL)</t>
  </si>
  <si>
    <t>Panzer, B (corresponding author), Univ Kansas, Ctr Remote Sensing Ice Sheets, Lawrence, KS 66045 USA.</t>
  </si>
  <si>
    <t>bpanzer@ku.edu</t>
  </si>
  <si>
    <t>US National Science Foundation [ANT-0424589]; NASA [NNX09AR77G, NNG10HP19C, NNX10AT68G]; NASA</t>
  </si>
  <si>
    <t>US National Science Foundation(National Science Foundation (NSF)); NASA(National Aeronautics &amp; Space Administration (NASA)); NASA(National Aeronautics &amp; Space Administration (NASA))</t>
  </si>
  <si>
    <t>We acknowledge the positive and constructive feedback of the two reviewers. Processed data products from each deployment can be downloaded from NSIDC.org or from our website at data.cresis.ku.edu. This research was supported by US National Science Foundation grant No. ANT-0424589 and NASA under grants NNX09AR77G, NNG10HP19C and NNX10AT68G. B.H. carried out this research at the Jet Propulsion Laboratory, California Institute of Technology, under a contract with NASA.</t>
  </si>
  <si>
    <t>10.3189/2013JoG12J128</t>
  </si>
  <si>
    <t>WOS:000319716100004</t>
  </si>
  <si>
    <t>Budd, WF; Warner, RC; Jacka, TH; Li, J; Treverrow, A</t>
  </si>
  <si>
    <t>Budd, William F.; Warner, Roland C.; Jacka, T. H.; Li, Jun; Treverrow, Adam</t>
  </si>
  <si>
    <t>Ice flow relations for stress and strain-rate components from combined shear and compression laboratory experiments</t>
  </si>
  <si>
    <t>POLYCRYSTALLINE ICE; CRYSTAL SIZE; POLAR ICE; CREEP; DOME; DEFORMATION; EVOLUTION; RHEOLOGY; FABRICS; MODEL</t>
  </si>
  <si>
    <t>The generalized (Glen) flow relation for ice, involving the second invariants of the stress deviator and strain-rate tensors, is only expected to hold for isotropic polycrystalline ice. Previous single-stress experiments have shown that for the steady-state flow, which develops at large strains, the tertiary strain rate is greater than the minimum (secondary creep) value by an enhancement factor which is larger for shear than compression. Previous experiments combining shear with compression normal to the shear plane have shown that enhancement of the tertiary octahedral strain rate increases monotonically from compression alone to shear alone. Additional experiments and analyses presented here were conducted to further investigate how the separate tertiary shear and compression strain-rate components are related in combined stress situations. It is found that tertiary compression rates are more strongly influenced by the addition of shear than is given by a Glen-type flow relation, whereas shear is less influenced by additional compression. A scalar function formulation of the flow relation is proposed, which fits the tertiary creep data well and is readily adapted to a generalized form that can be extended to other stress configurations and applied in ice mass modelling.</t>
  </si>
  <si>
    <t>[Budd, William F.; Warner, Roland C.; Jacka, T. H.; Treverrow, Adam] Univ Tasmania, Antarctic Climate &amp; Ecosyst Cooperat Res Ctr, Hobart, Tas, Australia; [Budd, William F.] Univ Tasmania, Inst Marine &amp; Antarctic Studies, Hobart, Tas, Australia; [Warner, Roland C.; Jacka, T. H.; Li, Jun] Australian Antarctic Div, Dept Sustainabil Environm Water Populat &amp; Communi, Kingston, Tas, Australia; [Li, Jun] NASA, Goddard Space Flight Ctr, SGT Inc, Greenbelt, MD 20771 USA</t>
  </si>
  <si>
    <t>University of Tasmania; Antarctic Climate &amp; Ecosystems Cooperative Research Centre (ACE CRC); University of Tasmania; Australian Antarctic Division; National Aeronautics &amp; Space Administration (NASA); NASA Goddard Space Flight Center; Stinger Ghaffarian Technologies, Inc. (SGT)</t>
  </si>
  <si>
    <t>Budd, WF (corresponding author), Univ Tasmania, Antarctic Climate &amp; Ecosyst Cooperat Res Ctr, Hobart, Tas, Australia.</t>
  </si>
  <si>
    <t>Roland.Warner@aad.gov.au</t>
  </si>
  <si>
    <t>Warner, Roland Charles/ISS-2485-2023; Warner, Robert R./M-5342-2013; Treverrow, Adam/J-7450-2014</t>
  </si>
  <si>
    <t>Warner, Roland Charles/0000-0002-9778-3544; Treverrow, Adam/0000-0003-4666-0488</t>
  </si>
  <si>
    <t>Australian Government's Cooperative Research Centres Programme through the Antarctic Climate and Ecosystems Cooperative Research Centre (ACE CRC)</t>
  </si>
  <si>
    <t>Australian Government's Cooperative Research Centres Programme through the Antarctic Climate and Ecosystems Cooperative Research Centre (ACE CRC)(Australian GovernmentDepartment of Industry, Innovation and ScienceCooperative Research Centres (CRC) Programme)</t>
  </si>
  <si>
    <t>This work was supported in part by the Australian Government's Cooperative Research Centres Programme through the Antarctic Climate and Ecosystems Cooperative Research Centre (ACE CRC). We acknowledge comments on an earlier version of this work. In particular, we thank Leslie Morland for a useful dialogue regarding the inference of deviatoric normal stresses, and Ralf Greve and two anonymous reviewers, whose interpretation prompted us to include our formulation for a scalar anisotropic flow relation. We also thank Scientific Editor Ralf Greve, Throstur Thorsteinsson and an anonymous reviewer for detailed consideration of the paper. T.H.J. thanks Ralf Greve, in addition, for acting as Chief Editor for the paper.</t>
  </si>
  <si>
    <t>10.3189/2013JoG12J106</t>
  </si>
  <si>
    <t>WOS:000319716100014</t>
  </si>
  <si>
    <t>Hancox, PJ; Angielczyk, KD; Rubidge, BS</t>
  </si>
  <si>
    <t>Hancox, P. John; Angielczyk, Kenneth D.; Rubidge, Bruce S.</t>
  </si>
  <si>
    <t>ANGONISAURUS AND SHANSIODON, DICYNODONTS (THERAPSIDA, ANOMODONTIA) FROM SUBZONE C OF THE CYNOGNATHUS ASSEMBLAGE ZONE (MIDDLE TRIASSIC) OF SOUTH AFRICA</t>
  </si>
  <si>
    <t>JOURNAL OF VERTEBRATE PALEONTOLOGY</t>
  </si>
  <si>
    <t>BEAUFORT-GROUP; BURGERSDORP FORMATION; BIOSTRATIGRAPHY; KAROO; ANTARCTICA; CYNODONTS; SYNAPSIDA; BEARING; NAMIBIA; GENUS</t>
  </si>
  <si>
    <t>Dicynodonts are the most abundant therapsids from the Beaufort Group (Karoo Basin, South Africa), and they have been used as index fossils to define most of the Beaufort biozones. Although speciose during the Late Permian, dicynodont diversity was greatly reduced by the end-Permian mass extinction. The Cynognathus Assemblage Zone, the uppermost biozone of the Beaufort Group, is traditionally known to host only the dicynodonts Kannemeyeria simocephalus and Kombuisia frerensis. Recent biostratigraphic research in this biozone has revealed the presence of two more poorly known dicynodont genera, Angonisaurus and Shansiodon, which are biostratigraphically constrained to the uppermost Cynognathus Assemblage Zone (subzone C). Although these taxa have been reported from subzone C of the Cynognathus Assemblage Zone previously, we provide the first detailed description of the material in question and justifications for the taxonomic identifications. The presence of Angonisaurus in the Cynognathus subzone C allows a direct correlation between this assemblage and that of the Lifua Member of the Manda beds in Tanzania. A correlation with the Antarctic upper Fremouw Formation also may be possible, but is less certain. The presence of Shansiodon allows a direct correlation with the upper Ermaying Formation of China, but we reject the previously proposed global 'Shansiodon biochron' because Shansiodon sensu stricto only occurs in China and South Africa. Biogeographically, Angonisaurus appears to have been widespread but rare in southern Gondwana, and the unusual distribution of Shansiodon mirrors that of Diictodon feliceps in the Permian. Southern African dicynodont assemblages display increased provinciality in the Middle Triassic.</t>
  </si>
  <si>
    <t>[Hancox, P. John; Angielczyk, Kenneth D.; Rubidge, Bruce S.] Univ Witwatersrand, Bernard Price Inst Palaeontol Res, Sch Geosci, ZA-2050 Po Wits, South Africa; [Angielczyk, Kenneth D.] Field Museum Nat Hist, Dept Geol, Chicago, IL 60605 USA</t>
  </si>
  <si>
    <t>University of Witwatersrand; Field Museum of Natural History (Chicago)</t>
  </si>
  <si>
    <t>Angielczyk, KD (corresponding author), Univ Witwatersrand, Bernard Price Inst Palaeontol Res, Sch Geosci, ZA-2050 Po Wits, South Africa.</t>
  </si>
  <si>
    <t>jhancox@cciconline.com; kangielczyk@fieldmuseum.org; Bruce.Rubidge@wits.ac.za</t>
  </si>
  <si>
    <t>Rubidge, Bruce/AAE-7021-2019</t>
  </si>
  <si>
    <t>Rubidge, Bruce/0000-0003-2477-1873</t>
  </si>
  <si>
    <t>University of the Witwatersrand; DST; NRF; Palaeontological Scientific Trust (PAST); Scatterlings of Africa programmes (PAST)</t>
  </si>
  <si>
    <t>University of the Witwatersrand; DST(Department of Science &amp; Technology (India)); NRF; Palaeontological Scientific Trust (PAST); Scatterlings of Africa programmes (PAST)</t>
  </si>
  <si>
    <t>We gratefully acknowledge the supportive role of the Morgan family of the Bamboeshoek Valley who generously provided access to their farms and accommodation during field seasons. This work benefited greatly from discussions with F. Abdala, A. Cruickshank, A. Keyser, J. Kitching, R. Damiani, S. Lucas, M. Shishkin, R. Smith, and A. Yates. J. Botha-Brink, J. Frobisch, and S. Modesto also provided helpful reviews and editorial suggestions. We acknowledge the assistance of G. Modisi and C. Dube who prepared the specimens described here and E. de Plessis for illustrations of the Shansiodon and Angonisaurus specimens. Financial support from the University of the Witwatersrand, DST, NRF, and the Palaeontological Scientific Trust (PAST) and its Scatterlings of Africa programmes (PAST) is acknowledged.</t>
  </si>
  <si>
    <t>TAYLOR &amp; FRANCIS INC</t>
  </si>
  <si>
    <t>PHILADELPHIA</t>
  </si>
  <si>
    <t>530 WALNUT STREET, STE 850, PHILADELPHIA, PA 19106 USA</t>
  </si>
  <si>
    <t>0272-4634</t>
  </si>
  <si>
    <t>1937-2809</t>
  </si>
  <si>
    <t>J VERTEBR PALEONTOL</t>
  </si>
  <si>
    <t>J. Vertebr. Paleontol.</t>
  </si>
  <si>
    <t>10.1080/02724634.2013.723551</t>
  </si>
  <si>
    <t>152XI</t>
  </si>
  <si>
    <t>WOS:000319564800012</t>
  </si>
  <si>
    <t>Campbell, PC; Deshler, T</t>
  </si>
  <si>
    <t>DeMott, PJ; ODowd, CD</t>
  </si>
  <si>
    <t>Campbell, Patrick C.; Deshler, Terry</t>
  </si>
  <si>
    <t>Stratospheric Condensation Nuclei: A Climatology in the Mid-Latitude and Antarctic Regions</t>
  </si>
  <si>
    <t>NUCLEATION AND ATMOSPHERIC AEROSOLS</t>
  </si>
  <si>
    <t>19th International Conference on Nucleation and Atmospheric Aerosols (ICNAA)</t>
  </si>
  <si>
    <t>JUN 23-28, 2013</t>
  </si>
  <si>
    <t>Colorado State Univ, Ctr Arts, Fort Collins, CO</t>
  </si>
  <si>
    <t>Colorado State Univ, Ctr Arts</t>
  </si>
  <si>
    <t>Balloon-borne; condensation nuclei; stratospheric aerosol</t>
  </si>
  <si>
    <t>BALLOON-BORNE MEASUREMENTS; AEROSOL-SIZE DISTRIBUTION; PARTICLE FORMATION; LARAMIE</t>
  </si>
  <si>
    <t>Balloon-borne stratospheric condensation nuclei (CN) measurements are presented since 1982 over Laramie, Wyoming (41 degrees N) and since 1986 over McMurdo Station, Antarctica (78 degrees S). In the Antarctic region, the climatology shows the formation of a ubiquitous stratospheric CN layer between 21 - 27 km around mid August, reaching its maximum extent between September and early October. CN concentrations increase from 10 - 20 cm(-3) to over 100 cm(-3). In the northern mid-latitudes, the climatology shows a quasi-annual and smaller CN increase (3-10 cm(-3) to over 20 cm(-3)), which is observed between 25-31 km in late winter and early spring. Major volcanic eruptions appear to enhance CN layers over Laramie and McMurdo. The Arctic Oscillation (AO) generally correlates with the magnitude of the Laramie CN layer, suggesting the importance of meridional transport. Volatility measurements and nucleation modeling support a sulfuric acid and water composition, and binary homogeneous nucleation as the primary CN formation mechanism in both locations. Bi-monthly CN measurements above Laramie support coagulation as the main reason for the dissipation of the CN layer, and suggest that the layer has a global extent. This topic is further investigated using the Whole Atmosphere Community Climate Model (WACCM) coupled with the Community Aerosol and Radiation Model for Atmospheres (CARMA). Air parcel trajectory analyses indicated that Arctic conditions and the associated ambient temperature changes during transport to Laramie, impacts the magnitude of the mid-latitude CN layer. The CN layer over Antarctica may be associated with the decrease in springtime ozone loss above 20 km.</t>
  </si>
  <si>
    <t>[Campbell, Patrick C.; Deshler, Terry] Univ Wyoming, Dept Atmospher Sci, Laramie, WY 82071 USA</t>
  </si>
  <si>
    <t>University of Wyoming</t>
  </si>
  <si>
    <t>Campbell, PC (corresponding author), Univ Wyoming, Dept Atmospher Sci, 1000 E Univ Ave, Laramie, WY 82071 USA.</t>
  </si>
  <si>
    <t>Campbell, Patrick/ABC-9864-2021</t>
  </si>
  <si>
    <t>Campbell, Patrick/0000-0003-0987-8402</t>
  </si>
  <si>
    <t>978-0-7354-1152-4</t>
  </si>
  <si>
    <t>10.1063/1.4803326</t>
  </si>
  <si>
    <t>Physics, Applied</t>
  </si>
  <si>
    <t>BFG32</t>
  </si>
  <si>
    <t>WOS:000319766400134</t>
  </si>
  <si>
    <t>Li, HY; Pang, HC; Zhu, Y</t>
  </si>
  <si>
    <t>Xu, QJ; Ju, YH; Ge, HH</t>
  </si>
  <si>
    <t>Li, Haiying; Pang, Hongchun; Zhu, Yun</t>
  </si>
  <si>
    <t>The study of dynamic changes of sea ice in Antarctic nearly a decade under the context of global warming</t>
  </si>
  <si>
    <t>PROGRESS IN ENVIRONMENTAL SCIENCE AND ENGINEERING, PTS 1-4</t>
  </si>
  <si>
    <t>2nd International Conference on Energy, Environment and Sustainable Development (EESD 2012)</t>
  </si>
  <si>
    <t>OCT 12-14, 2012</t>
  </si>
  <si>
    <t>Jilin, PEOPLES R CHINA</t>
  </si>
  <si>
    <t>Antarctic; Sea ice; MODIS; Changes of extent</t>
  </si>
  <si>
    <t>This paper aimed to research the changes in sea-ice extent of the Antarctic region using moderate-resolution imaging spectroradiometer (MODIS) sea ice data. The procedure include: MODIS sea ice data, image layering, information extraction, data synthesis, estimation of sea ice extent. The results showed that: the sea ice has obviously seasonal dynamical changes, and been divided into freezing and melting periods; but the inter-annual variations of sea ice range is not obvious; In summary, the sea ice range displayed decreasing trend in the whole study area, but that showed different tendency in different year and waters area.</t>
  </si>
  <si>
    <t>[Li, Haiying; Pang, Hongchun; Zhu, Yun] Huaihai Inst Technol, Lianyungang 222005, Jiang Su, Peoples R China</t>
  </si>
  <si>
    <t>Jiangsu Ocean University</t>
  </si>
  <si>
    <t>Li, HY (corresponding author), Huaihai Inst Technol, Lianyungang 222005, Jiang Su, Peoples R China.</t>
  </si>
  <si>
    <t>lihaiyingsd@sina.com; plateat@sina.com; 122344690@qq.com</t>
  </si>
  <si>
    <t>BACH</t>
  </si>
  <si>
    <t>Seestrasse 24c, BACH, SWITZERLAND</t>
  </si>
  <si>
    <t>978-3-03785-550-8</t>
  </si>
  <si>
    <t>610-613</t>
  </si>
  <si>
    <t>1-4</t>
  </si>
  <si>
    <t>10.4028/www.scientific.net/AMR.610-613.3715</t>
  </si>
  <si>
    <t>Energy &amp; Fuels; Engineering, Environmental; Materials Science, Multidisciplinary</t>
  </si>
  <si>
    <t>Energy &amp; Fuels; Engineering; Materials Science</t>
  </si>
  <si>
    <t>BFG64</t>
  </si>
  <si>
    <t>WOS:000319792101348</t>
  </si>
  <si>
    <t>Zhong, FP; Kou, WF; Bian, Q</t>
  </si>
  <si>
    <t>Zhang, YJ; Xu, QJ; Sun, MJ</t>
  </si>
  <si>
    <t>Zhong Fuping; Kou Weifeng; Bian Qiang</t>
  </si>
  <si>
    <t>Tectonic movement and sea-level rise</t>
  </si>
  <si>
    <t>SUSTAINABLE DEVELOPMENT OF NATURAL RESOURCES, PTS 1-3</t>
  </si>
  <si>
    <t>tectonic movement; sea-level rise; The West Antarctic Ice Sheet</t>
  </si>
  <si>
    <t>ANTARCTIC ICE-SHEET; GREENLAND; STREAM; FLUCTUATIONS; OSCILLATIONS; GREENHOUSE; STABILITY; BENEATH</t>
  </si>
  <si>
    <t>Recently, many strong magnitude earthquakes and volcanoes have taken place on earth, which reveals that the Earth perhaps in its active period of tectonic movement currently. The heat flow will increase during the active period of tectonic movement, and it can provide meltwater to lubricate the basal layer of the West Antarctic Ice Sheet, which can leads to the sea-level rise.</t>
  </si>
  <si>
    <t>[Zhong Fuping] Hennan Polytech Univ, State Key Lab Cultivat Base Gas Geol &amp; Gas Contro, Jiaozuo 454003, Henan, Peoples R China; [Zhong Fuping] Hennan Polytechn Univ, Coll Safety Sci &amp; Engn, Jiaozuo Henan 454003, Peoples R China; [Kou Weifeng] 3th Co Beijing Urban Engn Design &amp; Res Inst, Beijing 100037, Peoples R China; [Bian Qiang] Air Force Chinese Peoples Liberat Army, Troops 95338, Tearn 1, Hengyang 421200, Peoples R China</t>
  </si>
  <si>
    <t>Zhong, FP (corresponding author), Hennan Polytech Univ, State Key Lab Cultivat Base Gas Geol &amp; Gas Contro, Jiaozuo 454003, Henan, Peoples R China.</t>
  </si>
  <si>
    <t>zhongfp@hpu.edu.cn</t>
  </si>
  <si>
    <t>Henan Polytechnic University doctoral foundation</t>
  </si>
  <si>
    <t>Thanks to Henan Polytechnic University doctoral foundation supports to this thesis.</t>
  </si>
  <si>
    <t>978-3-03785-552-2</t>
  </si>
  <si>
    <t>616-618</t>
  </si>
  <si>
    <t>10.4028/www.scientific.net/AMR.616-618.52</t>
  </si>
  <si>
    <t>Energy &amp; Fuels; Environmental Sciences; Materials Science, Multidisciplinary</t>
  </si>
  <si>
    <t>Energy &amp; Fuels; Environmental Sciences &amp; Ecology; Materials Science</t>
  </si>
  <si>
    <t>BFD15</t>
  </si>
  <si>
    <t>WOS:000319230900008</t>
  </si>
  <si>
    <t>Siddaway, JM; Petelina, SV; Karoly, DJ; Klekociuk, AR; Dargaville, RJ</t>
  </si>
  <si>
    <t>Siddaway, J. M.; Petelina, S. V.; Karoly, D. J.; Klekociuk, A. R.; Dargaville, R. J.</t>
  </si>
  <si>
    <t>Evolution of Antarctic ozone in September-December predicted by CCMVal-2 model simulations for the 21st century</t>
  </si>
  <si>
    <t>STRATOSPHERIC OZONE; TEMPERATURE; CLIMATE; HOLE; UNCERTAINTY; RECOVERY; VORTEX</t>
  </si>
  <si>
    <t>Chemistry-Climate Model Validation phase 2 (CCMVal-2) model simulations are used to analyze Antarctic ozone increases in 2000-2100 during local spring and early summer, both vertically integrated and at several pressure levels in the lower stratosphere. Multi-model median trends of monthly zonal mean total ozone column (TOC), ozone volume mixing ratio (VMR), wind speed and temperature poleward of 60 degrees S are investigated. Median values are used to account for large variability in models, and the associated uncertainty is calculated using a bootstrapping technique. According to the trend derived from the twelve CCMVal-2 models selected, Antarctic TOC will not return to a 1965 baseline, an average of 1960-1969 values, by the end of the 21st century in September-November, but will return in similar to 2080 in December. The speed of December ozone depletion before 2000 was slower compared to spring months, and thus the decadal rate of December TOC increase after 2000 is also slower. Projected trends in December ozone VMR at 20-100 hPa show a much slower rate of ozone recovery, particularly at 50-70 hPa, than for spring months. Trends in temperature and winds at 20-150 hPa are also analyzed in order to attribute the projected slow increase of December ozone and to investigate future changes in the Antarctic atmosphere in general, including some aspects of the polar vortex breakup.</t>
  </si>
  <si>
    <t>[Siddaway, J. M.; Petelina, S. V.] La Trobe Univ, Dept Phys, Bundoora, Vic 3086, Australia; [Karoly, D. J.; Dargaville, R. J.] Univ Melbourne, Sch Earth Sci, Melbourne, Vic 3010, Australia; [Klekociuk, A. R.] Australian Antarctic Div, CPC Program, Kingston, Tas 7050, Australia</t>
  </si>
  <si>
    <t>La Trobe University; University of Melbourne; Melbourne Bioinformatics; Australian Antarctic Division</t>
  </si>
  <si>
    <t>Siddaway, JM (corresponding author), La Trobe Univ, Dept Phys, Bundoora, Vic 3086, Australia.</t>
  </si>
  <si>
    <t>j.siddaway@latrobe.edu.au</t>
  </si>
  <si>
    <t>Klekociuk, Andrew/A-4498-2015; Karoly, David/C-8262-2011</t>
  </si>
  <si>
    <t>Klekociuk, Andrew/0000-0003-3335-0034; Dargaville, Roger/0000-0002-0103-5198; Karoly, David/0000-0002-8671-2994</t>
  </si>
  <si>
    <t>Australian Antarctic Division [737, 2699]; Commonwealth Department of Environment, Water, Heritage and the Arts [2008/02103]</t>
  </si>
  <si>
    <t>Australian Antarctic Division; Commonwealth Department of Environment, Water, Heritage and the Arts</t>
  </si>
  <si>
    <t>We acknowledge the modeling groups for making their simulations available for this analysis, the Chemistry-Climate Model Validation Activity (CCMVal) for the World Climate Research Programme's (WCRP) Stratospheric Processes and their Role in Climate (SPARC) project for organizing and coordinating the model data analysis activity, and the British Atmospheric Data Centre (BADC) for collecting and archiving the CCMVal model output. TOMS data are freely available from the NASA website http://acd-ext.gsfc.nasa.gov/Data_services/merged/. This work was sponsored in part by the Australian Antarctic Division Division under Australian Antarctic Science projects 737 and 2699. Part of this work was also supported by the Commonwealth Department of Environment, Water, Heritage and the Arts, grant 2008/02103.</t>
  </si>
  <si>
    <t>10.5194/acp-13-4413-2013</t>
  </si>
  <si>
    <t>137IF</t>
  </si>
  <si>
    <t>WOS:000318428300031</t>
  </si>
  <si>
    <t>Rey, AR; Pütz, K; Simeone, A; Hiriart-Bertrand, L; Reyes-Arriagada, R; Riquelme, V; Lüthi, B</t>
  </si>
  <si>
    <t>Rey, Andrea Raya; Puetz, Klemens; Simeone, Alejandro; Hiriart-Bertrand, Luciano; Reyes-Arriagada, Ronnie; Riquelme, Victoria; Luethi, Benno</t>
  </si>
  <si>
    <t>Comparative foraging behaviour of sympatric Humboldt and Magellanic Penguins reveals species-specific and sex-specific strategies</t>
  </si>
  <si>
    <t>EMU</t>
  </si>
  <si>
    <t>Chile; diving; segregation; spatial ecology; Spheniscidae</t>
  </si>
  <si>
    <t>ROCKHOPPER PENGUINS; SPHENISCUS-MAGELLANICUS; DIVING BEHAVIOR; MORPHOMETRIC CHARACTERS; PYGOSCELID PENGUINS; EUDYPTES-SCHLEGELI; FIELD EXPERIMENTS; AFRICAN PENGUINS; SOUTHERN CHILE; SEGREGATION</t>
  </si>
  <si>
    <t>How closely related marine organisms mitigate competition for resources while foraging at sea is not well understood, particularly the relative importance of interspecific and intraspecific mitigation strategies. Using location and time-depth data, we investigated species-specific and sex-specific foraging areas and diving behaviour of the closely related Humboldt (Spheniscus humboldti) and Magellanic (S. magellanicus) Penguins breeding in sympatry at Islotes Punihuil in southern Chile during the chick-rearing period. The average duration of foraging trips was &lt;20 h and did not differ significantly between species or between sexes of each species. Magellanic Penguins made significantly deeper and longer dives than Humboldt Penguins. Males of both species made significantly longer dives than females. Total distance travelled per foraging trip was significantly greater for males than for females, and females made more direct trips (less sinuous) than males. Foraging effort was concentrated in waters up to 15 km to the west and south-west of the colony. The overlap in density contours was lower between species than between sexes within a species. In general, dive characteristics and foraging areas differed more between Magellanic and Humboldt Penguins than between the sexes of each species. In contrast to the findings of studies of flying seabirds, the foraging behaviour of these penguins differs more between species than between sexes.</t>
  </si>
  <si>
    <t>[Rey, Andrea Raya] CADIC, Consejo Nacl Invest Cient &amp; Tecn, Ushuaia, Tierra Del Fueg, Argentina; [Puetz, Klemens] Antarctic Res Trust, D-27432 Bremervorde, Germany; [Simeone, Alejandro; Hiriart-Bertrand, Luciano] Univ Andres Bello, Dept Ecol &amp; Biodiversidad, Santiago, Chile; [Reyes-Arriagada, Ronnie; Riquelme, Victoria] Univ Austral Chile, Fac Ciencias, Inst Zool, Valdivia, Chile; [Luethi, Benno] Zoo Zurich, Antarctic Res Trust Switzerland, CH-8044 Zurich, Switzerland</t>
  </si>
  <si>
    <t>Consejo Nacional de Investigaciones Cientificas y Tecnicas (CONICET); Universidad Andres Bello; Universidad Austral de Chile</t>
  </si>
  <si>
    <t>Rey, AR (corresponding author), CADIC, Consejo Nacl Invest Cient &amp; Tecn, Bernardo Houssay 200, Ushuaia, Tierra Del Fueg, Argentina.</t>
  </si>
  <si>
    <t>arayarey@cadic-conicet.gob.ar</t>
  </si>
  <si>
    <t>Hiriart-Bertrand, Luciano/0000-0001-8888-4776; Puetz, Klemens/0000-0003-1375-2669; Raya Rey, Andrea/0000-0003-0127-6650</t>
  </si>
  <si>
    <t>Antarctic Research Trust (Switzerland)</t>
  </si>
  <si>
    <t>Field work was funded by a research grant from the Antarctic Research Trust (Switzerland). Francisco, Pedro, Pablo, Fena and Galindo provided valuable help in the field. Katja Siemund was of great help in coordinating logistics at Punihuil. The Chilean Forest Service (CONAF) provided permits to work at Punihuil. Subpesca (Under-Secretariat of Chilean Fisheries) provided permits for handling penguins. Special thanks to Sally Poncet for language editing as well as valuable comments on an earlier version of this manuscript, and a second language editor for the last version. We want to thank the four anonymous reviewers and the Associate Editor who improved earlier versions of the paper to a great extent.</t>
  </si>
  <si>
    <t>0158-4197</t>
  </si>
  <si>
    <t>Emu</t>
  </si>
  <si>
    <t>10.1071/MU12040</t>
  </si>
  <si>
    <t>Ornithology</t>
  </si>
  <si>
    <t>151OO</t>
  </si>
  <si>
    <t>WOS:000319470100008</t>
  </si>
  <si>
    <t>Ivanova, V; Laatsch, H; Kolarova, M; Aleksieva, K</t>
  </si>
  <si>
    <t>Ivanova, Veneta; Laatsch, Hartmut; Kolarova, Mariana; Aleksieva, Krasja</t>
  </si>
  <si>
    <t>Structure elucidation of a new natural diketopiperazine from a Microbispora aerata strain isolated from Livingston Island, Antarctica</t>
  </si>
  <si>
    <t>NATURAL PRODUCT RESEARCH</t>
  </si>
  <si>
    <t>Microbispora aerata; Antarctica; trans-cyclo-(D-tryptophanyl-L-tyrosyl); dipeptide; diketopiperazine</t>
  </si>
  <si>
    <t>BIOLOGICAL-ACTIVITY; ANTAGONIST; DIPEPTIDES</t>
  </si>
  <si>
    <t>A new natural diketopiperazine (1) was obtained from the culture broth of Microbispora aerata strain imbas-11A, isolated from penguin excrements collected on the Antarctic Livingston Island. Compound 1 was purified consecutively by solvent extraction, silica gel column chromatography and preparative HPLC. The structure of the compound was elucidated by 1D and 2D NMR experiments and mass spectrometric investigations. The absolute configuration of compound 1 was determined by amino acid analysis and NOESY correlations. A low antiproliferative and cytotoxic effect of trans-cyclo-(D-tryptophanyl-L-tyrosyl) (1) was determined with L-929 mouse fibroblast cells, K-562 human leukemia cells and HeLa human cervix carcinoma. Trans-cyclo-(D-tryptophanyl-L-tyrosyl) (1) did not show antimicrobial activity at a concentration of 50 mu g per disc against Bacillus subtilis, Staphylococcus aureus, Streptomyces viridochromogenes, Escherichia coli, Candida albicans and Mucor miehei.</t>
  </si>
  <si>
    <t>[Ivanova, Veneta; Kolarova, Mariana; Aleksieva, Krasja] Bulgarian Acad Sci, Inst Microbiol, BU-1113 Sofia, Bulgaria; [Laatsch, Hartmut] Univ Gottingen, Inst Organ &amp; Biomol Chem, D-37077 Gottingen, Germany</t>
  </si>
  <si>
    <t>Bulgarian Academy of Sciences; Medical University Sofia; University of Gottingen</t>
  </si>
  <si>
    <t>Ivanova, V (corresponding author), Bulgarian Acad Sci, Inst Microbiol, Acad G Bonchev Str,Bl 26, BU-1113 Sofia, Bulgaria.</t>
  </si>
  <si>
    <t>venibiva@microbio.bas.bg</t>
  </si>
  <si>
    <t>German Academic Exchange Service (DAAD), Bonn, Germany</t>
  </si>
  <si>
    <t>German Academic Exchange Service (DAAD), Bonn, Germany(Deutscher Akademischer Austausch Dienst (DAAD))</t>
  </si>
  <si>
    <t>We thank Dr H.-M. Dahse (HKI, Jena, Germany) for the determination of cytotoxicity, and Mr Olaf Senge (University of Gottingen) for the HPLC measurements. Support of this work by The German Academic Exchange Service (DAAD), Bonn, Germany, is gratefully acknowledged.</t>
  </si>
  <si>
    <t>1478-6419</t>
  </si>
  <si>
    <t>1478-6427</t>
  </si>
  <si>
    <t>NAT PROD RES</t>
  </si>
  <si>
    <t>Nat. Prod. Res.</t>
  </si>
  <si>
    <t>JAN 1</t>
  </si>
  <si>
    <t>10.1080/14786419.2012.665911</t>
  </si>
  <si>
    <t>Chemistry, Applied; Chemistry, Medicinal</t>
  </si>
  <si>
    <t>Chemistry; Pharmacology &amp; Pharmacy</t>
  </si>
  <si>
    <t>147MG</t>
  </si>
  <si>
    <t>WOS:000319171100011</t>
  </si>
  <si>
    <t>Otero, A; Reguero, M</t>
  </si>
  <si>
    <t>Otero, Alejandro; Reguero, Marcelo</t>
  </si>
  <si>
    <t>Dinosaurs (Reptilia, Archosauria) at Museo de La Plata, Argentina: annotated catalogue of the type material and Antarctic specimens</t>
  </si>
  <si>
    <t>PALAEONTOLOGIA ELECTRONICA</t>
  </si>
  <si>
    <t>Saurischia; Ornithischia; Holotype; Lectotype; Patagonia; Antarctica</t>
  </si>
  <si>
    <t>NEUQUEN BASIN ARGENTINA; BAJO BARREAL FORMATION; PHYLOGENETIC-RELATIONSHIPS; EARLY EVOLUTION; SAUROPODA; ANATOMY; ORIGIN; HADROSAURIDAE; ORNITHISCHIA; REAPPRAISAL</t>
  </si>
  <si>
    <t>A commented-illustrated catalogue of non-avian dinosaurs housed at Museo de La Plata, Argentina is presented. This represents the first commented catalogue of the La Plata Museum dinosaurs to be published. This includes the type material as well as Antarctic specimens. The arrangement of the material was made in a phylogenetic fashion, including systematic rank, type material, referred specimens, geographic and stratigraphic location, and comments/remarks, when necessary. A total of 13 type specimens of non-avian dinosaurs are housed at the collection of Museo de La Plata, including eight sauropods, one theropod, one ornithischian, and three ichnotaxa. There are four Antarctic specimens, one of which is a holotype, whereas other corresponds to the first sauropod dinosaur registered for that continent.</t>
  </si>
  <si>
    <t>[Otero, Alejandro; Reguero, Marcelo] Museo La Plata, Div Paleontol Vertebrados, La Plata, Buenos Aires, Argentina</t>
  </si>
  <si>
    <t>National University of La Plata; Museo La Plata</t>
  </si>
  <si>
    <t>Otero, A (corresponding author), Museo La Plata, Div Paleontol Vertebrados, Paseo Bosque S-N 1900, La Plata, Buenos Aires, Argentina.</t>
  </si>
  <si>
    <t>alexandros.otero@gmail.com; regui@fcnym.unlp.edu.ar</t>
  </si>
  <si>
    <t>Reguero, Marcelo A./JHS-4893-2023</t>
  </si>
  <si>
    <t>The Jurassic Foundation</t>
  </si>
  <si>
    <t>We would like to thank Z. Gasparini and E. P. Tonni (MLP) for their constant and inexhaustible support during this project. Special thanks to J. Wilson (University of Michigan), who encouraged and supported one of the authors (AO) to perform the project. I. Cerda (Rio Negro University) is thanked for provided unpublished information of the indeterminate titanosaurian from Antarctica. J. McIntosh is thanked for provided detail information about his visit to Argentina during 1973. L. Salgado (Rio Negro University) and J. Wilson provided useful comments on the manuscript. S. De Valais (Rio Negro University) kindly provided photos of some ichnotaxa. We appreciate the recommendations of reviewers J. L. Carballido (Museo Egidio Feruglio), and I. A. Cerda, and Editors J. Louys, H. Mallison, and J. Rumford. We also would like to thank L. Acosta, J. Posik, and J. Moly (MLP) for their valuable help and advices in the restoration of the holotype of Argyrosaurus superbus. Special thanks to L. Hernandez (Hidroar S.A.) who provided the logistics and for his welding skills during the construction of Argyrosaurus' showcase. This project was accomplished through a grant provided by The Jurassic Foundation to AO.</t>
  </si>
  <si>
    <t>COQUINA PRESS</t>
  </si>
  <si>
    <t>AMHERST</t>
  </si>
  <si>
    <t>C/O WHITEY HAGADORN, EXECUTIVE EDITOR, AMHERST COLLEGE, DEPT GEOLOGY, AMHERST, MA 01002 USA</t>
  </si>
  <si>
    <t>1935-3952</t>
  </si>
  <si>
    <t>1094-8074</t>
  </si>
  <si>
    <t>PALAEONTOL ELECTRON</t>
  </si>
  <si>
    <t>Palaeontol. electron.</t>
  </si>
  <si>
    <t>3T</t>
  </si>
  <si>
    <t>151CB</t>
  </si>
  <si>
    <t>WOS:000319437100006</t>
  </si>
  <si>
    <t>Dolan, JR; Yang, EJ; Lee, SH; Kim, SY</t>
  </si>
  <si>
    <t>Dolan, John R.; Yang, Eun Jin; Lee, Sang Hoon; Kim, Sun Young</t>
  </si>
  <si>
    <t>Tintinnid ciliates of Amundsen Sea (Antarctica) plankton communities</t>
  </si>
  <si>
    <t>Zooplankton; microzooplankton; polynya; protists; Phaeocystis; diatoms</t>
  </si>
  <si>
    <t>SOUTHERN-OCEAN; ROSS SEA; PHYTOPLANKTON GROWTH; MEDITERRANEAN SEA; ATLANTIC SECTOR; ICE-ZONE; MICROZOOPLANKTON; ZOOPLANKTON; CYMATOCYLIS; ECOLOGY</t>
  </si>
  <si>
    <t>The Amundsen Sea has been described as one of the most productive and dynamic pelagic systems in Antarctica and is one of the least studied. Based on samples from 15 stations in the Amundsen Sea, we describe for the first time the composition of the tintinnid ciliate assemblage of the microzooplankton. We compared the species compositions of coastal polynya sites, where the phytoplankton communities are dominated by Phaeocystis, to those of the offshore deep water sites, which are dominated by diatoms. We found a total of 15 species. Polynya sites were dominated by a few species of tintinnids, mostly those endemic to the Southern Ocean. In contrast, the deep-water sites contained many widespread tintinnid species, which are known from a wide variety of systems as well as other areas of the Southern Ocean. We examined polymorphism known to characterize the Antarctic tintinnid species Cymatocylis affinis/convallaria and Codonellopsis gaussi. We found that the types or forms found appeared unrelated to the type of microplankton community, defined by the identity of the dominant phytoplankton taxa. However, the number of different morphotypes found at a site appeared related to the overall concentration of the species, suggesting that different morphologies, previously considered distinct species, may simply be developmental stages.</t>
  </si>
  <si>
    <t>[Dolan, John R.] Univ Paris 06, Lab Oceanog Villefranche, Marine Microbial Ecol Grp, FR-06230 Villefranche Sur Mer, France; [Dolan, John R.] Natl Ctr Sci Res Ctr CNRS, Stn Zool, UMR 7093, FR-06230 Villefranche Sur Mer, France; [Yang, Eun Jin; Lee, Sang Hoon] Korea Polar Res Inst KORDI, Div Polar Climate Res, Yeonsu 406840, Incheon, South Korea; [Kim, Sun Young] Inha Univ, Dept Oceanog, Inchon 402751, South Korea</t>
  </si>
  <si>
    <t>Sorbonne Universite; Sorbonne Universite; Centre National de la Recherche Scientifique (CNRS); CNRS - National Institute for Earth Sciences &amp; Astronomy (INSU); Korea Polar Research Institute (KOPRI); Inha University</t>
  </si>
  <si>
    <t>Dolan, JR (corresponding author), Univ Paris 06, Lab Oceanog Villefranche, Marine Microbial Ecol Grp, BP 28, FR-06230 Villefranche Sur Mer, France.</t>
  </si>
  <si>
    <t>dolan@obs-vlfr.fr</t>
  </si>
  <si>
    <t>Dolan, John/GON-7388-2022</t>
  </si>
  <si>
    <t>Dolan, John/0000-0002-9454-1355; Yang, Eun Jin/0000-0002-8639-5968</t>
  </si>
  <si>
    <t>Korea Polar Research Institute [PP12010]; French National Center for Scientific Research; University of Paris 6; Aquaparadox project; French National Research Agency programme Biodiversite'; Pole Mer PACA</t>
  </si>
  <si>
    <t>Korea Polar Research Institute(Korea Polar Research Institute of Marine Research Placement (KOPRI)); French National Center for Scientific Research(Centre National de la Recherche Scientifique (CNRS)); University of Paris 6; Aquaparadox project; French National Research Agency programme Biodiversite'(Agence Nationale de la Recherche (ANR)); Pole Mer PACA(Region Provence-Alpes-Cote d'Azur)</t>
  </si>
  <si>
    <t>Support for this work was provided by the Korea Polar Research Institute through its PP12010 project as well as by the French National Center for Scientific Research, the University of Paris 6 and the Aquaparadox project, financed by the French National Research Agency programme Biodiversite' and by Pole Mer PACA. The thoughtful comments of the reviewers and Steve Wickham are gratefully acknowledged.</t>
  </si>
  <si>
    <t>10.3402/polar.v32i0.19784</t>
  </si>
  <si>
    <t>152DW</t>
  </si>
  <si>
    <t>WOS:000319511800001</t>
  </si>
  <si>
    <t>Orgeira, JL; Scioscia, G; Torres, MA; Dellabianca, NA</t>
  </si>
  <si>
    <t>Luis Orgeira, Jose; Scioscia, Gabriela; Analia Torres, Monica; Andrea Dellabianca, Natalia</t>
  </si>
  <si>
    <t>New at-sea records of pelagic seabirds in the South Atlantic Ocean and Antarctica</t>
  </si>
  <si>
    <t>Seabirds; Antarctica; South Atlantic Ocean; distribution</t>
  </si>
  <si>
    <t>During ship-based seabird surveys in the south Atlantic and Antarctica in the austral summers of 1994/95, 2009, 2010, 2011 and 2012, we documented at-sea distributions of Buller's albatross (Thalassarche bulleri), Atlantic petrel (Pterodroma incerta), soft-plumaged petrel (Pterodroma mollis), Kerguelen petrel (Lugensa brevirostris) and great-winged petrel (Pterodroma macroptera). In some cases, sightings were considered as extralimital, but for other species updating their distributions in the literature seems warranted. Atlantic petrel, for example, has been regularly observed in the Drake Passage and north of the Antarctic Peninsula for about 30 years, but the distribution of this species has not been updated in the literature. The observations reported here will contribute to update the at-sea distributions of these species and to changes in their distributions.</t>
  </si>
  <si>
    <t>[Luis Orgeira, Jose] Inst Antartico Argentino, Dept Biol Predadores Tope, Buenos Aires, DF, Argentina; [Scioscia, Gabriela; Andrea Dellabianca, Natalia] Ctr Austral Invest Cient, RA-9410 Ushuaia, Tierra Del Fueg, Argentina; [Analia Torres, Monica; Andrea Dellabianca, Natalia] Museo Acatushun Aves &amp; Mamiferos Marinos Australe, RA-9410 Ushuaia, Tierra Del Fueg, Argentina</t>
  </si>
  <si>
    <t>Instituto Antartico Argentino</t>
  </si>
  <si>
    <t>Orgeira, JL (corresponding author), Inst Antartico Argentino, Dept Biol Predadores Tope, Balcarce 290,Pisos 2 &amp; 3, Buenos Aires, DF, Argentina.</t>
  </si>
  <si>
    <t>joseluisorgeira@yahoo.com.ar</t>
  </si>
  <si>
    <t>Argentina's National Scientific and Technical Research Council; Argentine Antarctic Institute</t>
  </si>
  <si>
    <t>The authors are grateful to the Argentine Navy and the crews of the Almirante Irizar and Puerto Deseado for their valuable assistance provided in navigation. This work was carried out with the logistic and financial support of the Argentina's National Scientific and Technical Research Council and the Argentine Antarctic Institute.</t>
  </si>
  <si>
    <t>10.3402/polar.v32i0.18972</t>
  </si>
  <si>
    <t>152DT</t>
  </si>
  <si>
    <t>WOS:000319511500001</t>
  </si>
  <si>
    <t>Ali, MSM; Fuzi, SFM; Ganasen, M; Rahman, RNZRA; Basri, M; Salleh, AB</t>
  </si>
  <si>
    <t>Ali, Mohd. Shukuri Mohamad; Fuzi, Siti Farhanie Mohd; Ganasen, Menega; Rahman, Raja Noor Zaliha Raja Abdul; Basri, Mahiran; Salleh, Abu Bakar</t>
  </si>
  <si>
    <t>Structural Adaptation of Cold-Active RTX Lipase from Pseudomonas sp Strain AMS8 Revealed via Homology and Molecular Dynamics Simulation Approaches</t>
  </si>
  <si>
    <t>CRYSTAL-STRUCTURE; PROTEINS; ZINC</t>
  </si>
  <si>
    <t>The psychrophilic enzyme is an interesting subject to study due to its special ability to adapt to extreme temperatures, unlike typical enzymes. Utilizing computer-aided software, the predicted structure and function of the enzyme lipase AMS8 (LipAMS8) ( isolated from the psychrophilic Pseudomonas sp., obtained from the Antarctic soil) are studied. The enzyme shows significant sequence similarities with lipases from Pseudomonas sp. MIS38 and Serratia marcescens. These similarities aid in the prediction of the 3D molecular structure of the enzyme. In this study, 12 ns MD simulation is performed at different temperatures for structural flexibility and stability analysis. The results show that the enzyme is most stable at 0 degrees C and 5 degrees C. In terms of stability and flexibility, the catalytic domain (N-terminus) maintained its stability more than the noncatalytic domain (C-terminus), but the non-catalytic domain showed higher flexibility than the catalytic domain. The analysis of the structure and function of LipAMS8 provides new insights into the structural adaptation of this protein at low temperatures. The information obtained could be a useful tool for low temperature industrial applications and molecular engineering purposes, in the near future.</t>
  </si>
  <si>
    <t>[Ali, Mohd. Shukuri Mohamad; Fuzi, Siti Farhanie Mohd; Ganasen, Menega; Rahman, Raja Noor Zaliha Raja Abdul; Basri, Mahiran; Salleh, Abu Bakar] Univ Putra Malaysia, Fac Biotechnol &amp; Biomol Sci, Enzyme &amp; Microbial Technol Res Ctr, Serdang 43400, Selangor, Malaysia; [Ali, Mohd. Shukuri Mohamad; Fuzi, Siti Farhanie Mohd; Ganasen, Menega; Salleh, Abu Bakar] Univ Putra Malaysia, Fac Biotechnol &amp; Biomol Sci, Dept Biochem, Serdang 43400, Selangor, Malaysia; [Rahman, Raja Noor Zaliha Raja Abdul] Univ Putra Malaysia, Fac Biotechnol &amp; Biomol Sci, Dept Microbiol, Serdang 43400, Selangor, Malaysia; [Basri, Mahiran] Univ Putra Malaysia, Fac Sci, Serdang 43400, Selangor, Malaysia</t>
  </si>
  <si>
    <t>Universiti Putra Malaysia; Universiti Putra Malaysia; Universiti Putra Malaysia; Universiti Putra Malaysia</t>
  </si>
  <si>
    <t>Ali, MSM (corresponding author), Univ Putra Malaysia, Fac Biotechnol &amp; Biomol Sci, Enzyme &amp; Microbial Technol Res Ctr, Serdang 43400, Selangor, Malaysia.</t>
  </si>
  <si>
    <t>shukuri@biotech.upm.edu.my</t>
  </si>
  <si>
    <t>ALI, MOHD/IUM-6916-2023; Rahman, Raja Noor Zaliha Raja Abd/I-5556-2019; Fuzi, Siti Fatimah Zaharah Mohamad/AAS-8831-2021; Ali, Mohd Shukuri Mohamad/AAG-5453-2021</t>
  </si>
  <si>
    <t>Rahman, Raja Noor Zaliha Raja Abd/0000-0002-6316-6177; Fuzi, Siti Fatimah Zaharah Mohamad/0000-0003-3802-043X; Ali, Mohd Shukuri Mohamad/0000-0003-2751-9649</t>
  </si>
  <si>
    <t>Science fund research grant, Ministry of Science, Technology and Innovation, Malaysia [02-01-04-SF1133]</t>
  </si>
  <si>
    <t>Science fund research grant, Ministry of Science, Technology and Innovation, Malaysia</t>
  </si>
  <si>
    <t>This project was supported by the Science fund research grant, Ministry of Science, Technology and Innovation, Malaysia (Project no. 02-01-04-SF1133).</t>
  </si>
  <si>
    <t>10.1155/2013/925373</t>
  </si>
  <si>
    <t>147CR</t>
  </si>
  <si>
    <t>WOS:000319143500001</t>
  </si>
  <si>
    <t>Juares, MA; Santos, MM; Negrete, J; Santos, MR; Mennucci, JA; Rombola, E; Longarzo, L; Coria, NR; Carlini, AR</t>
  </si>
  <si>
    <t>Juares, Mariana A.; Mercedes Santos, M.; Negrete, Javier; Rita Santos, M.; Mennucci, Jorge A.; Rombola, Emilce; Longarzo, Lucrecia; Coria, Nestor R.; Carlini, Alejandro R.</t>
  </si>
  <si>
    <t>Better late than never? Interannual and seasonal variability in breeding chronology of gentoo penguins at Stranger Point, Antarctica</t>
  </si>
  <si>
    <t>Antarctica; breeding delay; breeding phenology; snow; Pygoscelis papua; Euphausia superba</t>
  </si>
  <si>
    <t>KING-GEORGE-ISLAND; SOUTH-SHETLAND ISLANDS; PYGOSCELIS-PAPUA; CLIMATE-CHANGE; CHINSTRAP PENGUINS; SEA-ICE; POPULATION-CHANGES; RECENT DECREASE; PENINSULA; RESPONSES</t>
  </si>
  <si>
    <t>Rapid climate change recorded in the western Antarctic Peninsula confronts species with less predictable conditions in the marine and terrestrial environments. We analysed the breeding chronology and nesting site selection of gentoo penguins (Pygoscelis papua) at King George Island (Isla 25 de Mayo), Antarctica, during four seasons in which differences in snow presence and persistence on the ground were observed. We recorded an overall delay as well as seasonal asynchrony at the beginning of reproduction for those years with higher snow deposition. A redistribution of breeding groups was also observed. Nevertheless, the population breeding success and chicks' weight at fledging remained relatively constant, despite the delay in breeding chronology, the increased duration of foraging trips during the guard stage and the decreased weight of stomach contents during the creche stage. We suggest that the plasticity of their trophic biology, along with the flexibility of their breeding phenology and relocation of breeding groups, may be complementary reasons why gentoo penguin populations in the region have remained stable in spite of the changing conditions currently registered.</t>
  </si>
  <si>
    <t>[Juares, Mariana A.; Negrete, Javier] Consejo Nacl Invest Cient &amp; Tecn, Buenos Aires, DF, Argentina; [Juares, Mariana A.; Mercedes Santos, M.; Negrete, Javier; Rita Santos, M.; Rombola, Emilce; Longarzo, Lucrecia; Coria, Nestor R.; Carlini, Alejandro R.] Inst Antartico Argentino, Dept Biol Predadores Tope, Buenos Aires, DF, Argentina; [Rita Santos, M.] Inst Multidisciplinario Biol Celular, La Plata, Buenos Aires, Argentina</t>
  </si>
  <si>
    <t>Consejo Nacional de Investigaciones Cientificas y Tecnicas (CONICET); Instituto Antartico Argentino</t>
  </si>
  <si>
    <t>Juares, MA (corresponding author), Inst Antartico Argentino, Dept Biol Predadores Tope, Balcarce 290 C1064AAF, Buenos Aires, DF, Argentina.</t>
  </si>
  <si>
    <t>marianajuares@hotmail.com</t>
  </si>
  <si>
    <t>Santos, Mercedes/D-5243-2016</t>
  </si>
  <si>
    <t>Negrete, Javier/0000-0001-6853-8307; Juares, Mariana A./0000-0002-6763-0416; Rombola, Emilce Florencia/0000-0003-1863-1911</t>
  </si>
  <si>
    <t>We want to thank E. Moreira, G. Donnini, S. Mut Coll, M. Gray, B. Fusaro, G. Blanco, R. Simonetti and F. Matus for help in collecting data associated with this study. The permit for this work was granted by the Direccion Nacional del Antartico (Environmental Office). The Instituto Antartico Argentino provided financial and logistical support. We are honoured to have shared wonderful personal and professional times with our dear friend Alejandro, who always was here for us.</t>
  </si>
  <si>
    <t>10.3402/polar.v32i0.18448</t>
  </si>
  <si>
    <t>142FE</t>
  </si>
  <si>
    <t>WOS:000318781300001</t>
  </si>
  <si>
    <t>Large, PA; Agnew, DJ; Pérez, JAA; Froján, CB; Cloete, R; Damalas, D; Dransfeld, L; Edwards, CTT; Feist, S; Figueiredo, I; González, F; Herrera, JG; Kenny, A; Jakobsdóttir, K; Longshaw, M; Lorance, P; Marchal, P; Mytilineou, C; Planque, B; Politou, CY</t>
  </si>
  <si>
    <t>Large, Philip A.; Agnew, David J.; Alvarez Perez, Jose Angel; Frojan, Christopher Barrio; Cloete, Rudi; Damalas, Dimitrios; Dransfeld, Leonie; Edwards, Charles T. T.; Feist, Stephen; Figueiredo, Ivone; Gonzalez, Fernando; Gil Herrera, Juan; Kenny, Andrew; Jakobsdottir, Klara; Longshaw, Matt; Lorance, Pascal; Marchal, Paul; Mytilineou, Chryssi; Planque, Benjamin; Politou, Chrissi-Yianna</t>
  </si>
  <si>
    <t>Strengths and Weaknesses of the Management and Monitoring of Deep-Water Stocks, Fisheries, and Ecosystems in Various Areas of the World-A Roadmap Toward Sustainable Deep-Water Fisheries in the Northeast Atlantic?</t>
  </si>
  <si>
    <t>REVIEWS IN FISHERIES SCIENCE</t>
  </si>
  <si>
    <t>deep-water; fisheries; ecosystem; monitoring; management</t>
  </si>
  <si>
    <t>COGNITIVE MAPS; KNOWLEDGE; QUOTAS; CATCH</t>
  </si>
  <si>
    <t>Scientific interest in deep-water marine resources has increased dramatically over the last 10-20 years as management bodies have sought advice on how to manage deep-water fisheries and protect deep-water ecosystems. The strengths and weaknesses of the management and monitoring of deep-water stocks, fisheries, and ecosystems in various areas of the world are described, with the objective of informing the EU FP7 DEEPFISHMAN project so that it can fulfill its primary aim, which is to develop strategic options for a short-and long-term management and monitoring ecosystem-based framework for the northeast Atlantic. To provide a baseline, the current monitoring and management regime in the northeast Atlantic is reviewed, followed by a brief description of the regimes applying to deep-water fisheries in the northwest Atlantic, the southeast Atlantic, off Brazil, in the Antarctic, off Australia and New Zealand, and in the Mediterranean. The strengths and weaknesses of these are discussed, taking into account additional information available from DEEPFISHMAN case study stocks, outcomes from consultations with stakeholders in the deep-water fishing industry in the northeast Atlantic, and the requirements of EU regulations and developing policy that will likely impact deep-water fisheries in the northeast Atlantic.</t>
  </si>
  <si>
    <t>[Large, Philip A.; Frojan, Christopher Barrio; Kenny, Andrew] Ctr Environm Fisheries &amp; Aquaculture Sci Cefas, Lowestoft NR33 0HT, Suffolk, England; [Agnew, David J.] Marine Stewardship Council, London, England; [Alvarez Perez, Jose Angel] Univ Vale Itajai UNIVALI, Grp Estudos Pesqueiros, Ctr Ciencias Tecnol Terra &amp; Mar CTTMar, Itajai, SC, Brazil; [Cloete, Rudi] Minist Fisheries &amp; Marine Resources NatMIRC, Swakopmund, Namibia; [Damalas, Dimitrios] European Commiss Joint Res Ctr, IPSC, Maritime Affairs Unit, FISHREG Sci Support Fisheries, Ispra, VA, Italy; [Dransfeld, Leonie] Inst Marine, Oranmore, Galway, Ireland; [Edwards, Charles T. T.] Univ London Imperial Coll Sci Technol &amp; Med, Ascot, Berks, England; [Feist, Stephen; Longshaw, Matt] Ctr Environm Fisheries &amp; Aquaculture Sci Cefas, Weymouth, Dorset, England; [Figueiredo, Ivone] INRB IPIMAR, Lisbon, Portugal; [Gonzalez, Fernando] Inst Espanol Oceanog, Vigo, Spain; [Gil Herrera, Juan] Inst Espanol Oceanog, Ctr Oceanog Cadiz, Cadiz, Spain; [Jakobsdottir, Klara] Univ Iceland, Inst Biol, Reykjavik, Iceland; [Lorance, Pascal] IFREMER, Dept Ecol &amp; Modeles Halieut, Nantes, France; [Marchal, Paul] IFREMER RBE HMMN, Boulogne Sur Mer, France; [Mytilineou, Chryssi; Politou, Chrissi-Yianna] HCMR, Inst Marine Biol Resources, Athens, Greece; [Planque, Benjamin] IMR, Tromso, Norway</t>
  </si>
  <si>
    <t>Centre for Environment Fisheries &amp; Aquaculture Science; Universidade do Vale do Itajai; European Commission Joint Research Centre; EC JRC ISPRA Site; Marine Institute Ireland; Imperial College London; Centre for Environment Fisheries &amp; Aquaculture Science; Portuguese Institute of Sea &amp; Fisheries Research (IPIMAR); Spanish Institute of Oceanography; Spanish Institute of Oceanography; University of Iceland; Ifremer; Hellenic Centre for Marine Research; Institute of Marine Research - Norway</t>
  </si>
  <si>
    <t>Froján, CB (corresponding author), Ctr Environm Fisheries &amp; Aquaculture Sci Cefas, Pakefield Rd, Lowestoft NR33 0HT, Suffolk, England.</t>
  </si>
  <si>
    <t>christopher.barrio@cefas.co.uk</t>
  </si>
  <si>
    <t>Planque, Benjamin/D-2729-2013; Figueiredo, Ivone/AAJ-3966-2020; Longshaw, Matt/C-3884-2013; Barrio, Christopher/AAL-7837-2020; Kenny, Andrew J/H-3675-2013; Lorance, Pascal/F-4668-2011</t>
  </si>
  <si>
    <t>Planque, Benjamin/0000-0002-0557-7410; Figueiredo, Ivone/0000-0003-4905-8134; Barrio, Christopher/0000-0001-5562-5508; Lorance, Pascal/0000-0002-6453-2925; Jakobsdottir, Klara/0000-0002-4820-1050; Marchal, Paul/0000-0003-2047-4599</t>
  </si>
  <si>
    <t>Commission of the European Communities [227390]</t>
  </si>
  <si>
    <t>Commission of the European Communities(European Union (EU))</t>
  </si>
  <si>
    <t>This study was carried out with financial support from the Commission of the European Communities under the DEEPFISHMAN project (Grant agreement 227390).</t>
  </si>
  <si>
    <t>325 CHESTNUT ST, SUITE 800, PHILADELPHIA, PA 19106 USA</t>
  </si>
  <si>
    <t>1064-1262</t>
  </si>
  <si>
    <t>REV FISH SCI</t>
  </si>
  <si>
    <t>Rev. Fish. Sci.</t>
  </si>
  <si>
    <t>10.1080/10641262.2013.785475</t>
  </si>
  <si>
    <t>144YU</t>
  </si>
  <si>
    <t>WOS:000318979900004</t>
  </si>
  <si>
    <t>Ishii, S; Seta, M; Nakai, N; Miyamoto, Y; Nagai, M; Arai, H; Maezawa, H; Nagasaki, T; Miyagawa, N; Motoyama, H; Sekimoto, Y; Bronfman, L</t>
  </si>
  <si>
    <t>Ishii, Shun; Seta, Masumichi; Nakai, Naomasa; Miyamoto, Yusuke; Nagai, Makoto; Arai, Hitoshi; Maezawa, Hiroyuki; Nagasaki, Taketo; Miyagawa, Naoki; Motoyama, Hideaki; Sekimoto, Yutaro; Bronfman, Leonardo</t>
  </si>
  <si>
    <t>Development of a Transportable Telescope for Galactic Survey at 500 GHz in Antarctica</t>
  </si>
  <si>
    <t>IEEE TRANSACTIONS ON TERAHERTZ SCIENCE AND TECHNOLOGY</t>
  </si>
  <si>
    <t>Astronomy; astrophysics; submillimeter-wave technology</t>
  </si>
  <si>
    <t>MOLECULAR CLOUDS; MILKY-WAY; CO SURVEY; CALIBRATION; DOME</t>
  </si>
  <si>
    <t>We have developed a transportable 30-cm submillimeter- wave telescope to operate at the Dome Fuji station in the Antarctic plateau. Transportability is an important requirement in the design; the telescope can be divided into several subsystems by hands. The maximum weight of the subsystems is restricted to be below 60 kg, so that the telescope can be assembled without a lifting machine. A small 4 K mechanical cryocooler is used for cooling down a SIS mixer. Total power consumption was designed to be less than 2.5 kW. The optical system was designed to satisfy the frequency independent matching condition at the subreflector and the feed horn of the SIS mixer, so we could accommodate a higher frequency receiver without changing mirrors. A quasi-optical filter was employed for the single sideband operation in observations of the CO (J=4-3) line at 461.04 GHz and the [CI] (P-3(1)-P-3(0)) line at 492.16 GHz. It was equipped with a 1 GHz width spectrometer that covers a velocity width of 600 km/s with a velocity resolution of 0.04 km/s at 461 GHz. We carried out test observations at a 4400-m altitude site in northern Chile during winters of 2010 and 2011. The typical system noise temperature, including atmospheric loss, was 3000 K (SSB) at 461 GHz, that is mainly limited by atmospheric opacity. The beam size of the 30-cm offset Cassegrain antenna at 0.65 mm of wavelength was measured to be 9'.4 +/- 0'.4 by cross scanning of the sun. This angular resolution of the 30-cm telescope is same as those of the Columbia-CfA-U. Chile CO (J=1-3) surveys. We estimated the main beam efficiency to be 87 +/- 5% by observing the new moon. We succeeded in mapping Orion Molecular Cloud A and M17 SW in CO (J=4-3) followed by test observations toward Orion KL in both CO (J=4-3) and [CI] (P-3(1)-P-3(0)).</t>
  </si>
  <si>
    <t>[Ishii, Shun; Seta, Masumichi; Nakai, Naomasa; Miyamoto, Yusuke; Nagai, Makoto; Arai, Hitoshi; Nagasaki, Taketo; Miyagawa, Naoki] Univ Tsukuba, Inst Phys, Tsukuba, Ibaraki 3058571, Japan; [Maezawa, Hiroyuki] Osaka Prefecture Univ, Naka Ku, Sakai, Osaka 5998531, Japan; [Motoyama, Hideaki] Natl Inst Polar Res, Tachikawa, Tokyo 1908518, Japan; [Sekimoto, Yutaro] Natl Inst Nat Sci, Natl Astron Observ Japan, Mitaka, Tokyo 1818588, Japan; [Bronfman, Leonardo] Univ Chile, Dept Astron, Santiago, Chile</t>
  </si>
  <si>
    <t>University of Tsukuba; Osaka Metropolitan University; Research Organization of Information &amp; Systems (ROIS); National Institute of Polar Research (NIPR) - Japan; National Institutes of Natural Sciences (NINS) - Japan; National Astronomical Observatory of Japan (NAOJ); Universidad de Chile</t>
  </si>
  <si>
    <t>Ishii, S (corresponding author), Univ Tsukuba, Inst Phys, Tsukuba, Ibaraki 3058571, Japan.</t>
  </si>
  <si>
    <t>ishii.shun.fw@u.tsukuba.ac.jp</t>
  </si>
  <si>
    <t>MIYAMOTO, Yusuke/N-4543-2019; Bronfman, Leonardo/H-9544-2013</t>
  </si>
  <si>
    <t>MIYAMOTO, Yusuke/0000-0002-7616-7427; Nagai, Makoto/0000-0002-1705-9610; Ishii, Shun/0000-0001-8337-4961; Ishii, Shoken/0000-0002-5814-5494; Bronfman, Leonardo/0000-0002-9574-8454</t>
  </si>
  <si>
    <t>JSPS [19204016]; Toray Science and Technology [06-4704]; CONICYT [PFB06]; Grants-in-Aid for Scientific Research [19204016, 22244011, 25247022] Funding Source: KAKEN</t>
  </si>
  <si>
    <t>JSPS(Ministry of Education, Culture, Sports, Science and Technology, Japan (MEXT)Japan Society for the Promotion of Science); Toray Science and Technology(Toray Industries, Inc.); CONICYT(Comision Nacional de Investigacion Cientifica y Tecnologica (CONICYT)); Grants-in-Aid for Scientific Research(Ministry of Education, Culture, Sports, Science and Technology, Japan (MEXT)Japan Society for the Promotion of ScienceGrants-in-Aid for Scientific Research (KAKENHI))</t>
  </si>
  <si>
    <t>This work was supported in part by Grant-in-Aid for Scientific research A from JSPS under 19204016 and Toray Science and Technology under Grant (06-4704). The work of S. Ishii was supported by JSPS for Young Scientists. The work of L. Bronfman was supported by CONICYT Project PFB06.</t>
  </si>
  <si>
    <t>2156-342X</t>
  </si>
  <si>
    <t>IEEE T THZ SCI TECHN</t>
  </si>
  <si>
    <t>IEEE Trans. Terahertz Sci. Technol.</t>
  </si>
  <si>
    <t>10.1109/TTHZ.2012.2235912</t>
  </si>
  <si>
    <t>Engineering, Electrical &amp; Electronic; Optics; Physics, Applied</t>
  </si>
  <si>
    <t>Engineering; Optics; Physics</t>
  </si>
  <si>
    <t>142BD</t>
  </si>
  <si>
    <t>WOS:000318770000005</t>
  </si>
  <si>
    <t>Shelton, AO; Kinzey, D; Reiss, C; Munch, S; Watters, G; Mangel, M</t>
  </si>
  <si>
    <t>Shelton, Andrew Olaf; Kinzey, Douglas; Reiss, Christian; Munch, Stephan; Watters, George; Mangel, Marc</t>
  </si>
  <si>
    <t>Among-year variation in growth of Antarctic krill Euphausia superba based on length-frequency data</t>
  </si>
  <si>
    <t>von Bertalanffy; Krill; Growth; Temporal variation; Southern Ocean; Kernel density estimator; Antarctic Peninsula</t>
  </si>
  <si>
    <t>SOUTHERN-OCEAN; MODELING GROWTH; SCOTIA SEA; SIZE; AGE; MORTALITY; PARAMETERS; DYNAMICS; CLIMATE; RATES</t>
  </si>
  <si>
    <t>Understanding the temporal variability in vital rates (e. g. growth and survivorship) of wild populations is practically and statistically difficult but crucial for connecting such variation to mechanistic drivers and their population consequences. For somatic growth, empirical estimates of variation are rare because they often require expensive long-term tag-recapture programs. In marine pelagic ecosystems, where many species are difficult to sample and not amenable to tagging studies, researchers have relied on estimating growth from length-frequency distributions. We developed a general approach for estimating growth from observed length-frequency samples by combining kernel density estimates of the length-frequency distribution and the von Bertalanffy growth function. Our approach is conceptually straightforward and easy to implement. We applied the methods to Antarctic krill Euphausia superba collected from the Southern Ocean over a span of 19 yr to document among-year variation in krill growth during the austral summer. Our estimates of growth align closely with existing estimates of growth, but we provide the first estimates of among-year variation in krill growth. We estimate very high among-year variation in growth (annual estimates for a 30 mm krill in the Elephant Island region ranged from 0.00 to 0.17 mm d(-1); mean = 0.073, among-year coefficient of variation approximate to 0.8). We correlated growth rate variation to estimates of ocean chlorophyll but not to other oceanographic indices, contrasting with results from previous studies. The large amount of variation in growth unexplained by environmental covariates has substantial implications for ecosystem management in the Southern Ocean ecosystem.</t>
  </si>
  <si>
    <t>[Shelton, Andrew Olaf] NOAA, Conservat Biol Div, NW Fisheries Sci Ctr, Natl Marine Fisheries Serv, Seattle, WA 98112 USA; [Shelton, Andrew Olaf; Mangel, Marc] Univ Calif Santa Cruz, Ctr Stock Assessment Res, Santa Cruz, CA 95060 USA; [Kinzey, Douglas; Reiss, Christian; Watters, George] NOAA, Antarctic Ecosyst Res Div, Southwest Fisheries Sci Ctr, Natl Marine Fisheries Serv, La Jolla, CA 92037 USA; [Munch, Stephan] NOAA, Fisheries Ecol Div, Southwest Fisheries Sci Ctr, Natl Marine Fisheries Serv, Santa Cruz, CA 95060 USA; [Mangel, Marc] Univ Calif Santa Cruz, Jack Baskin Sch Engn, Dept Appl Math &amp; Stat, Santa Cruz, CA 95064 USA; [Mangel, Marc] Univ Bergen, Dept Biol, N-5020 Bergen, Norway</t>
  </si>
  <si>
    <t>National Oceanic Atmospheric Admin (NOAA) - USA; University of California System; University of California Santa Cruz; National Oceanic Atmospheric Admin (NOAA) - USA; National Oceanic Atmospheric Admin (NOAA) - USA; University of California System; University of California Santa Cruz; University of Bergen</t>
  </si>
  <si>
    <t>Shelton, AO (corresponding author), NOAA, Conservat Biol Div, NW Fisheries Sci Ctr, Natl Marine Fisheries Serv, 2725 Montlake Blvd E, Seattle, WA 98112 USA.</t>
  </si>
  <si>
    <t>ole.shelton@noaa.gov</t>
  </si>
  <si>
    <t>Watters, George/HPE-2184-2023</t>
  </si>
  <si>
    <t>Watters, George/0000-0002-6989-1273</t>
  </si>
  <si>
    <t>Center for Stock Assessment Research; Fisheries Ecology Division, NOAA Fisheries, Santa Cruz, CA; University of California, Santa Cruz; National Science Foundation [EF-0924195]</t>
  </si>
  <si>
    <t>Center for Stock Assessment Research; Fisheries Ecology Division, NOAA Fisheries, Santa Cruz, CA; University of California, Santa Cruz(University of California System); National Science Foundation(National Science Foundation (NSF))</t>
  </si>
  <si>
    <t>This work was partially supported by the Center for Stock Assessment Research, a partnership between the Fisheries Ecology Division, NOAA Fisheries, Santa Cruz, CA, and the University of California, Santa Cruz, and by National Science Foundation grant EF-0924195 to M.M. The manuscript was improved by comments from 3 anonymous reviewers.</t>
  </si>
  <si>
    <t>10.3354/meps10245</t>
  </si>
  <si>
    <t>139FE</t>
  </si>
  <si>
    <t>WOS:000318566400005</t>
  </si>
  <si>
    <t>Piñones, A; Hofmann, EE; Daly, KL; Dinniman, MS; Klinck, JM</t>
  </si>
  <si>
    <t>Pinones, Andrea; Hofmann, Eileen E.; Daly, Kendra L.; Dinniman, Michael S.; Klinck, John M.</t>
  </si>
  <si>
    <t>Modeling the remote and local connectivity of Antarctic krill populations along the western Antarctic Peninsula</t>
  </si>
  <si>
    <t>Euphausia superba; Connectivity; Circulation; Lagrangian particles; Circumpolar Deep Water; Antarctic Peninsula</t>
  </si>
  <si>
    <t>EUPHAUSIA-SUPERBA DANA; BRANSFIELD STRAIT REGION; CIRCUMPOLAR DEEP-WATER; EARLY LIFE-HISTORY; RANDOM-WALK MODELS; CONTINENTAL-SHELF; BELLINGSHAUSEN SEA; MARGUERITE BAY; LARVAL KRILL; AUSTRAL FALL</t>
  </si>
  <si>
    <t>The abundance and distribution of Antarctic krill Euphausia superba over the western Antarctic Peninsula (wAP) continental shelf suggest that these populations are maintained by inputs from upstream sources via advection of individuals that originated in the Bellingshausen Sea, in addition to local spawning and retention. The objective of our study was to evaluate these 2 mechanisms (remote and local inputs) and the consequences for wAP Antarctic krill populations. The relative effect of local versus remote connectivity was investigated using Lagrangian particle tracking experiments. Particles released in the Bellingshausen Sea were transported to the wAP shelf in 120 d, which is consistent with the time required for Antarctic krill eggs to develop into late-stage larvae. An estimated 23% of the particles released along the shelf break crossed the outer shelf and were transported to the mid and inner regions of the wAP shelf via 3 pathways that provide conduits for onshore intrusions of Circumpolar Deep Water (CDW). Of the particles that moved onto the wAP shelf, 54% were transported to inner shelf regions that are associated with areas of enhanced biological production. Of the particles at the outer shelf similar to 33% continued transport northeastward with the Antarctic Circumpolar Current. Particles released in the mid and inner shelf showed limited connectivity and low export from the shelf (&lt;20%). The Lagrangian experiments indicate that Antarctic krill populations in the Marguerite Bay region of the wAP continental shelf are maintained by local and remote inputs of larvae. Regions influenced by intrusions of CDW are more dependent on remote inputs of Antarctic krill larvae.</t>
  </si>
  <si>
    <t>[Pinones, Andrea; Hofmann, Eileen E.; Dinniman, Michael S.; Klinck, John M.] Old Dominion Univ, CCPO, Norfolk, VA 23508 USA; [Daly, Kendra L.] Univ S Florida, Coll Marine Sci, St Petersburg, FL 33701 USA</t>
  </si>
  <si>
    <t>Old Dominion University; State University System of Florida; University of South Florida</t>
  </si>
  <si>
    <t>Piñones, A (corresponding author), Old Dominion Univ, CCPO, 4111 Monarch Way,3rd Floor, Norfolk, VA 23508 USA.</t>
  </si>
  <si>
    <t>mpinones@ccpo.odu.edu</t>
  </si>
  <si>
    <t>Dinniman, Michael/0000-0001-7519-9278; Pinones, Andrea/0000-0002-1737-9016; Klinck, John/0000-0003-4312-5201</t>
  </si>
  <si>
    <t>National Science Foundation [ANT-0523172]; US Southern Ocean GLOBEC Program synthesis and integration phase</t>
  </si>
  <si>
    <t>National Science Foundation(National Science Foundation (NSF)); US Southern Ocean GLOBEC Program synthesis and integration phase</t>
  </si>
  <si>
    <t>This research was funded by National Science Foundation Grant ANT-0523172 and is part of the US Southern Ocean GLOBEC Program synthesis and integration phase. Comments provided by four anonymous reviewers were helpful in clarifying the results from this study.</t>
  </si>
  <si>
    <t>10.3354/meps10256</t>
  </si>
  <si>
    <t>WOS:000318566400006</t>
  </si>
  <si>
    <t>Alexander, TJ</t>
  </si>
  <si>
    <t>Alexander, Timothy J.</t>
  </si>
  <si>
    <t>Cryptic invertebrates on subtidal rocky reefs vary with microhabitat structure and protection from fishing</t>
  </si>
  <si>
    <t>Cryptic species; Marine reserve; Abalone; Boulders; Echinoderms; Molluscs</t>
  </si>
  <si>
    <t>ABALONE HALIOTIS-LAEVIGATA; INTERTIDAL BOULDER FIELDS; MARINE RESERVES; ARTIFICIAL SUBSTRATA; SANDSTONE BLOCKS; GENUS HALIOTIS; RUBRA MOLLUSCA; SOUTHERN-OCEAN; SPECIES-AREA; ABUNDANCE</t>
  </si>
  <si>
    <t>The deployment of flat concrete blocks on subtidal rocky reefs can replicate natural reef microhabitats and provides a means for standardized sampling of cryptic invertebrates. The shape of the cavity beneath the block is related to reef topography and may influence the invertebrate community by affecting the amount of space for cryptic fauna to colonise and influencing the effectiveness of their predator-defence mechanisms. To determine the effect of sub-block reef structure and different levels of external predators on cryptic molluscs and echinoderms, I deployed concrete blocks at locations inside and outside the Maria Island marine reserve in eastern Tasmania, Australia. Relationships between sub-block reef structure and the cryptic invertebrate assemblage were evident between locations, whereas only a small but significant proportion of variation of assemblages between blocks within location was explained by reef surface area. No clear association with external predation pressure was evident in multivariate analyses of variation in assemblage structure. Juvenile abalone Haliotis rubra were not influenced by micro habitat structure but were significantly less abundant at protected locations, the only species to exhibit such a response. This result follows a decline of emergent adult abalone in the marine reserve and raises the possibility of recruitment failure of abalone at some fully protected locations in the longer term.</t>
  </si>
  <si>
    <t>Univ Tasmania, Inst Marine &amp; Antarctic Studies, Hobart, Tas 7001, Australia</t>
  </si>
  <si>
    <t>Alexander, TJ (corresponding author), Univ Tasmania, Inst Marine &amp; Antarctic Studies, GPO Box 252,Private Bag 49, Hobart, Tas 7001, Australia.</t>
  </si>
  <si>
    <t>tjalexander001@gmail.com</t>
  </si>
  <si>
    <t>Australian Research Council; Australian Postgraduate Award; CSIRO / University of Tasmania</t>
  </si>
  <si>
    <t>Australian Research Council(Australian Research Council); Australian Postgraduate Award(Australian Government); CSIRO / University of Tasmania(Commonwealth Scientific &amp; Industrial Research Organisation (CSIRO))</t>
  </si>
  <si>
    <t>Sincere thanks to J. Seiler, A. Polacheck and D. Stephenson for their dedicated assistance in the field and to G. J. Edgar for discussions and constructive criticism of the draft manuscript. The manuscript was also improved by comments from 3 anonymous reviewers. This research was supported by funding from the Australian Research Council, an Australian Postgraduate Award and a CSIRO / University of Tasmania scholarship in Quantitative Marine Science.</t>
  </si>
  <si>
    <t>10.3354/meps10263</t>
  </si>
  <si>
    <t>WOS:000318566400007</t>
  </si>
  <si>
    <t>Rodríguez-Blanco, A; Duval, A; Pelletier, E; Delille, D; Ghiglione, JF</t>
  </si>
  <si>
    <t>Rodriguez-Blanco, Arturo; Duval, Audrey; Pelletier, Emilien; Delille, Daniel; Ghiglione, Jean-Francois</t>
  </si>
  <si>
    <t>Effects of temperature and fertilization on the structure of total versus active bacterial communities from sub-Antarctic seawater exposed to crude oil and diesel fuel</t>
  </si>
  <si>
    <t>Oil hydrocarbons; Inipol EAP 22; temperature; 16S rDNA/rRNA; sub-Antarctic seawater</t>
  </si>
  <si>
    <t>16S RIBOSOMAL-RNA; MICROBIAL-GROWTH; MARINE-BACTERIA; SEA-ICE; BIOREMEDIATION; BIODEGRADATION; DIVERSITY; PETROLEUM; RESPONSES; DYNAMICS</t>
  </si>
  <si>
    <t>Polar environments are exposed to the risk of oil pollution. However, there is limited knowledge regarding how the variation of physicochemical factors influencing biodegradation may affect bacterial community structure. The effects of temperature (4, 10 and 20 degrees C) and organic fertilization (Inipol EAP 22) on community structure and diversity of bacteria inhabiting Kerguelen sub-Antarctic waters were studied in crude-and diesel-amended microcosms. Dynamics of total (i.e., 16S rDNA-based) and metabolically active (i.e., 16S rRNA-based) bacterial community structure and diversity were monitored using capillary-electrophoresis single-strand conformation polymorphism. Results showed that total and active community structures were differently influenced by temperature and fertilization in the presence of hydrocarbons. Both fertilization and temperature induced changes in total community structure in the presence of crude oil and diesel. However, temperature showed a limited influence on active community structure, and fertilization induced changes in the presence of crude oil only. Simpson's index decreased for total bacterial communities at all temperatures in the presence of crude oil and diesel, whereas a lower reduction was observed for active bacterial populations. In the presence of fertilizer, the diversity of the whole community approached control values after seven incubation weeks; this was not observed for the active bacterial community. This study evidenced qualitative differences in total and active bacterial community structures of Kerguelen seawaters in the presence of hydrocarbons and different responses relative to variation in temperature and fertilization. These factors and hydrocarbons composition have to be taken into account to understand bacterial community dynamics after an oil spill.</t>
  </si>
  <si>
    <t>[Rodriguez-Blanco, Arturo; Duval, Audrey; Delille, Daniel; Ghiglione, Jean-Francois] Univ Paris 06, Microbial Oceanog Lab, UMR 7621, F-66650 Banyuls Sur Mer, France; [Rodriguez-Blanco, Arturo; Duval, Audrey; Delille, Daniel; Ghiglione, Jean-Francois] Natl Ctr Sci Res, Mixed Res Unit 7621, F-66650 Banyuls Sur Mer, France; [Rodriguez-Blanco, Arturo] Univ Santiago de Compostela, Inst Aquaculture, Dept Microbiol, ES-15782 Santiago De Compostela, Spain; [Pelletier, Emilien] Univ Quebec, Inst Marine Sci, Rimouski, PQ G5L 3A1, Canada</t>
  </si>
  <si>
    <t>Sorbonne Universite; Centre National de la Recherche Scientifique (CNRS); CNRS - National Institute for Earth Sciences &amp; Astronomy (INSU); Universidade de Santiago de Compostela; University of Quebec</t>
  </si>
  <si>
    <t>Ghiglione, JF (corresponding author), Natl Ctr Sci Res, Mixed Res Unit 7621, Ave Fontaule,BP44, F-66650 Banyuls Sur Mer, France.</t>
  </si>
  <si>
    <t>ghiglione@obs-banyuls.fr</t>
  </si>
  <si>
    <t>Daniel, Delille/S-9542-2019; Rodriguez-Blanco, Arturo/G-2622-2010; Ghiglione, Jean-Francois JF/A-7540-2011</t>
  </si>
  <si>
    <t>10.3402/polar.v32i0.18521</t>
  </si>
  <si>
    <t>142FG</t>
  </si>
  <si>
    <t>WOS:000318781500001</t>
  </si>
  <si>
    <t>Shandikov, GA; Eakin, RR</t>
  </si>
  <si>
    <t>Shandikov, Gennadiy A.; Eakin, Richard R.</t>
  </si>
  <si>
    <t>Pogonophryne neyelovi, a new species of Antarctic short-barbeled plunderfish (Perciformes, Notothenioidei, Artedidraconidae) from the deep Ross Sea</t>
  </si>
  <si>
    <t>Southern Ocean; deep-water fishes; taxonomy; mental barbel; biology; reproduction</t>
  </si>
  <si>
    <t>EAST ANTARCTICA; PISCES</t>
  </si>
  <si>
    <t>This paper continues descriptions of new deep-water Antarctic barbeled plunderfishes of the poorly known and the most speciose notothenioid genus Pogonophryne. It is based on a comprehensive collection obtained by the authors in 2009-2010 during an Antarctic toothfish (Dissostichus mawsoni) fishing trip. A new species, the hopbeard plunderfish P. neyelovi, the twenty-second species of the genus, is described. The new species belongs to dorsally-spotted short-barbeled species forming the P. mentella group. Pogonophryne neyelovi sp. n. is characterized by the following combination of characters: a very short and small mental barbel with an ovaloid and short terminal expansion covered by flattened scale-like processes that are mostly bluntly palmate; a moderately protruding lower jaw; a high second dorsal fin almost uniformly black and lacking a sharply elevated anterior lobe; pectoral fins striped anteriorly and uniformly light posteriorly; the anal and pelvic fins light; the dorsal surface of the head and the area anterior to the first dorsal fin covered with large, irregular dark brown blotches and spots; the ventral surface of the head, breast and belly without sharp dark markings. The new species is compared to the closest species P. brevibarbata, P. tronio, and P. ventrimaculata. English vernacular names are proposed for all species of the genus.</t>
  </si>
  <si>
    <t>[Shandikov, Gennadiy A.] VN Karazin Kharkiv Natl Univ KhNU, Sch Biol, Dept Zool &amp; Anim Ecol, UA-61022 Kharkov, Ukraine; [Shandikov, Gennadiy A.] Southern Sci Res Inst Marine Fisheries &amp; Oceanog, UA-98300 Kerch, Crimea, Ukraine</t>
  </si>
  <si>
    <t>GEO MILEV STR 13A, SOFIA, 1111, BULGARIA</t>
  </si>
  <si>
    <t>10.3897/zookeys.296.4295</t>
  </si>
  <si>
    <t>138VV</t>
  </si>
  <si>
    <t>WOS:000318539300003</t>
  </si>
  <si>
    <t>Mihalikova, M; Kirkwood, S</t>
  </si>
  <si>
    <t>Mihalikova, M.; Kirkwood, S.</t>
  </si>
  <si>
    <t>Tropopause fold occurrence rates over the Antarctic station Troll (72° S, 2.5° E)</t>
  </si>
  <si>
    <t>Meteorology and atmospheric dynamics; Climatology; Mesoscale meteorology; Polar meteorology</t>
  </si>
  <si>
    <t>RADAR; CLIMATOLOGY; OZONE; MODEL; TROPOSPHERE; EXCHANGE</t>
  </si>
  <si>
    <t>One of the important mechanisms of stratosphere-troposphere exchange, which brings ozone-rich stratospheric air to low altitudes in extratropical regions, is transport related to tropopause folds. The climatology of folds has been studied at high latitudes of the Northern Hemisphere with the help of radars and global models. Global models supply information about fold occurrence rates at high latitudes of the Southern Hemisphere as well, but so far comparisons with direct measurements are rare. The Moveable Atmospheric Radar for Antarctica (MARA), a 54.5 MHz wind-profiler radar, has been operated at the Norwegian year-round station Troll, Antarctica (72 degrees S, 2.5 degrees E) since December 2011. Frequent tropopause fold signatures have been observed. In this study, based on MARA observations, an occurrence rate statistics of tropopause folds from December 2011 until November 2012 has been made, and radar data have been compared with the analysis from the European Center for Medium-Range Weather Forecasting (ECMWF). The fold occurrence rates exhibit an annual cycle with winter maximum and summer minimum and suggest significantly higher occurrence rates for the given location than those obtained previously by global model studies.</t>
  </si>
  <si>
    <t>[Mihalikova, M.; Kirkwood, S.] Swedish Inst Space Phys, S-98128 Kiruna, Sweden; [Mihalikova, M.; Kirkwood, S.] Lulea Univ Technol, Div Space Technol, Kiruna, Sweden</t>
  </si>
  <si>
    <t>Lulea University of Technology</t>
  </si>
  <si>
    <t>Mihalikova, M (corresponding author), Swedish Inst Space Phys, POB 812, S-98128 Kiruna, Sweden.</t>
  </si>
  <si>
    <t>maria.mihalikova@irf.se</t>
  </si>
  <si>
    <t>Swedish Research Council [621-2010-3218]; Graduate School of Space Technology, Lulea University of Technology; Knut and Alice Wallenberg's foundation; Swedish Polar Research Secretariat (SWEDARP); Norwegian Polar Institute</t>
  </si>
  <si>
    <t>Swedish Research Council(Swedish Research Council); Graduate School of Space Technology, Lulea University of Technology; Knut and Alice Wallenberg's foundation(Knut &amp; Alice Wallenberg Foundation); Swedish Polar Research Secretariat (SWEDARP); Norwegian Polar Institute</t>
  </si>
  <si>
    <t>We gratefully acknowledge support for this research from Swedish Research Council (621-2010-3218). M. Mihalikova is supported by the Graduate School of Space Technology, Lulea University of Technology. MARA radar was financed by Knut and Alice Wallenberg's foundation and supported in its operation in Antarctica by Swedish Polar Research Secretariat (SWEDARP 2011/12) and the Norwegian Polar Institute. We would like to thank two anonymous referees for their valuable comments.</t>
  </si>
  <si>
    <t>10.5194/angeo-31-591-2013</t>
  </si>
  <si>
    <t>137JT</t>
  </si>
  <si>
    <t>WOS:000318432600002</t>
  </si>
  <si>
    <t>Moustaoui, M; Teitelbaum, H; Mahalov, A</t>
  </si>
  <si>
    <t>Moustaoui, M.; Teitelbaum, H.; Mahalov, A.</t>
  </si>
  <si>
    <t>Observation and simulation of wave breaking in the southern hemispheric stratosphere during VORCORE</t>
  </si>
  <si>
    <t>Atmospheric composition and structure; Middle atmosphere; composition and chemistry</t>
  </si>
  <si>
    <t>UPPER TROPOSPHERE; STATIONARY WAVES; PLANETARY-WAVES; ARCTIC VORTEX; ROSSBY; TRANSPORT; DYNAMICS; CLIMATOLOGY; VARIABILITY; OZONE</t>
  </si>
  <si>
    <t>An interesting occurrence of a Rossby wave breaking event observed during the VORCORE experiment is presented and explained. Twenty-seven balloons were launched inside the Antarctic polar vortex. Almost all of these balloons evolved in the stratosphere around 500K within the vortex, except the one launched on 28 October 2005. In this case, the balloon was caught within a tongue of high potential vorticity (PV), and was ejected from the polar vortex. The evolution of this event is studied for the period between 19 and 25 November 2005. It is found that at the beginning of this period, the polar vortex experienced distortions due to the presence of Rossby waves. Then, these waves break and a tongue of high PV develops. On 25 November, the tongue became separated from the vortex and the balloon was ejected into the surf zone. Lagrangian simulations demonstrate that the air masses surrounding the balloon after its ejection were originating from the vortex edge. The wave breaking and the development of the tongue are confined within a region where a planetary Quasi-Stationary Wave 1 (QSW1) induces wind speeds with weaker values. The QSW1 causes asymmetry in the wind speed and the horizontal PV gradient along the edge of the polar vortex, resulting in a localized jet. Rossby waves with smaller scales propagating on top of this jet amplify as they enter the jet exit region and then break. The role of the QSW1 on the formation of the weak flow conditions that caused the non-linear wave breaking observed near the vortex edge is confirmed by three-dimensional numerical simulations using forcing with and without the contribution of the QSW1.</t>
  </si>
  <si>
    <t>[Moustaoui, M.; Mahalov, A.] Arizona State Univ, Sch Math &amp; Stat Sci, Tempe, AZ 85287 USA; [Teitelbaum, H.] Ecole Normale Super, Meteorol Dynam Lab, F-75231 Paris, France</t>
  </si>
  <si>
    <t>Arizona State University; Arizona State University-Tempe; Sorbonne Universite; Universite PSL; Ecole Normale Superieure (ENS)</t>
  </si>
  <si>
    <t>Moustaoui, M (corresponding author), Arizona State Univ, Sch Math &amp; Stat Sci, Tempe, AZ 85287 USA.</t>
  </si>
  <si>
    <t>mohamed.moustaoui@asu.edu</t>
  </si>
  <si>
    <t>NSF [ATM-0934592, EF 1049251]; Direct For Biological Sciences; Emerging Frontiers [1049251] Funding Source: National Science Foundation; Directorate For Geosciences; Div Atmospheric &amp; Geospace Sciences [0934592] Funding Source: National Science Foundation</t>
  </si>
  <si>
    <t>NSF(National Science Foundation (NSF)); Direct For Biological Sciences; Emerging Frontiers(National Science Foundation (NSF)NSF - Directorate for Biological Sciences (BIO)); Directorate For Geosciences; Div Atmospheric &amp; Geospace Sciences(National Science Foundation (NSF)NSF - Directorate for Geosciences (GEO))</t>
  </si>
  <si>
    <t>This work was partially supported by NSF grants ATM-0934592 and EF 1049251. We are thankful to the ECMWF for the free access to its archived analyses. We also thank the VORCORE team for the balloon data.</t>
  </si>
  <si>
    <t>10.5194/angeo-31-675-2013</t>
  </si>
  <si>
    <t>WOS:000318432600009</t>
  </si>
  <si>
    <t>Simmons, CT; Mysak, LA; Matthews, HD</t>
  </si>
  <si>
    <t>Simmons, Christopher T.; Mysak, Lawrence A.; Matthews, H. Damon</t>
  </si>
  <si>
    <t>Investigation of the Natural Carbon Cycle since 6000 BC using an Intermediate Complexity Model: The Role of Southern Ocean Ventilation and Marine Ice Shelves</t>
  </si>
  <si>
    <t>ATMOSPHERE-OCEAN</t>
  </si>
  <si>
    <t>carbon dioxide; Holocene; Anthropocene; early anthropogenic hypothesis; pre-industrial agriculture; land-use change; global carbon cycle</t>
  </si>
  <si>
    <t>ERA BEGAN THOUSANDS; LAND-USE CHANGE; ATMOSPHERIC CO2; ANTARCTIC ICE; CLIMATE-CHANGE; SEA-ICE; ISOTOPE CONSTRAINTS; INTERGLACIAL CO2; DEEP-SEA; HOLOCENE</t>
  </si>
  <si>
    <t>The mechanisms behind the 20 ppm pre-industrial rise in atmospheric CO2 since 6000 BC have been the focus of considerable debate in recent years. Some studies suggest that natural processes, such as a decline in global forests, calcite compensation, and warming ocean temperatures, can explain the increase in CO2. Others have argued that, because the CO2 increase did not occur during previous interglacial periods, it is an indication of an early human influence on the climate. In this paper, we investigate several facets of the natural carbon cycle of the past 8000 years related to ocean circulation patterns and ice shelf configuration using the University of Victoria Earth System Climate Model (v. 2.9), which includes a representation of the climate system with dynamic vegetation and an interactive carbon cycle. The fully simulated earth system for various freely evolving atmospheric carbon scenarios since 6000 BC failed to recreate the observed rise in CO2 and consistently produced a decline in CO2 throughout the Holocene, in keeping with projections related to previous interglacial periods. However, the extent and timing of the decline was strongly dependent on the initial state of the ocean's meridional overturning circulation and the location of marine ice shelves off the coast of Antarctica. For simulations with ice shelves, carbon-poor North Atlantic Deep Water (NADW) dominated the deep Atlantic basin, with less production of (relatively) carbon-rich deep water from the Southern Ocean. This setup led to lower net ocean carbon storage and thus elevated atmospheric CO2 levels. These deep water distributions, which are relatively independent of orbital forcing and CO2 concentrations but strongly dependent on Antarctic marine ice shelves, suggest that greater ice shelf extent during the Holocene relative to previous interglacial periods (Pollard &amp; DeConto, 2009) may have contributed 5-6 ppm CO2 to the atmosphere. The results from this study also indicate that multi-centennial scale changes in the meridional overturning circulation on the order of 2-3 Sv may lead to quasi-periodic increased atmospheric CO2 concentrations (approximately 6 ppm) through enhanced ventilation of Pacific deep waters.</t>
  </si>
  <si>
    <t>[Simmons, Christopher T.; Mysak, Lawrence A.] McGill Univ, Dept Atmospher &amp; Ocean Sci, Earth Syst Modelling Grp, Montreal, PQ, Canada; [Matthews, H. Damon] Concordia Univ, Dept Geog &amp; Urban Planning, Montreal, PQ, Canada</t>
  </si>
  <si>
    <t>McGill University; Concordia University - Canada</t>
  </si>
  <si>
    <t>Simmons, CT (corresponding author), McGill Univ, Dept Atmospher &amp; Ocean Sci, Earth Syst Modelling Grp, Montreal, PQ, Canada.</t>
  </si>
  <si>
    <t>christophesimmons@gmail.com</t>
  </si>
  <si>
    <t>/AAD-2430-2020</t>
  </si>
  <si>
    <t>/0000-0003-3625-390X</t>
  </si>
  <si>
    <t>Natural Sciences and Engineering Research Council (NSERC); Canadian Foundation for Climate and Atmospheric Sciences (CFCAS) Project Grant</t>
  </si>
  <si>
    <t>Natural Sciences and Engineering Research Council (NSERC)(Natural Sciences and Engineering Research Council of Canada (NSERC)); Canadian Foundation for Climate and Atmospheric Sciences (CFCAS) Project Grant</t>
  </si>
  <si>
    <t>The support of this work by Natural Sciences and Engineering Research Council (NSERC) Discovery Grants awarded to L. A. M and H. D. M. is gratefully acknowledged. H. D. M. is also thankful for the support of a Canadian Foundation for Climate and Atmospheric Sciences (CFCAS) Project Grant for this research. In addition, we readily thank Eric Galbraith, McGill University, for his helpful comments on a draft of this paper and Alex Matveev, Universite du Quebec a Montreal, for contributing to the discussion on soil carbon. The anonymous reviewers are also thanked for their constructive input used to improve this paper.</t>
  </si>
  <si>
    <t>0705-5900</t>
  </si>
  <si>
    <t>1480-9214</t>
  </si>
  <si>
    <t>ATMOS OCEAN</t>
  </si>
  <si>
    <t>Atmos.-Ocean</t>
  </si>
  <si>
    <t>10.1080/07055900.2013.773880</t>
  </si>
  <si>
    <t>133SZ</t>
  </si>
  <si>
    <t>WOS:000318161700005</t>
  </si>
  <si>
    <t>Wienecke, B; Kooyman, G; Le Maho, Y</t>
  </si>
  <si>
    <t>Borboroglu, PG; Boersma, PD</t>
  </si>
  <si>
    <t>Wienecke, Barbara; Kooyman, Gerald; Le Maho, Yvon</t>
  </si>
  <si>
    <t>Emperor Penguin (Aptenodytes forsteri)</t>
  </si>
  <si>
    <t>PENGUINS: NATURAL HISTORY AND CONSERVATION</t>
  </si>
  <si>
    <t>EASTERN WEDDELL SEA; POINTE GEOLOGIE; MOLT; FOOD; ANTARCTICA; LOCATION; COLONIES; CLIMATE; ISLAND; SPACE</t>
  </si>
  <si>
    <t>[Wienecke, Barbara] Australian Antarctic Div, Kingston, Tas 7050, Australia; [Kooyman, Gerald] Univ Calif San Diego, Scripps Inst Oceanog, La Jolla, CA 92093 USA; [Le Maho, Yvon] CNRS UDS, UMR 7178, Inst Pluridisciplinaire Hubert Curien, Dept Ecol Physiol &amp; Ethol, F-67087 Strasbourg 2, France</t>
  </si>
  <si>
    <t>Australian Antarctic Division; University of California System; University of California San Diego; Scripps Institution of Oceanography; Centre National de la Recherche Scientifique (CNRS)</t>
  </si>
  <si>
    <t>Wienecke, B (corresponding author), Australian Antarctic Div, 203 Channel Highway, Kingston, Tas 7050, Australia.</t>
  </si>
  <si>
    <t>Barbara.Wienecke@aad.gov.au</t>
  </si>
  <si>
    <t>UNIV WASHINGTON PRESS</t>
  </si>
  <si>
    <t>SEATTLE</t>
  </si>
  <si>
    <t>SEATTLE, WA 98105 USA</t>
  </si>
  <si>
    <t>978-0-295-99284-6</t>
  </si>
  <si>
    <t>Biodiversity Conservation; Ornithology</t>
  </si>
  <si>
    <t>Biodiversity &amp; Conservation; Zoology</t>
  </si>
  <si>
    <t>BEY62</t>
  </si>
  <si>
    <t>WOS:000318737300002</t>
  </si>
  <si>
    <t>Trathan, PN; Ballard, G</t>
  </si>
  <si>
    <t>Trathan, Phil N.; Ballard, Grant</t>
  </si>
  <si>
    <t>Adelie Penguin (Pygoscelis adeliae)</t>
  </si>
  <si>
    <t>KRILL EUPHAUSIA-SUPERBA; SEA-ICE; CLIMATE-CHANGE; SOUTHERN-OCEAN; CHINSTRAP PENGUINS; WINTER MIGRATION; SIGNY ISLAND; POPULATION-CHANGES; FORAGING BEHAVIOR; MARINE ECOSYSTEM</t>
  </si>
  <si>
    <t>[Trathan, Phil N.] British Antarctic Survey, Cambridge CB3 0ET, England; [Ballard, Grant] PRBO Conservat Sci, Petaluma, CA 94954 USA</t>
  </si>
  <si>
    <t>Trathan, PN (corresponding author), British Antarctic Survey, Madingley Rd, Cambridge CB3 0ET, England.</t>
  </si>
  <si>
    <t>p.trathan@bas.ac.uk</t>
  </si>
  <si>
    <t>WOS:000318737300003</t>
  </si>
  <si>
    <t>Trivelpiece, W; Trivelpiece, S</t>
  </si>
  <si>
    <t>Trivelpiece, Wayne; Trivelpiece, Sue</t>
  </si>
  <si>
    <t>Chinstrap Penguin (Pygoscelis antarctica)</t>
  </si>
  <si>
    <t>KING-GEORGE-ISLAND; KRILL EUPHAUSIA-SUPERBA; SOUTH-SHETLAND ISLANDS; SEA-ICE; CATHARACTA-MACCORMICKI; REPRODUCTIVE SUCCESS; POPULATION-CHANGES; GENTOO PENGUINS; CLIMATE-CHANGE; SIGNY ISLAND</t>
  </si>
  <si>
    <t>[Trivelpiece, Wayne; Trivelpiece, Sue] SW Fisheries Sci Ctr, Antarctic Ecosyst Res Div, La Jolla, CA 92065 USA</t>
  </si>
  <si>
    <t>Trivelpiece, W (corresponding author), SW Fisheries Sci Ctr, Antarctic Ecosyst Res Div, La Jolla, CA 92065 USA.</t>
  </si>
  <si>
    <t>wayne.trivelpiece@noaa.gov</t>
  </si>
  <si>
    <t>WOS:000318737300004</t>
  </si>
  <si>
    <t>Pavlov, AK; Tverberg, V; Ivanov, BV; Nilsen, F; Falk-Petersen, S; Granskog, MA</t>
  </si>
  <si>
    <t>Pavlov, Alexey K.; Tverberg, Vigdis; Ivanov, Boris V.; Nilsen, Frank; Falk-Petersen, Stig; Granskog, Mats A.</t>
  </si>
  <si>
    <t>Warming of Atlantic Water in two west Spitsbergen fjords over the last century (1912-2009)</t>
  </si>
  <si>
    <t>Temperature; West Spitsbergen Current; Atlantic Water; ERA reanalysis; warming; Svalbard</t>
  </si>
  <si>
    <t>ARCTIC-OCEAN; FRAM STRAIT; BARENTS SEA; SVALBARD; KONGSFJORDEN; HEAT; ICE; VARIABILITY; CIRCULATION; MASS</t>
  </si>
  <si>
    <t>The recently observed warming of west Spitsbergen fjords has led to anomalous sea-ice conditions and has implications for the marine ecosystem. We investigated long-term trends of maximum temperature of Atlantic Water (AW) in two west Spitsbergen fjords. The data set is composed of more than 400 oceanographic stations for Isfjorden and Gronfjorden (78.1 degrees N), spanning from 1876 to 2009. Trends throughout the last century (1912-2009) indicate an increase of 1.9 degrees C and 2.1 degrees C in the maximum temperature during autumn for Isfjorden and Gronfjorden, respectively. A recent warming event in the beginning of the 21st century is found to be more than 1 degrees C higher than the second warmest period in the time series. Mean sea-level pressure (MSLP) data from ERA-40 and ERA-Interim data sets produced by the European Centre for Medium-Range Weather Forecasts and mean temperature in the core of the West Spitsbergen Current (WSC) at the Sorkapp Section along 76.3 degrees N were used to explain the variability of the maximum temperature. A correlation analysis confirmed previous findings, showing that variability in the oceanography of the fjords can be explained mainly by two external factors: AW temperature variability in the WSC and regional patterns of the wind stress field. To take both processes into consideration, a multiple regression model accounting for temperature in the WSC core and MSLP over the area was developed. The predicted time series shows a reasonable agreement with observed maxima temperature in Isfjorden for the period 1977-2009 (N = 24), with a statistically significant multiple correlation coefficient of 0.60 (R-2 = 0.36) at P &lt; 0.05.</t>
  </si>
  <si>
    <t>[Pavlov, Alexey K.; Ivanov, Boris V.] Arctic &amp; Antarctic Res Inst, RU-199397 St Petersburg, Russia; [Tverberg, Vigdis; Falk-Petersen, Stig; Granskog, Mats A.] Norwegian Polar Res Inst, Fram Ctr, NO-9296 Tromso, Norway; [Tverberg, Vigdis] Univ Nordland, Fac Biosci &amp; Aquaculture, NO-8049 Bodo, Norway; [Ivanov, Boris V.] St Petersburg State Univ, Dept Oceanol, RU-198178 St Petersburg, Russia; [Nilsen, Frank] Univ Ctr Svalbard, Dept Arctic Geophys, NO-9171 Longyearbyen, Norway; [Nilsen, Frank] Univ Bergen, Inst Geophys, NO-5020 Bergen, Norway; [Falk-Petersen, Stig] Akvaplan Niva, Fram Ctr, NO-9296 Tromso, Norway; [Falk-Petersen, Stig] Univ Tromso, Fac Biosci Fisheries &amp; Econ, NO-9037 Tromso, Norway</t>
  </si>
  <si>
    <t>Norwegian Polar Institute; Nord University; Saint Petersburg State University; University Centre Svalbard (UNIS); University of Bergen; Akvaplan-niva; UiT The Arctic University of Tromso</t>
  </si>
  <si>
    <t>Pavlov, AK (corresponding author), Arctic &amp; Antarctic Res Inst, 38 Bering St, RU-199397 St Petersburg, Russia.</t>
  </si>
  <si>
    <t>pavlov.alexey.k@gmail.com</t>
  </si>
  <si>
    <t>Tverberg, Vigdis/AAC-8801-2021</t>
  </si>
  <si>
    <t>Tverberg, Vigdis/0000-0001-8065-9988; Granskog, Mats/0000-0002-5035-4347; Pavlov, Alexey/0000-0002-1978-5368</t>
  </si>
  <si>
    <t>Research Council of Norway [196211/S30, 202423/V11]; joint AARI-NPI Fram Arctic Climate Research Laboratory</t>
  </si>
  <si>
    <t>Research Council of Norway(Research Council of Norway); joint AARI-NPI Fram Arctic Climate Research Laboratory</t>
  </si>
  <si>
    <t>Oceanographic data were compiled from the ICES oceanographic database (http://www.ices.dk/datacentre/) and the World Data Centre Oceanographic database, Obninsk, Russia. ERA-40 and ERA-Interim data used in this study have been obtained from the European Centre for Medium-Range Weather Forecasts data server (http://data.ecmwf.int/data). Data on WSC hydrography along the Sorkapp Section were kindly provided by the Institute of Marine Research, Norway. This study was partly funded by the Research Council of Norway through grant no. 196211/S30 (Polar Research Programme). The work was finalized during a research stay of AP at the NPI, funded by the Research Council of Norway's Yggdrasil programme 2010-11 (grant no. 202423/V11). AP thanks the joint AARI-NPI Fram Arctic Climate Research Laboratory for financial support. We thank Stephen Hudson (NPI) for valuable comments and discussion. Constructive comments from reviewers aided in significantly improving this manuscript.</t>
  </si>
  <si>
    <t>CO-ACTION PUBLISHING</t>
  </si>
  <si>
    <t>JARFALLA</t>
  </si>
  <si>
    <t>RIPVAGEN 7, JARFALLA, SE-175 64, SWEDEN</t>
  </si>
  <si>
    <t>10.3402/polar.v32i0.11206</t>
  </si>
  <si>
    <t>137ZU</t>
  </si>
  <si>
    <t>WOS:000318478700001</t>
  </si>
  <si>
    <t>Alexander, SP; Murphy, DJ; Klekociuk, AR</t>
  </si>
  <si>
    <t>Alexander, S. P.; Murphy, D. J.; Klekociuk, A. R.</t>
  </si>
  <si>
    <t>High resolution VHF radar measurements of tropopause structure and variability at Davis, Antarctica (69°S, 78°E)</t>
  </si>
  <si>
    <t>STRATOSPHERE-TROPOSPHERE EXCHANGE; POTENTIAL VORTICITY STREAMERS; EXTRATROPICAL TROPOPAUSE; REFRACTIVE-INDEX; INVERSION LAYER; ST-RADAR; HEIGHT; WIND; REFLECTION; GRADIENT</t>
  </si>
  <si>
    <t>Two years of Very High Frequency (VHF) radar echo power observations are used to examine the structure and variability of the tropopause at Davis, Antarctica. Co-located radiosonde and ozonesonde launches provide data with which to calculate the lapse-rate and chemical tropopauses. The radar tropopause, defined as the maximum vertical gradient of echo return power, can be used as a definition of the Antarctic tropopause throughout the year under all meteorological conditions. During the extended summer period of December-April (DJFMA) inclusive, radar tropopauses are (0.2 +/- 0.4) km lower than radiosonde lapse-rate (i.e. the World Meteorological Organisation - WMO) tropopauses and during the extended winter period of June-October (JJASO) inclusive, the radar tropopauses are (0.8 +/- 1.0) km lower. A potential vorticity tropopause is defined as the altitude of the -2 PVU surface (where 1 PVU=10(6) m(2) s(-1) K kg(-1)). This is (0.3 +/- 0.5) km lower than the radar tropopause during DJFMA and (0.5 +/- 1.0) km lower during JJASO. The radar, potential vorticity and ozone tropopauses decrease in altitude during increasingly strong cyclonic conditions, in contrast to the radiosonde WMO tropopause which remains nearly constant. During strong JJASO cyclonic conditions, there are large (several km) differences between WMO tropopause altitudes and radar tropopause altitudes. A seasonal cycle in tropopause fold occurrence is observed, with approximately a three-fold increase during JJASO.</t>
  </si>
  <si>
    <t>[Alexander, S. P.; Murphy, D. J.; Klekociuk, A. R.] Australian Antarctic Div, Kingston, Tas, Australia</t>
  </si>
  <si>
    <t>Alexander, SP (corresponding author), Australian Antarctic Div, Kingston, Tas, Australia.</t>
  </si>
  <si>
    <t>simon.alexander@aad.gov.au</t>
  </si>
  <si>
    <t>Klekociuk, Andrew/A-4498-2015</t>
  </si>
  <si>
    <t>Klekociuk, Andrew/0000-0003-3335-0034; Alexander, Simon/0000-0001-6823-8857; Murphy, Damian/0000-0003-1738-5560</t>
  </si>
  <si>
    <t>Australian Antarctic programme [737, 2325, 3140]</t>
  </si>
  <si>
    <t>Australian Antarctic programme</t>
  </si>
  <si>
    <t>We thank the Davis engineers for their efforts in maintaining the VHF radar and the Bureau of Meteorology staff who launched the radiosondes and ozonesondes. ERA-Interim data were obtained through the ECMWF data server. This research was conducted for projects 737, 2325 and 3140 of the Australian Antarctic programme. The valuable comments of two anonymous reviewers are much appreciated.</t>
  </si>
  <si>
    <t>10.5194/acp-13-3121-2013</t>
  </si>
  <si>
    <t>117NU</t>
  </si>
  <si>
    <t>WOS:000316961000012</t>
  </si>
  <si>
    <t>Huck, PE; Bodeker, GE; Kremser, S; McDonald, AJ; Rex, M; Struthers, H</t>
  </si>
  <si>
    <t>Huck, P. E.; Bodeker, G. E.; Kremser, S.; McDonald, A. J.; Rex, M.; Struthers, H.</t>
  </si>
  <si>
    <t>Semi-empirical models for chlorine activation and ozone depletion in the Antarctic stratosphere: proof of concept</t>
  </si>
  <si>
    <t>CLIMATOLOGY; CHEMISTRY; HOLE</t>
  </si>
  <si>
    <t>Two semi-empirical models were developed for the Antarctic stratosphere to relate the shift of species within total chlorine (Cl-y = HCl + ClONO2 + HOCl + 2 x Cl-2 + 2xCl(2)O(2) + ClO + Cl) into the active forms (here: ClOx = 2xCl(2)O(2) + ClO), and to relate the rate of ozone destruction to ClOx. These two models provide a fast and computationally inexpensive way to describe the inter- and intra-annual evolution of ClOx and ozone mass deficit (OMD) in the Antarctic spring. The models are based on the underlying physics/chemistry of the system and capture the key chemical and physical processes in the Antarctic stratosphere that determine the interaction between climate change and Antarctic ozone depletion. They were developed considering bulk effects of chemical mechanisms for the duration of the Antarctic vortex period and quantities averaged over the vortex area. The model equations were regressed against observations of daytime ClO and OMD providing a set of empirical fit coefficients. Both semi-empirical models are able to explain much of the intra-and inter-annual variability observed in daily ClOx and OMD time series. This proof-of-concept paper outlines the semi-empirical approach to describing the evolution of Antarctic chlorine activation and ozone depletion.</t>
  </si>
  <si>
    <t>[Huck, P. E.; Bodeker, G. E.; Kremser, S.] Bodeker Sci, Alexandra, New Zealand; [McDonald, A. J.] Univ Canterbury, Dept Phys &amp; Astron, Christchurch 1, New Zealand; [Rex, M.] Alfred Wegener Inst, Potsdam, Germany; [Struthers, H.] Stockholm Univ, Dept Appl Environm Sci, S-10691 Stockholm, Sweden; [Struthers, H.] Stockholm Univ, Dept Meteorol, S-10691 Stockholm, Sweden</t>
  </si>
  <si>
    <t>University of Canterbury; Helmholtz Association; Alfred Wegener Institute, Helmholtz Centre for Polar &amp; Marine Research; Stockholm University; Stockholm University</t>
  </si>
  <si>
    <t>Huck, PE (corresponding author), Bodeker Sci, Alexandra, New Zealand.</t>
  </si>
  <si>
    <t>petra@bodekerscientific.com</t>
  </si>
  <si>
    <t>Bodeker, Greg E/A-8870-2008; Rex, Markus/A-6054-2009</t>
  </si>
  <si>
    <t>Rex, Markus/0000-0001-7847-8221; Bodeker, Gregory/0000-0003-1094-5852; McDonald, Adrian/0000-0002-1456-6254; /0000-0002-3573-7083</t>
  </si>
  <si>
    <t>DFG (Deutsche Forschungsgemeinschaft); Marsden Fund Council from Government funding</t>
  </si>
  <si>
    <t>DFG (Deutsche Forschungsgemeinschaft)(German Research Foundation (DFG)); Marsden Fund Council from Government funding(Royal Society of New ZealandMarsden Fund (NZ))</t>
  </si>
  <si>
    <t>This work was supported by the DFG (Deutsche Forschungsgemeinschaft) and by the Marsden Fund Council from Government funding, administered by the Royal Society of New Zealand. NCEP/NCAR reanalyses were provided by the NOAA-CIRES Climate Diagnostics Center, Boulder, Colorado, USA, from their Web site at http://www.cdc.noaa.gov/. We would like to thank Michelle Santee for providing the MLS data and for detailed comments and suggestions on the manuscript.</t>
  </si>
  <si>
    <t>10.5194/acp-13-3237-2013</t>
  </si>
  <si>
    <t>WOS:000316961000020</t>
  </si>
  <si>
    <t>Hauck, J; Arrigo, KR; Hoppema, M; van Dijken, GL; Völker, C; Wolf-Gladrow, DA</t>
  </si>
  <si>
    <t>Hauck, J.; Arrigo, K. R.; Hoppema, M.; van Dijken, G. L.; Voelker, C.; Wolf-Gladrow, D. A.</t>
  </si>
  <si>
    <t>Insignificant buffering capacity of Antarctic shelf carbonates</t>
  </si>
  <si>
    <t>GLOBAL BIOGEOCHEMICAL CYCLES</t>
  </si>
  <si>
    <t>SOUTHERN-OCEAN; DISSOLUTION KINETICS; PARTICLE FLUXES; VERTICAL FLUX; ACIDIFICATION; SEA; SEDIMENTS; EXPORT; PACIFIC; CALCITE</t>
  </si>
  <si>
    <t>We combined data sets of measured sedimentary calcium carbonate (CaCO3) and satellite-derived pelagic primary production to parameterize the relation between CaCO3 content on the Antarctic shelves and primary production in the overlying water column. CaCO3 content predicted in this way was in good agreement with the measured data. The parameterization was then used to chart CaCO3 content on the Antarctic shelves all around the Antarctic, using the satellite-derived primary production. The total inventory of CaCO3 in the bioturbated layer of Antarctic shelf sediments was estimated to be 0.5 Pg C. This quantity is comparable to the total CO2 uptake by the Southern Ocean in only one to a few years (dependent on the uptake estimate and area considered), indicating that the dissolution of these carbonates will neither delay ocean acidification in this area nor augment the Southern Ocean CO2 uptake capacity.</t>
  </si>
  <si>
    <t>[Hauck, J.; Hoppema, M.; Voelker, C.; Wolf-Gladrow, D. A.] Alfred Wegener Inst Polar &amp; Marine Res, D-27515 Bremerhaven, Germany; [Arrigo, K. R.; van Dijken, G. L.] Stanford Univ, Dept Environm Earth Syst Sci, Stanford, CA 94305 USA</t>
  </si>
  <si>
    <t>Helmholtz Association; Alfred Wegener Institute, Helmholtz Centre for Polar &amp; Marine Research; Stanford University</t>
  </si>
  <si>
    <t>Hauck, J (corresponding author), Alfred Wegener Inst Polar &amp; Marine Res, Postfach 12 01 61, D-27515 Bremerhaven, Germany.</t>
  </si>
  <si>
    <t>judith.hauck@awi.de</t>
  </si>
  <si>
    <t>Hauck, Judith/AAC-3967-2019; Van Dijken, Gert L/C-5276-2011; Voelker, Christoph/I-7891-2012; Hoppema, Mario/I-6286-2013</t>
  </si>
  <si>
    <t>Hauck, Judith/0000-0003-4723-9652; Voelker, Christoph/0000-0003-3032-114X; Hoppema, Mario/0000-0002-2326-619X; Arrigo, Kevin/0000-0002-7364-876X; Wolf-Gladrow, Dieter/0000-0001-9531-8668; Van Dijken, Gert/0000-0002-9587-6317</t>
  </si>
  <si>
    <t>Federal Ministry of Education and Research (BMBF) [FKZ 03F0608B]</t>
  </si>
  <si>
    <t>Federal Ministry of Education and Research (BMBF)(Federal Ministry of Education &amp; Research (BMBF))</t>
  </si>
  <si>
    <t>This article is a contribution to the German project Biological Impacts of Ocean Acidification (BIOACID), funded by the Federal Ministry of Education and Research (BMBF, FKZ 03F0608B).</t>
  </si>
  <si>
    <t>0886-6236</t>
  </si>
  <si>
    <t>1944-9224</t>
  </si>
  <si>
    <t>GLOBAL BIOGEOCHEM CY</t>
  </si>
  <si>
    <t>Glob. Biogeochem. Cycle</t>
  </si>
  <si>
    <t>10.1029/2011GB004211</t>
  </si>
  <si>
    <t>Environmental Sciences; Geosciences, Multidisciplinary; Meteorology &amp; Atmospheric Sciences</t>
  </si>
  <si>
    <t>Environmental Sciences &amp; Ecology; Geology; Meteorology &amp; Atmospheric Sciences</t>
  </si>
  <si>
    <t>135GB</t>
  </si>
  <si>
    <t>Green Accepted, Green Published</t>
  </si>
  <si>
    <t>WOS:000318275300002</t>
  </si>
  <si>
    <t>Gutt, J; Böhmer, A; Dimmler, W</t>
  </si>
  <si>
    <t>Gutt, Julian; Boehmer, Astrid; Dimmler, Werner</t>
  </si>
  <si>
    <t>Antarctic sponge spicule mats shape macrobenthic diversity and act as a silicon trap</t>
  </si>
  <si>
    <t>Macro-epibenthos; Mega-epibenthos; Disturbance; Iceberg; Global marine silicon cycle</t>
  </si>
  <si>
    <t>WEDDELL SEA; CONTINENTAL-SHELF; BRITISH-COLUMBIA; BENTHIC COMMUNITIES; MCMURDO-SOUND; REEFS; DISTURBANCE; IMPACT; OCEAN; BIODIVERSITY</t>
  </si>
  <si>
    <t>Sponge spicule sea-bed cover was analysed and related to the mega- and macro-epibenthos along one video-recorded and one still image sea-bed transect in the southeastern Weddell Sea, Antarctica. The origin of the patterns of spicule mats and their associated fauna was conceptually reconstructed and interpreted to be a result of iceberg scouring as the main driver. Spicule beds were not necessarily correlated with a diverse fauna, which was shown by a comparison of sponge spicule cover and macrobenthic and megabenthic abundance and biodiversity. On the one hand, this result might reflect slow recolonisation processes, especially by the megabenthos. On the other hand, local maximum densities of adult sponges were found where spicule cover was highest. A simple numerical model revealed that biogenic silicon converted from living to dead material by iceberg scouring accounts for 0.69% of the global silicon flux to the deep sea, which originates from primary production. However, the sponge-derived silicon sequestration occurs over only 2.4 parts per thousand area of the global ocean. On the Antarctic continental shelf, flux rates of silicon that originated from primary production are similar to or twice as high as silicon sequestration due to iceberg-induced sponge mass mortality.</t>
  </si>
  <si>
    <t>[Gutt, Julian; Boehmer, Astrid] Alfred Wegener Inst Polar &amp; Marine Res, D-27568 Bremerhaven, Germany; [Boehmer, Astrid] Carl von Ossietzky Univ Oldenburg, Inst Biol &amp; Umweltwissensch, D-26129 Oldenburg, Germany; [Dimmler, Werner] Fielax Gesell Wissenschaftliche Datenverarbeitung, D-27568 Bremerhaven, Germany</t>
  </si>
  <si>
    <t>Helmholtz Association; Alfred Wegener Institute, Helmholtz Centre for Polar &amp; Marine Research; Carl von Ossietzky Universitat Oldenburg</t>
  </si>
  <si>
    <t>Gutt, J (corresponding author), Alfred Wegener Inst Polar &amp; Marine Res, D-27568 Bremerhaven, Germany.</t>
  </si>
  <si>
    <t>julian.gutt@awi.de</t>
  </si>
  <si>
    <t>Gutt, Julian/0000-0003-3773-9370</t>
  </si>
  <si>
    <t>10.3354/meps10226</t>
  </si>
  <si>
    <t>130RT</t>
  </si>
  <si>
    <t>WOS:000317937600004</t>
  </si>
  <si>
    <t>Taylor, MH; Losch, M; Bracher, A</t>
  </si>
  <si>
    <t>Taylor, Marc H.; Losch, Martin; Bracher, Astrid</t>
  </si>
  <si>
    <t>On the drivers of phytoplankton blooms in the Antarctic marginal ice zone: A modeling approach</t>
  </si>
  <si>
    <t>JOURNAL OF GEOPHYSICAL RESEARCH-OCEANS</t>
  </si>
  <si>
    <t>KRILL EUPHAUSIA-SUPERBA; A MAXIMA DCMS; SEA-ICE; WEDDELL SEA; ATLANTIC SECTOR; SOUTHERN-OCEAN; MARINE PRIMARY; ROSS SEA; DYNAMICS; IRON</t>
  </si>
  <si>
    <t>The pelagic province of the Southern Ocean generally has low levels of primary production attributable to a short growing season in the higher latitudes, a deep mixed layer, and iron limitation. Exceptions include phytoplankton blooms in the marginal ice zone (MIZ) during spring and summer sea-ice retreat. The prevailing hypothesis as to the drivers of the blooms is that sea-ice retreat increases the vertical stability of the water column through the production of melt water and provides shelter from wind mixing in areas of partial sea-ice coverage. These conditions are favorable to phytoplankton growth by allowing them to maintain their position in the upper reaches of the water column. This work investigates the drivers of MIZ blooms using a biochemically coupled global circulation model. Results support the hypothesis in that physical conditions related to a shallow, vertically stable water column (e. g., mixed layer depth and available light) were the most significant predictors of bloom dynamics, while nutrient limitation was of lesser importance. We estimate that MIZ blooms account for 15% of yearly net primary production in the Southern Ocean and that the earlier phases of the MIZ bloom, occurring under partial ice coverage and invisible to remote sensing, account for about two thirds of this production. MIZ blooms were not found to enhance depth-integrated net primary production when compared to similar ecological provinces outside of the MIZ, although the elevated phytoplankton concentrations in surface waters are hypothesized to provide important feeding habitats for grazing organisms such as krill.</t>
  </si>
  <si>
    <t>[Taylor, Marc H.; Losch, Martin; Bracher, Astrid] Alfred Wegener Inst Polar &amp; Marine Res, D-27515 Bremerhaven, Germany; [Bracher, Astrid] Univ Bremen, Inst Environm Phys, D-28359 Bremen, Germany</t>
  </si>
  <si>
    <t>Helmholtz Association; Alfred Wegener Institute, Helmholtz Centre for Polar &amp; Marine Research; University of Bremen</t>
  </si>
  <si>
    <t>Taylor, MH (corresponding author), Alfred Wegener Inst Polar &amp; Marine Res, POB 120161, D-27515 Bremerhaven, Germany.</t>
  </si>
  <si>
    <t>marchtaylor@yahoo.com</t>
  </si>
  <si>
    <t>Taylor, Marc/IRZ-2938-2023; Bracher, Astrid/B-7805-2013; Taylor, Marc/AAI-6598-2021; Bracher, Astrid/I-2672-2013; Losch, Martin/S-5896-2016</t>
  </si>
  <si>
    <t>Taylor, Marc/0000-0001-9730-6994; Bracher, Astrid/0000-0003-3025-5517; Losch, Martin/0000-0002-3824-5244</t>
  </si>
  <si>
    <t>German Research Foundation [LO-1143/6]; Helmholtz-Gemeinschaft Deutscher Forschungszentren e.V. (HGF) Innovative Fund</t>
  </si>
  <si>
    <t>German Research Foundation(German Research Foundation (DFG)); Helmholtz-Gemeinschaft Deutscher Forschungszentren e.V. (HGF) Innovative Fund</t>
  </si>
  <si>
    <t>The authors are grateful to the German Research Foundation for funding of the project (ID: LO-1143/6). A. B. would also like to acknowledge funding from the Helmholtz-Gemeinschaft Deutscher Forschungszentren e.V. (HGF) Innovative Fund for support of the Phytooptics project. The authors thank the following people for their assistance during the study: Bank Beszteri, Tilman Dinter, Stephan Frickenhaus, Judith Hauck, Frank Kauker, Bettina Meyer, Cyril Piou, and Christoph Volker. Special thanks to Jill Schwarz for initiation of the project idea.</t>
  </si>
  <si>
    <t>2169-9275</t>
  </si>
  <si>
    <t>2169-9291</t>
  </si>
  <si>
    <t>J GEOPHYS RES-OCEANS</t>
  </si>
  <si>
    <t>J. Geophys. Res.-Oceans</t>
  </si>
  <si>
    <t>10.1029/2012JC008418</t>
  </si>
  <si>
    <t>129JU</t>
  </si>
  <si>
    <t>WOS:000317836100005</t>
  </si>
  <si>
    <t>Ferrari, R; Provost, C; Sennéchael, N; Lee, JH</t>
  </si>
  <si>
    <t>Ferrari, Ramiro; Provost, Christine; Sennechael, Nathalie; Lee, Jae-Hak</t>
  </si>
  <si>
    <t>Circulation in Drake Passage revisited using new current time series and satellite altimetry: 2. The Ona Basin</t>
  </si>
  <si>
    <t>ANTARCTIC CIRCUMPOLAR CURRENT; MOORING MOTION; TEMPERATURE; FRONTS; OCEANS</t>
  </si>
  <si>
    <t>Time series of horizontal velocities were obtained at four mooring sites across the Ona Basin, southern Drake Passage, during 26 months (February 2006 toApril 2008). The moorings were located under the Jason satellite ground-track #104, allowing precise comparisons with various other altimetry products. Velocities as high as 0.5 ms(-1) at 500 m depth were observed during current pulses. Mean velocity amplitudes at 500 m reached 0.22 ms(-1) at 58.5 degrees S and 0.15 ms(-1) at 60 degrees S, but were smaller at 59 degrees S and 60.5 degrees S. Mean velocities at 2500 m depth varied between 0.05 and 0.10 ms(-1) and were westward on two of the moorings, suggesting recirculation in the center of the basin. Mean velocities were consistent with a general cyclonic circulation in the Ona Basin. The mean velocity vectors were observed to rotate with depth, the sense of rotation depending upon mooring sites. Standard deviation ellipses were close to circular except on the continental slope (60.5 degrees S) where they were stretched in the direction of isobaths. The southernmost mooring was under sea ice in winter, and velocity variations were reduced in amplitude during that period. The horizontal velocities were highly coherent in the vertical. Altimetrically derived surface geostrophic velocities compared well with the in situ velocities and were used to investigate further the flow over the West Scotia Ridge and in the center of the Ona Basin to the East of the highest part of the Shackleton Ridge, which provides some shelter from the eastward flowing Antarctic Circumpolar Current.</t>
  </si>
  <si>
    <t>[Ferrari, Ramiro; Provost, Christine; Sennechael, Nathalie] Univ Paris 06, CNRS, LOCEAN, MNHN,IRD,UMR 7159, Paris, France; [Lee, Jae-Hak] KORDI, Seoul, South Korea</t>
  </si>
  <si>
    <t>Institut de Recherche pour le Developpement (IRD); Museum National d'Histoire Naturelle (MNHN); Sorbonne Universite; Centre National de la Recherche Scientifique (CNRS); CNRS - National Institute for Earth Sciences &amp; Astronomy (INSU)</t>
  </si>
  <si>
    <t>Ferrari, R (corresponding author), LOCEAN, T 45-46,5E,4 Pl Jussieu, F-75252 Paris 05, France.</t>
  </si>
  <si>
    <t>rflod@locean-ipsl.upmc.fr</t>
  </si>
  <si>
    <t>Provost, Christine/0000-0003-4693-3685</t>
  </si>
  <si>
    <t>CNES (Centre National d'Etudes Spatiales); CNRS-INSU (Institut des Sciences de l'Univers) through the LEFE/IDAO program; Korea Meteorological Administration Research and Development Program [CATER 2008-4209]; INEE (Institut National de l'Environnement et de l'Ecologie) Ph.D. scholarship</t>
  </si>
  <si>
    <t>CNES (Centre National d'Etudes Spatiales)(Centre National D'etudes Spatiales); CNRS-INSU (Institut des Sciences de l'Univers) through the LEFE/IDAO program; Korea Meteorological Administration Research and Development Program(Korea Meteorological Administration (KMA)); INEE (Institut National de l'Environnement et de l'Ecologie) Ph.D. scholarship</t>
  </si>
  <si>
    <t>We are deeply grateful to the captains and crews of the R/V Polarstern for their help and for creating excellent work conditions during the DRAKE cruises, and to Eberhard Fahrbach (AWI) for his support. Financial support was provided both by the CNES (Centre National d'Etudes Spatiales) and by CNRS-INSU (Institut des Sciences de l'Univers) through the LEFE/IDAO program. J.H. Lee was supported by the Korea Meteorological Administration Research and Development Program under Grant CATER 2008-4209. R. Ferrari acknowledges an INEE (Institut National de l'Environnement et de l'Ecologie) Ph.D. scholarship. We also thank Ray C. Griffiths for his valuable comments on the manuscript.</t>
  </si>
  <si>
    <t>10.1029/2012JC008193</t>
  </si>
  <si>
    <t>WOS:000317836100011</t>
  </si>
  <si>
    <t>Pineault, S; Tremblay, JÉ; Gosselin, M; Thomas, H; Shadwick, E</t>
  </si>
  <si>
    <t>Pineault, Simon; Tremblay, Jean-Eric; Gosselin, Michel; Thomas, Helmuth; Shadwick, Elizabeth</t>
  </si>
  <si>
    <t>The isotopic signature of particulate organic C and N in bottom ice: Key influencing factors and applications for tracing the fate of ice-algae in the Arctic Ocean</t>
  </si>
  <si>
    <t>SOUTHEASTERN HUDSON-BAY; SEA-ICE; MACKENZIE SHELF; GROWTH-RATE; INORGANIC NUTRIENTS; CALANUS-GLACIALIS; CO2 CONCENTRATION; STABLE-ISOTOPES; BARROW STRAIT; BEAUFORT SEA</t>
  </si>
  <si>
    <t>The isotopic, taxonomic, and nutrient dynamics of protist communities at the bottom of first-year sea ice were studied for a wide range of ice conditions during the spring-summer transition in the southeast Beaufort Sea. In bottom ice, total protist abundance ranged from 0.07 to 9.94 x 10(9) cells m(-2) and chlorophyll a biomass ranged from 0.33 to 110 mg m(-2). Both variables were positively related to the concentrations of nitrate, silicic acid, and phosphate at the ice-water interface, with r(2) values between 0.63 and 0.79. Results showed that the delta C-13 of sympagic (ice-associated) particulate organic matter (POM) (-27.1 to -11.4 parts per thousand) was mainly influenced by ice protist stocks and dissolved inorganic carbon availability. Flagellated cells maintained a low delta C-13 relative to diatoms. The delta N-15 of POM (3.9 to 9.4 parts per thousand) could not be explained by any of the variables considered and showed considerable overlap with the pelagic delta N-15-POM (0.0 to 10.3 parts per thousand). Detailed analyses of delta C-13-POM through size fractionation and settling experiments along with a short temporal study of the interaction between sympagic and pelagic communities confirmed or demonstrated that (1) the analysis of stable C isotopes is a valuable tool to trace the flow of ice-derived matter, (2) sympagic POM contributes substantially to suspended pelagic biomass during release episodes, and (3) ice-grown autotrophic flagellated cells have a strong potential to interact with the pelagic biota in the coastal Arctic Ocean. This study highlights the need to carefully evaluate stable isotope dynamics before assessing food web interactions or the fate of POM in seasonally ice-covered waters.</t>
  </si>
  <si>
    <t>[Pineault, Simon; Tremblay, Jean-Eric] Univ Laval, Dept Biol, Quebec City, PQ G1V OA6, Canada; [Gosselin, Michel] Univ Quebec, Inst Sci Rimouski ISMER, Rimouski, PQ G5L 3A1, Canada; [Thomas, Helmuth] Dalhousie Univ, Dept Oceanog, Halifax, NS, Canada; [Shadwick, Elizabeth] Univ Tasmania, Antarctic Climate &amp; Ecosyst Cooperat Res Ctr, Hobart, Tas, Australia</t>
  </si>
  <si>
    <t>Laval University; University of Quebec; Dalhousie University; Antarctic Climate &amp; Ecosystems Cooperative Research Centre (ACE CRC); University of Tasmania</t>
  </si>
  <si>
    <t>Pineault, S (corresponding author), Univ Laval, Dept Biol, Pavillon Vachon, Quebec City, PQ G1V OA6, Canada.</t>
  </si>
  <si>
    <t>simon.pineault.1@ulaval.ca</t>
  </si>
  <si>
    <t>Gosselin, Michel/B-4477-2014</t>
  </si>
  <si>
    <t>Gosselin, Michel/0000-0002-1044-0793; Shadwick, Elizabeth/0000-0003-4008-3333</t>
  </si>
  <si>
    <t>Canadian Network Center of Excellence ArcticNet; FRQ_NT strategic group Quebec-Ocean; International Polar Year-Circumpolar Flaw Lead system study; Canadian IPY Federal program office; Natural Sciences and Engineering Research Council of Canada</t>
  </si>
  <si>
    <t>Canadian Network Center of Excellence ArcticNet; FRQ_NT strategic group Quebec-Ocean; International Polar Year-Circumpolar Flaw Lead system study; Canadian IPY Federal program office; Natural Sciences and Engineering Research Council of Canada(Natural Sciences and Engineering Research Council of Canada (NSERC)CGIAR)</t>
  </si>
  <si>
    <t>This work was supported by the Canadian Network Center of Excellence ArcticNet, the FRQ_NT strategic group Quebec-Ocean and the International Polar Year-Circumpolar Flaw Lead system study, which was funded by the Canadian IPY Federal program office and the Natural Sciences and Engineering Research Council of Canada. We thank the officers and crew of the CCGS Amundsen as well as J. Gagnon, J. Martin, B. Philippe, M. Poulin, M. Ardyna, C. J. Mundy, M. Levasseur, C. Lacoste, C. Nozais, H. Xie, V. Lago, C. Aubry, R. Lang, and M. Bergeron for their assistance in the field and the laboratory.</t>
  </si>
  <si>
    <t>10.1029/2012JC008331</t>
  </si>
  <si>
    <t>WOS:000317836100020</t>
  </si>
  <si>
    <t>Bauch, D; Hölemann, JA; Nikulina, A; Wegner, C; Janout, MA; Timokhov, LA; Kassens, H</t>
  </si>
  <si>
    <t>Bauch, Dorothea; Hoelemann, Jens A.; Nikulina, Anna; Wegner, Carolyn; Janout, Markus A.; Timokhov, Leonid A.; Kassens, Heidemarie</t>
  </si>
  <si>
    <t>Correlation of river water and local sea-ice melting on the Laptev Sea shelf (Siberian Arctic)</t>
  </si>
  <si>
    <t>FRESH-WATER; OCEAN; RUNOFF; STRAIT; HYDROGRAPHY; VARIABILITY; TRANSPORT; HALOCLINE; DISCHARGE; ISOTOPES</t>
  </si>
  <si>
    <t>Hydrographic and stable isotope (delta O-18) data from four summer surveys in the Laptev Sea are used to derive fractions of sea-ice meltwater and river water. Sea-ice meltwater fractions are found to be correlated to river water fractions. While initial heat of river discharge is too small to melt the observed 0-158 km(3) of sea-ice meltwater, arctic rivers contain suspended particles and colored dissolved organic material that preferentially absorb solar radiation. Accordingly, heat content in surface waters is correlated to river water fractions. But in years when river water is largely absent within the surface layer, absolute heat content values increase to considerably higher values with extended exposure time to solar radiation and sensible heat. Nevertheless, no net sea-ice melting is observed on the shelf in years when river water is largely absent within the surface layer. The total freshwater volume of the central-eastern Laptev Sea (72-76 degrees N, 122-140 degrees E) varies between similar to 1000 and 1500 km(3) (34.92 reference salinity). It is dominated by varying river water volumes (similar to 1300-1800 km(3)) reduced by an about constant freshwater deficit (similar to 350-400 km(3)) related to sea-ice formation. Net sea-ice melt (similar to 109-158 km(3)) is only present in years with high river water budgets. Intermediate to bottom layer (&gt;25 salinities) contain similar to 60% and 30% of the river budget in years with low and high river budgets, respectively. The average mean residence time of shelf waters was similar to 2-3 years during 2007-2009. Citation: Bauch, D., J. A. Holemann, A. Nikulina, C. Wegner, M. A. Janout, L. A. Timokhov, and H. Kassens (2013), Correlation of river water and local sea-ice melting on the Laptev Sea shelf (Siberian Arctic), J. Geophys. Res. Oceans, 118, 550-561, doi:10.1002/jgrc.20076.</t>
  </si>
  <si>
    <t>[Bauch, Dorothea; Nikulina, Anna; Wegner, Carolyn; Kassens, Heidemarie] GEOMAR Helmholtz Ctr Ocean Res Kiel, D-24148 Kiel, Germany; [Bauch, Dorothea; Nikulina, Anna] GEOMAR, Acad Mainz, Kiel, Germany; [Hoelemann, Jens A.; Janout, Markus A.] Alfred Wegener Inst Polar &amp; Marine Res, Bremerhaven, Germany; [Timokhov, Leonid A.] Arctic &amp; Antarctic Res Inst, St Petersburg 199226, Russia</t>
  </si>
  <si>
    <t>Helmholtz Association; GEOMAR Helmholtz Center for Ocean Research Kiel; Helmholtz Association; GEOMAR Helmholtz Center for Ocean Research Kiel; Helmholtz Association; Alfred Wegener Institute, Helmholtz Centre for Polar &amp; Marine Research; Arctic &amp; Antarctic Research Institute</t>
  </si>
  <si>
    <t>Bauch, D (corresponding author), GEOMAR Helmholtz Ctr Ocean Res Kiel, Wischhofstr 1-3, D-24148 Kiel, Germany.</t>
  </si>
  <si>
    <t>dbauch@geomar.de</t>
  </si>
  <si>
    <t>Janout, Markus/AAI-7219-2020; Hoelemann, Jens/N-3608-2016</t>
  </si>
  <si>
    <t>Hoelemann, Jens/0000-0001-5102-4086; Janout, Markus/0000-0003-4908-2855</t>
  </si>
  <si>
    <t>BMBF [03G0639D]; Arctic and Antarctic Research Institute (AARI); Russian Ministry of Education and Science</t>
  </si>
  <si>
    <t>BMBF(Federal Ministry of Education &amp; Research (BMBF)); Arctic and Antarctic Research Institute (AARI); Russian Ministry of Education and Science(Ministry of Education and Science, Russian Federation)</t>
  </si>
  <si>
    <t>We are grateful to all of our Russian and German colleagues who made it possible to successfully conduct the extensive fieldwork program in the Laptev Sea. The help of our colleagues from the Otto Schmidt Laboratory for Polar and Marine Research (OSL) is gratefully acknowledged. We also thank Kelly Falkner and one anonymous reviewer for their helpful comments. Figures were generated using ODV [Schlitzer, 2001] and the GMT mapping tool [Wessel and Smith, 1998]. This work was part of the German-Russian cooperation System Laptev Sea funded by the BMBF under grant 03G0639D, the Arctic and Antarctic Research Institute (AARI) as well as the Russian Ministry of Education and Science.</t>
  </si>
  <si>
    <t>10.1002/jgrc.20076</t>
  </si>
  <si>
    <t>Bronze, Green Published, Green Accepted</t>
  </si>
  <si>
    <t>WOS:000317836100038</t>
  </si>
  <si>
    <t>Zhou, C; Yang, GB; Ni, BB; Zhao, ZY; Hu, ZJ; Shi, R</t>
  </si>
  <si>
    <t>Zhou, Chen; Yang, Guobin; Ni, Binbin; Zhao, Zhengyu; Hu, Ze-jun; Shi, Run</t>
  </si>
  <si>
    <t>Strong diffusion limit in the realistic magnetosphere: Dependence on geomagnetic condition and spatial location</t>
  </si>
  <si>
    <t>JOURNAL OF GEOPHYSICAL RESEARCH-SPACE PHYSICS</t>
  </si>
  <si>
    <t>RADIATION BELT ELECTRONS; PITCH-ANGLE DIFFUSION; ION-CYCLOTRON WAVES; DAWN-DUSK ASYMMETRY; RELATIVISTIC ELECTRONS; MAGNETIC-FIELD; INNER MAGNETOSPHERE; RESONANT DIFFUSION; CHORUS WAVES; ACCELERATION</t>
  </si>
  <si>
    <t>As an essential concept of resonant wave-particle interactions, the strong diffusion limit D-SD is an important variable to explore the efficiency of wave-induced pitch angle scattering for particle precipitation loss to the atmosphere. Determined by the size of equatorial loss cone on a given field line and the bounce period at a given energy, the value of D-SD sets a lower limit to the precipitation timescale for loss cone filling, regardless of the strength of wave-particle interactions. However, no efforts have ever been made to evaluate D-SD in the realistic magnetosphere considering the impact of various geomagnetic activities. To perform a systematic exploration of the dependence of D-SD on geomagnetic condition, spatial location, and global magnetic field model, we have numerically computed D-SD using the dipolar and non-dipolar Tsyganenko magnetic field models under three representative (quiet, moderate, and active) geomagnetic conditions. Use of more realistic Tsyganenko magnetic field models introduces non-negligible or considerable differences in D-SD magnitude from that obtained using a dipolar field. The difference can be over an order of magnitude at the field lines with equatorial crossings &gt;= 6 Re during geomagnetically disturbed times. We also report that in the realistic magnetosphere both D-SD magnitude and its variations have a strong dependence on the spatial location. Computed D-SD shows the maximum tending to occur on the dayside (MLT = 12 and 16) and the minimum D-SD more likely to occur at MLT=00. Compared to the dipolar results, largest deviation in D-SD occurs for MLT=00, 04, and 20, while D-SD variations on the dayside are relatively small. Our results demonstrate that accurate evaluation of D-SD besides scattering rates in the realistic magnetosphere, especially at high spatial locations and under geomagnetically disturbed conditions for which a dipolar approximation fails, can make an important contribution to quantifying the wave effect on particle resonant diffusion, which should be incorporated into future modeling efforts for comprehending the role of resonant wave-particle interactions and the dynamics of magnetospheric electrons under a variety of geomagnetic conditions. Citation: Zhou, C., G. Yang, B. Ni, Z. Zhao, Z. Hu, and R. Shi (2013), Strong diffusion limit in the realistic magnetosphere: Dependence on geomagnetic condition and spatial location, J. Geophys. Res. Space Physics, 118, 118-131, doi:10.1029/2012JA018207.</t>
  </si>
  <si>
    <t>[Zhou, Chen; Yang, Guobin; Zhao, Zhengyu] Wuhan Univ, Dept Space Phys, Sch Elect Informat, Wuhan 430072, Hubei, Peoples R China; [Ni, Binbin] Univ Calif Los Angeles, Dept Atmospher &amp; Ocean Sci, Los Angeles, CA USA; [Hu, Ze-jun; Shi, Run] Polar Res Inst China, SOA Key Lab Polar Sci, Shanghai, Peoples R China</t>
  </si>
  <si>
    <t>Wuhan University; University of California System; University of California Los Angeles; Polar Research Institute of China</t>
  </si>
  <si>
    <t>Zhou, C (corresponding author), Wuhan Univ, Dept Space Phys, Sch Elect Informat, Wuhan 430072, Hubei, Peoples R China.</t>
  </si>
  <si>
    <t>chen.zhou.whu@gmail.com</t>
  </si>
  <si>
    <t>Ni, Binbin/I-5244-2013; Hu, Ze-Jun/X-8090-2019</t>
  </si>
  <si>
    <t>Hu, Ze-Jun/0000-0003-2448-2094</t>
  </si>
  <si>
    <t>National Natural Science Foundation of China [41004061]; NASA [NNX12AD12G]; Chinese Arctic and Antarctic Administration [IC201205]; NASA [NNX12AD12G, 52875] Funding Source: Federal RePORTER</t>
  </si>
  <si>
    <t>National Natural Science Foundation of China(National Natural Science Foundation of China (NSFC)); NASA(National Aeronautics &amp; Space Administration (NASA)); Chinese Arctic and Antarctic Administration; NASA(National Aeronautics &amp; Space Administration (NASA))</t>
  </si>
  <si>
    <t>This work is supported by the National Natural Science Foundation of China (41004061). BN acknowledges the support by NASA grant NNX12AD12G. ZH acknowledges the support by the Chinese Arctic and Antarctic Administration (grant IC201205). The authors also thank the developers of the ONERA-DESP library.</t>
  </si>
  <si>
    <t>2169-9380</t>
  </si>
  <si>
    <t>2169-9402</t>
  </si>
  <si>
    <t>J GEOPHYS RES-SPACE</t>
  </si>
  <si>
    <t>J. Geophys. Res-Space Phys.</t>
  </si>
  <si>
    <t>10.1029/2012JA018207</t>
  </si>
  <si>
    <t>129RC</t>
  </si>
  <si>
    <t>WOS:000317858600012</t>
  </si>
  <si>
    <t>Khanaeva, TA; Suslova, MY; Zemskaya, TI; Molodin, VI; Pilipenko, AS; Parzinger, G</t>
  </si>
  <si>
    <t>Khanaeva, T. A.; Suslova, M. Yu.; Zemskaya, T. I.; Molodin, V. I.; Pilipenko, A. S.; Parzinger, G.</t>
  </si>
  <si>
    <t>Microbial Diversity in the Samples from Archeological Complexes of the Pazyryk Culture (IV- III Centuries BC) in Northwestern Mongolia</t>
  </si>
  <si>
    <t>MICROBIOLOGY</t>
  </si>
  <si>
    <t>prokaryotes; isolates; Mongolian Altai; cloning; phylogenetic analysis</t>
  </si>
  <si>
    <t>SIBERIAN PERMAFROST; BIODIVERSITY; COMMUNITY; BACTERIA</t>
  </si>
  <si>
    <t>Prokaryotes were analyzed in the samples of ice and soils collected by the joint Russian-German-Mongolian expedition (2006) at the site of archeological excavations of two Pazyryk culture mounds in the upper Olon-Kurin-Gol River on the southern slope of the Saylyugem Mountains, Mongolian Altai. Phylogenetic analysis of the 16S rRNA gene fragments of the cultured bacteria revealed three major groups wide-spread in permafrost soils: Firmicutes, Actinobacteria, and Gammaproteobacteria. Analysis of the total DNA from the samples revealed nonculturable bacteria of the phyla Alphaproteobacteria, Gammaproteobacteria, Deltaproteobacteria, Actinobacteria, Chloroflexi, Gemmatoidetes, Firmicutes, and CFB (Cytophaga-Flavobacteria-Bacteroidetes) isolated from the samples of permafrost soils (Arctic, tundra, and from Tibet highlands), groundwater, and Arctic and Antarctic ice cores.</t>
  </si>
  <si>
    <t>[Khanaeva, T. A.; Suslova, M. Yu.; Zemskaya, T. I.] Russian Acad Sci, Siberian Branch, Limnol Inst, Irkutsk 664003, Russia; [Molodin, V. I.] Russian Acad Sci, Inst Archeol &amp; Ethnog, Siberian Branch, Novosibirsk, Russia; [Pilipenko, A. S.] Russian Acad Sci, Inst Cytol &amp; Genet, Siberian Branch, Novosibirsk 630090, Russia; [Parzinger, G.] Deutsch Archaeol Inst, Berlin, Germany</t>
  </si>
  <si>
    <t>Irkutsk Science Centre of the Russian Academy of Sciences; Russian Academy of Sciences; Limnological Institute SB RAS; Russian Academy of Sciences; Institute of Archaeology &amp; Ethnography, Siberian Branch of Russian Academy of Sciences; Russian Academy of Sciences; Institute of Cytology &amp; Genetics ICG SB RAS</t>
  </si>
  <si>
    <t>Khanaeva, TA (corresponding author), Russian Acad Sci, Siberian Branch, Limnol Inst, Irkutsk 664003, Russia.</t>
  </si>
  <si>
    <t>tkhan@lin.irk.ru</t>
  </si>
  <si>
    <t>Zemskaya, Tamara/HKP-0014-2023; Molodin, Vyacheslav I/I-3190-2015; Suslova, Maria/N-8054-2014; Zemskaya, Tamara Ivanovna/N-2647-2017</t>
  </si>
  <si>
    <t>Zemskaya, Tamara/0000-0002-3575-0472;</t>
  </si>
  <si>
    <t>0026-2617</t>
  </si>
  <si>
    <t>1608-3237</t>
  </si>
  <si>
    <t>MICROBIOLOGY+</t>
  </si>
  <si>
    <t>10.1134/S0026261713010037</t>
  </si>
  <si>
    <t>128SA</t>
  </si>
  <si>
    <t>WOS:000317787900006</t>
  </si>
  <si>
    <t>Straub, M; Tremblay, MM; Sigman, DM; Studer, AS; Ren, H; Toggweiler, JR; Haug, GH</t>
  </si>
  <si>
    <t>Straub, M.; Tremblay, M. M.; Sigman, D. M.; Studer, A. S.; Ren, H.; Toggweiler, J. R.; Haug, G. H.</t>
  </si>
  <si>
    <t>Nutrient conditions in the subpolar North Atlantic during the last glacial period reconstructed from foraminifera-bound nitrogen isotopes</t>
  </si>
  <si>
    <t>PALEOCEANOGRAPHY</t>
  </si>
  <si>
    <t>ICE-RAFTED DETRITUS; PLANKTONIC-FORAMINIFERA; HEINRICH EVENTS; SOUTHERN-OCEAN; ATMOSPHERIC CO2; ORGANIC-MATTER; SEA-ICE; SURFACE SALINITY; CIRCULATION; NITRATE</t>
  </si>
  <si>
    <t>Surface nitrate concentration is a potentially useful diagnostic in reconstructing the past circulation of high-latitude North Atlantic waters. Moreover, nutrient consumption in the North Atlantic surface impacts the atmospheric concentration of carbon dioxide. To reconstruct nutrient conditions in the subpolar North Atlantic region during the last ice age, a record of foraminifera-bound delta N-15 was measured in Neogloboquadrina pachyderma (sin.) from core V28-73 south of Iceland (57.2 degrees N, 20.9 degrees W). Foraminifera-bound delta N-15 is up to 2 parts per thousand lower during the last ice age than during the Holocene, suggesting as much as similar to 25% less complete nitrate consumption during the former. This is consistent with stronger light limitation associated with a deeper summer surface mixed layer, perhaps related to the formation of Glacial North Atlantic Intermediate Water previously suggested to have occurred near the core site. However, three single-point maxima in delta N-15 in the glacial section and the sharp deglacial delta N-15 rise coincide with Heinrich event layers. This suggests that increased water column stratification during Heinrich events, presumably due to surface freshening, reduced the nutrient supply from below and led to nearly complete nitrate consumption in the summertime mixed layer. The Heinrich layers in V28-73 are not accompanied by delta O-18 minima in either N. pachyderma (sin.) or Globigerinoides bulloides, which we tentatively attribute to extreme mixed-layer shoaling. The reconstructed subpolar North Atlantic upper water column changes-both glacial/interglacial and millennial-are inverse to those inferred for the Antarctic. Citation: Straub, M., M. M. Tremblay, D. M. Sigman, A. S. Studer, H. Ren, J. R. Toggweiler, and G. H. Haug (2013), Nutrient conditions in the subpolar North Atlantic during the last glacial period reconstructed from foraminifera-bound nitrogen isotopes, Paleoceanography, 28, 79-90, doi:10.1002/palo.20013.</t>
  </si>
  <si>
    <t>[Straub, M.; Studer, A. S.; Haug, G. H.] Swiss Fed Inst Technol, Inst Geol, Dept Earth Sci, Zurich, Switzerland; [Tremblay, M. M.] Univ Calif Berkeley, Dept Earth &amp; Planetary Sci, Berkeley, CA 94720 USA; [Sigman, D. M.] Princeton Univ, Dept Geosci, Princeton, NJ 08544 USA; [Ren, H.] Columbia Univ, Lamont Doherty Earth Observ, Palisades, NY USA; [Toggweiler, J. R.] NOAA, Geophys Fluid Dynam Lab, Princeton, NJ USA</t>
  </si>
  <si>
    <t>Swiss Federal Institutes of Technology Domain; ETH Zurich; University of California System; University of California Berkeley; Princeton University; Columbia University; National Oceanic Atmospheric Admin (NOAA) - USA</t>
  </si>
  <si>
    <t>Straub, M (corresponding author), Swiss Fed Inst Technol, Inst Geol, Dept Earth Sci, Zurich, Switzerland.</t>
  </si>
  <si>
    <t>marietta.straub@erdw.ethz.ch</t>
  </si>
  <si>
    <t>Sigman, Daniel M./A-2649-2008; Sigman, Daniel M./IYJ-2613-2023; Studer, Anja S/JVZ-4104-2024; Toggweiler, J. R./O-5883-2019; Tremblay, Marissa M/I-3946-2015</t>
  </si>
  <si>
    <t>Sigman, Daniel M./0000-0002-7923-1973; Studer, Anja S/0000-0001-7354-8497; Toggweiler, J. R./0000-0001-6345-5756; Tremblay, Marissa M/0000-0001-9984-9554; REN, HAO-JIA/0000-0002-1769-4243; Straub, Marietta/0000-0002-1156-4085</t>
  </si>
  <si>
    <t>SNF foundation grant [200021-131886/1]; US NSF grant [OCE-1060947]; NOAA Ernest F. Hollings Scholarship Program; Swiss National Science Foundation (SNF) [200021_131886] Funding Source: Swiss National Science Foundation (SNF); Directorate For Geosciences; Division Of Ocean Sciences [1060947] Funding Source: National Science Foundation</t>
  </si>
  <si>
    <t>SNF foundation grant; US NSF grant(National Science Foundation (NSF)); NOAA Ernest F. Hollings Scholarship Program; Swiss National Science Foundation (SNF)(Swiss National Science Foundation (SNSF)); Directorate For Geosciences; Division Of Ocean Sciences(National Science Foundation (NSF)NSF - Directorate for Geosciences (GEO))</t>
  </si>
  <si>
    <t>We thank M.A. Weigand, S. Oleynik, N. Crompton, S. Breitenbach, and K. Ellis for technical assistance and advice. We also thank S. Hemming for giving M.M.T. access to her lab facilities and S. Myneni for his support with the FTIR measurements. Funding was provided by SNF foundation grant (200021-131886/1), US NSF grant OCE-1060947, and the NOAA Ernest F. Hollings Scholarship Program. This research used samples provided by the LDEO core repository. Two anonymous reviewers provided feedback that improved the manuscript.</t>
  </si>
  <si>
    <t>0883-8305</t>
  </si>
  <si>
    <t>1944-9186</t>
  </si>
  <si>
    <t>Paleoceanography</t>
  </si>
  <si>
    <t>10.1002/palo.20013</t>
  </si>
  <si>
    <t>Geosciences, Multidisciplinary; Oceanography; Paleontology</t>
  </si>
  <si>
    <t>Geology; Oceanography; Paleontology</t>
  </si>
  <si>
    <t>129KO</t>
  </si>
  <si>
    <t>Bronze, Green Accepted, Green Published</t>
  </si>
  <si>
    <t>WOS:000317838200008</t>
  </si>
  <si>
    <t>Ads, AG; Bergadà, P; Vilella, C; Regué, JR; Pijoan, JL; Bardají, R; Mauricio, J</t>
  </si>
  <si>
    <t>Ads, A. G.; Bergada, P.; Vilella, C.; Regue, J. R.; Pijoan, J. L.; Bardaji, R.; Mauricio, J.</t>
  </si>
  <si>
    <t>A comprehensive sounding of the ionospheric HF radio link from Antarctica to Spain</t>
  </si>
  <si>
    <t>RADIO SCIENCE</t>
  </si>
  <si>
    <t>MULTIPATH SPREAD; CHANNEL; COMMUNICATION; DOPPLER; SIGNALS</t>
  </si>
  <si>
    <t>Since 2003, our group has been investigating the performance of different transmission techniques for low-power low-interference High Frequency (HF) ionospheric communication systems. Specifically, we have focused on the link between the Spanish Antarctic Station (SAS) Juan Carlos I in Livingston Island and Ebro Observatory (OE) in Spain, in order to transmit the data gathered from some geomagnetic sensors. These transmission techniques require a valuable knowledge of the channel behavior, thus a comprehensive narrowband and wideband sounding of the ionospheric channel is needed. Some significant improvements both in the system and in the signal processing have been done to achieve this goal. The analysis time and the frequency band have been extended to 24 hours per day and to the whole HF band (2-30 MHz). Moreover, new measurements of the absolute propagation time and the Doppler frequency shift are introduced. In this paper, the sounding results obtained using the new system are presented. Citation: Ads, A. G., P. Bergada, C. Vilella, J. R. Regue, J. L. Pijoan, R. Bardaji, and J. Mauricio (2012), A comprehensive sounding of the ionospheric HF radio link from Antarctica to Spain, Radio Sci., 48, 1-12, doi:10.1029/2012RS005074.</t>
  </si>
  <si>
    <t>[Ads, A. G.; Bergada, P.; Vilella, C.; Regue, J. R.; Pijoan, J. L.; Bardaji, R.; Mauricio, J.] Univ Ramon Llull, Grp Recerca Electromagnetisme &amp; Commun GRECO, Barcelona 08022 30, Spain</t>
  </si>
  <si>
    <t>Universitat Ramon Llull</t>
  </si>
  <si>
    <t>Ads, AG (corresponding author), Univ Ramon Llull, Grp Recerca Electromagnetisme &amp; Commun GRECO, Barcelona 08022 30, Spain.</t>
  </si>
  <si>
    <t>aads@salle.url.edu</t>
  </si>
  <si>
    <t>Pijoan, Joan Lluis/S-3319-2018; Mauricio-Ferre, J./N-2605-2014</t>
  </si>
  <si>
    <t>Pijoan, Joan Lluis/0000-0002-1796-8216; Mauricio-Ferre, J./0000-0002-9331-1363</t>
  </si>
  <si>
    <t>Spanish Government [CGL2006-12437-C02-01, CTM2008-03536-E, CTM2009-13843-C02-02, CTM2010-21312-C03-03, BES-2008-00948]</t>
  </si>
  <si>
    <t>Spanish Government(Spanish Government)</t>
  </si>
  <si>
    <t>This work has been funded by the Spanish Government under the projects CGL2006-12437-C02-01, CTM2008-03536-E, CTM2009-13843-C02-02 and CTM2010-21312-C03-03. A. G. Ads has an FPI grant of BES-2008-00948 from the Spanish Government. The authors would like to thank D. Altadill for his important guidance.</t>
  </si>
  <si>
    <t>0048-6604</t>
  </si>
  <si>
    <t>1944-799X</t>
  </si>
  <si>
    <t>RADIO SCI</t>
  </si>
  <si>
    <t>Radio Sci.</t>
  </si>
  <si>
    <t>JAN-FEB</t>
  </si>
  <si>
    <t>10.1029/2012RS005074</t>
  </si>
  <si>
    <t>Astronomy &amp; Astrophysics; Geochemistry &amp; Geophysics; Meteorology &amp; Atmospheric Sciences; Remote Sensing; Telecommunications</t>
  </si>
  <si>
    <t>129JX</t>
  </si>
  <si>
    <t>WOS:000317836400001</t>
  </si>
  <si>
    <t>Kyrö, EM; Kerminen, VM; Virkkula, A; Dal Maso, M; Parshintsev, J; Ruíz-Jimenez, J; Forsström, L; Manninen, HE; Riekkola, ML; Heinonen, P; Kulmala, M</t>
  </si>
  <si>
    <t>Kyro, E. -M.; Kerminen, V. -M.; Virkkula, A.; Dal Maso, M.; Parshintsev, J.; Ruiz-Jimenez, J.; Forsstrom, L.; Manninen, H. E.; Riekkola, M. -L.; Heinonen, P.; Kulmala, M.</t>
  </si>
  <si>
    <t>Antarctic new particle formation from continental biogenic precursors</t>
  </si>
  <si>
    <t>2-DIMENSIONAL GAS-CHROMATOGRAPHY; NUCLEATION MODE PARTICLES; CLOUD CONDENSATION NUCLEI; ARCTIC BACKGROUND SITE; ULTRAFINE 30 NM; SIZE DISTRIBUTIONS; AEROSOL-PARTICLES; ORGANIC-COMPOUNDS; GROWTH-RATES; ATMOSPHERIC AEROSOLS</t>
  </si>
  <si>
    <t>Over Antarctica, aerosol particles originate almost entirely from marine areas, with minor contribution from long-range transported dust or anthropogenic material. The Antarctic continent itself, unlike all other continental areas, has been thought to be practically free of aerosol sources. Here we present evidence of local aerosol production associated with melt-water ponds in continental Antarctica. We show that in air masses passing such ponds, new aerosol particles are efficiently formed and these particles grow up to sizes where they may act as cloud condensation nuclei (CCN). The precursor vapours responsible for aerosol formation and growth originate very likely from highly abundant cyanobacteria Nostoc commune (Vaucher) communities of local ponds. This is the first time freshwater vegetation has been identified as an aerosol precursor source. The influence of the new source on clouds and climate may increase in future Antarctica, and possibly elsewhere undergoing accelerating summer melting of semi-permanent snow cover.</t>
  </si>
  <si>
    <t>[Kyro, E. -M.; Kerminen, V. -M.; Virkkula, A.; Dal Maso, M.; Manninen, H. E.; Kulmala, M.] Univ Helsinki, Dept Phys, Helsinki, Finland; [Virkkula, A.] Finnish Meteorol Inst, FIN-00101 Helsinki, Finland; [Dal Maso, M.] Tampere Univ Technol, Dept Phys, FIN-33101 Tampere, Finland; [Parshintsev, J.; Riekkola, M. -L.] Univ Helsinki, Dept Chem, SF-00100 Helsinki, Finland; [Forsstrom, L.] Univ Helsinki, Dept Biol &amp; Environm Sci, Helsinki, Finland; [Heinonen, P.] Finnish Meteorol Inst, FINNARP Logist, FIN-00101 Helsinki, Finland</t>
  </si>
  <si>
    <t>University of Helsinki; Finnish Meteorological Institute; Tampere University; University of Helsinki; University of Helsinki; Finnish Meteorological Institute</t>
  </si>
  <si>
    <t>Kyrö, EM (corresponding author), Univ Helsinki, Dept Phys, Helsinki, Finland.</t>
  </si>
  <si>
    <t>ella-maria.kyro@helsinki.fi</t>
  </si>
  <si>
    <t>Duplissy, Ella-Maria/AAR-9209-2021; Virkkula, Aki/B-8575-2014; Dal Maso, Miikka/A-7980-2008; Kerminen, Veli-Matti/M-9026-2014; Kulmala, Markku/I-7671-2016</t>
  </si>
  <si>
    <t>Duplissy, Ella-Maria/0000-0001-6959-6592; Virkkula, Aki/0000-0003-4874-7552; Dal Maso, Miikka/0000-0003-3040-3612; Kulmala, Markku/0000-0003-3464-7825; Parshintsev, Jevgeni/0000-0001-9608-0460; Ruiz Jimenez, Jose/0000-0001-7449-5497</t>
  </si>
  <si>
    <t>Academy of Finland [127534, 128731]; Academy of Finland Centre of Excellence program [1118615]; European Research Council [227463-ATMNUCLE]; Nordic Centre of Excellence CRAICC (Cryosphere-atmosphere interactions in a changing Arctic climate); Academy of Finland (AKA) [127534, 128731] Funding Source: Academy of Finland (AKA)</t>
  </si>
  <si>
    <t>Academy of Finland(Research Council of Finland); Academy of Finland Centre of Excellence program(Research Council of Finland); European Research Council(European Research Council (ERC)); Nordic Centre of Excellence CRAICC (Cryosphere-atmosphere interactions in a changing Arctic climate); Academy of Finland (AKA)(Research Council of Finland)</t>
  </si>
  <si>
    <t>We thank Pasi P. Aalto, Erkki Siivola, Jani Hakala, Teemu Makela, Riikka Vaananen and Tuukka Petaja for their technical support before the expedition, Quynh Nguyen for the help in the chemistry laboratory and Kari Hartonen for his expertise. We also thank the accredited calibration laboratory at the Finnish Meteorological Institute for the calibration of the ozone analyser before the expedition. We are grateful for the Academy of Finland (project no. 127534 and 128731), the Academy of Finland Centre of Excellence program (project no. 1118615), European Research Council (project no. 227463-ATMNUCLE) and the Nordic Centre of Excellence CRAICC (Cryosphere-atmosphere interactions in a changing Arctic climate) for funding. We also wish to express our gratitude to FINNARP for their excellent logistic support.</t>
  </si>
  <si>
    <t>10.5194/acp-13-3527-2013</t>
  </si>
  <si>
    <t>126HV</t>
  </si>
  <si>
    <t>WOS:000317605400001</t>
  </si>
  <si>
    <t>Zatko, MC; Grenfell, TC; Alexander, B; Doherty, SJ; Thomas, JL; Yang, X</t>
  </si>
  <si>
    <t>Zatko, M. C.; Grenfell, T. C.; Alexander, B.; Doherty, S. J.; Thomas, J. L.; Yang, X.</t>
  </si>
  <si>
    <t>The influence of snow grain size and impurities on the vertical profiles of actinic flux and associated NOx emissions on the Antarctic and Greenland ice sheets</t>
  </si>
  <si>
    <t>ULTRAVIOLET-ABSORPTION-SPECTRUM; OPTICAL-PROPERTIES; REACTIVE NITROGEN; BOUNDARY-LAYER; SOUTH-POLE; DOME-C; RADIATIVE-TRANSFER; SURFACE SNOW; MODELING CHEMISTRY; COASTAL ANTARCTICA</t>
  </si>
  <si>
    <t>We use observations of the absorption properties of black carbon and non-black carbon impurities in near-surface snow collected near the research stations at South Pole and Dome C, Antarctica, and Summit, Greenland, combined with a snowpack actinic flux parameterization to estimate the vertical profile and e-folding depth of ultraviolet/near-visible (UV/near-vis) actinic flux in the snowpack at each location. We have developed a simple and broadly applicable parameterization to calculate depth and wavelength dependent snowpack actinic flux that can be easily integrated into large-scale (e. g., 3-D) models of the atmosphere. The calculated e-folding depths of actinic flux at 305 nm, the peak wavelength of nitrate photolysis in the snowpack, are 8-12 cm near the stations and 15-31 cm away (&gt;11 km) from the stations. We find that the e-folding depth is strongly dependent on impurity content and wavelength in the UV/near-vis region, which explains the relatively shallow e-folding depths near stations where local activities lead to higher snow impurity levels. We calculate the lifetime of NOx in the snowpack interstitial air produced by photolysis of snowpack nitrate against wind pumping (tau(wind) (pumping)) from the snowpack, and compare this to the calculated lifetime of NOx against chemical conversion to HNO3 (tau(chemical)) to determine whether the NOx produced at a given depth can escape from the snowpack to the overlying atmosphere. Comparison of tau(wind) (pumping) and tau(chemical) suggests efficient escape of photoproduced NOx in the snowpack to the overlying atmosphere throughout most of the photochemically active zone. Calculated vertical actinic flux profiles and observed snowpack nitrate concentrations are used to estimate the potential flux of NOx from the snowpack. Calculated NOx fluxes of 4.4x10(8)-3.8x10(9) molecules cm(-2) s(-1) in remote polar locations and 3.2-8.2x10(8) molecules cm(-2) s(-1) near polar stations for January at Dome C and South Pole and June at Summit suggest that NOx flux measurements near stations may be under-estimating the amount of NOx emitted from the clean polar snowpack.</t>
  </si>
  <si>
    <t>[Zatko, M. C.; Grenfell, T. C.; Alexander, B.] Univ Washington, Dept Atmospher Sci, Seattle, WA 98195 USA; [Doherty, S. J.] Joint Inst Study Atmosphere &amp; Ocean, Seattle, WA 98195 USA; [Thomas, J. L.] Univ Versailles, CNRS INSU, Univ Paris 06, UMR8190, Paris, France; [Thomas, J. L.] Univ Calif Los Angeles, Dept Atmospher &amp; Ocean Sci, Los Angeles, CA 90095 USA; [Yang, X.] Natl Ctr Atmospher Sci NCAS, Cambridge CB2 1EW, England; [Yang, X.] Univ Cambridge, Dept Chem, Ctr Atmospher Sci, Cambridge CB2 1EW, England</t>
  </si>
  <si>
    <t>University of Washington; University of Washington Seattle; Universite Paris Saclay; Sorbonne Universite; Centre National de la Recherche Scientifique (CNRS); CNRS - National Institute for Earth Sciences &amp; Astronomy (INSU); University of California System; University of California Los Angeles; University of Cambridge</t>
  </si>
  <si>
    <t>Alexander, B (corresponding author), Univ Washington, Dept Atmospher Sci, Box 351640, Seattle, WA 98195 USA.</t>
  </si>
  <si>
    <t>beckya@atmos.washington.edu</t>
  </si>
  <si>
    <t>Yang, Xin/AGB-3514-2022; Alexander, Becky/N-7048-2013; Doherty, Sarah/D-5592-2015</t>
  </si>
  <si>
    <t>Yang, Xin/0000-0002-3838-9758; Alexander, Becky/0000-0001-9915-4621; Doherty, Sarah/0000-0002-7796-6968</t>
  </si>
  <si>
    <t>NSF ANT [0944537]; EPA STAR graduate fellowship; Directorate For Geosciences; Office of Polar Programs (OPP) [0944537] Funding Source: National Science Foundation</t>
  </si>
  <si>
    <t>NSF ANT(National Science Foundation (NSF)); EPA STAR graduate fellowship(United States Environmental Protection Agency); Directorate For Geosciences; Office of Polar Programs (OPP)(National Science Foundation (NSF)NSF - Directorate for Geosciences (GEO))</t>
  </si>
  <si>
    <t>Funding for this project is provided by NSF ANT 0944537 and EPA STAR graduate fellowship to M. C. Zatko. We thank Hans-Werner Jacobi and Eric Wolff for very helpful comments during the peer review process. Stephen Warren collected and filtered the samples at Dome C. Lora Koenig collected the snow samples at Summit; Stephen Warren melted and filtered them. Stephen Warren and Delphine Six provided the measurements of sastrugi dimensions at Dome C. We thank Stephen Warren, Eric Sofen, Paul Hezel, and Lei Geng for comments on the draft manuscript. We thank Oliver Wild for helping us to better under-stand the Fast-J algorithm and Eric Wolff for his generous advice during the initial stages of this project. We thank Ed Waddington for insightful discussions about transport processes in the snow, Joel Thornton for helpful discussions about BrONO2 hydrolysis in the snow, and Charlie Zender for information about the optical properties of dust.</t>
  </si>
  <si>
    <t>10.5194/acp-13-3547-2013</t>
  </si>
  <si>
    <t>WOS:000317605400002</t>
  </si>
  <si>
    <t>Schuldt, RJ; Brovkin, V; Kleinen, T; Winderlich, J</t>
  </si>
  <si>
    <t>Schuldt, R. J.; Brovkin, V.; Kleinen, T.; Winderlich, J.</t>
  </si>
  <si>
    <t>Modelling Holocene carbon accumulation and methane emissions of boreal wetlands - an Earth system model approach</t>
  </si>
  <si>
    <t>HUDSON-BAY LOWLANDS; PEAT ACCUMULATION; NATURAL WETLANDS; BIOGEOCHEMISTRY MODEL; NORTHERN PEATLANDS; CH4 FLUXES; CYCLE; SENSITIVITY; RATES; DECOMPOSITION</t>
  </si>
  <si>
    <t>Since the Last Glacial Maximum, boreal wetlands have accumulated substantial amounts of peat, estimated at 180-621 Pg of carbon. Wetlands have significantly affected the atmospheric greenhouse gas composition in the past and will play a significant role in future changes of atmospheric CO2 and CH4 concentrations. In order to investigate those changes with an Earth system model, bio-geochemical processes in boreal wetlands need to be accounted for. Thus, a model of peat accumulation and decay was developed and included in the land surface model JSBACH of the Max Planck Institute Earth System Model (MPI-ESM). Here we present the evaluation of model results from 6000 yr BP to the pre-industrial period. Over this period of time, 240 Pg of peat carbon accumulated in the model in the areas north of 40 degrees N. Simulated peat accumulation rates agree well with those reported for boreal wetlands. The model simulates CH4 emissions of 49.3 Tg CH4 yr(-1) for 6000 yr BP and 51.5 Tg CH4 yr(-1) for pre-industrial times. This is within the range of estimates in the literature, which range from 32 to 112 Tg CH4 yr(-1) for boreal wetlands. The modelled methane emission for the West Siberian Lowlands and Hudson Bay Lowlands agree well with observations. The rising trend of methane emissions over the last 6000 yr is in agreement with measurements of Antarctic and Greenland ice cores.</t>
  </si>
  <si>
    <t>[Schuldt, R. J.] Int Max Planck Res Sch Earth Syst Modelling, Hamburg, Germany; [Schuldt, R. J.; Brovkin, V.; Kleinen, T.] Max Planck Inst Meteorol, D-20146 Hamburg, Germany; [Winderlich, J.] Max Planck Inst Biogeochem, D-07745 Jena, Germany</t>
  </si>
  <si>
    <t>Max Planck Society; Max Planck Society; Max Planck Society</t>
  </si>
  <si>
    <t>Schuldt, RJ (corresponding author), Int Max Planck Res Sch Earth Syst Modelling, Hamburg, Germany.</t>
  </si>
  <si>
    <t>robert.schuldt@zmaw.de</t>
  </si>
  <si>
    <t>Brovkin, Victor/C-2803-2016; Brovkin, Victor/I-7450-2012; Kleinen, Thomas/G-5666-2018</t>
  </si>
  <si>
    <t>Brovkin, Victor/0000-0001-6420-3198; Kleinen, Thomas/0000-0001-9550-5164</t>
  </si>
  <si>
    <t>European Union [243908]</t>
  </si>
  <si>
    <t>We thank Christian Reick for discussing the model structure, Veronica Gayler and Thomas Raddatz for their technical support with the model, and Martin Heimann for providing the original code of the methane emission model. The authors are grateful to the COST Action ES0805 TERRABITES for an opportunity to discuss the modelling of the CH4 emissions at the WETCHIMP workshop. This is Past4Future contribution no. 39. The research leading to these results has received funding from the European Union's Seventh Framework programme (FP7/2007-2013) under grant agreement no. 243908, Past4Future. Climate change - Learning from the past climate.</t>
  </si>
  <si>
    <t>10.5194/bg-10-1659-2013</t>
  </si>
  <si>
    <t>118FV</t>
  </si>
  <si>
    <t>WOS:000317010600028</t>
  </si>
  <si>
    <t>Nogi, Y</t>
  </si>
  <si>
    <t>Nogi, Yoshifumi</t>
  </si>
  <si>
    <t>Seafloor structure near the epicenter of the great 25 March 1998 Antarctic Plate earthquake</t>
  </si>
  <si>
    <t>JOURNAL OF GEOPHYSICAL RESEARCH-SOLID EARTH</t>
  </si>
  <si>
    <t>MOMENT TENSOR; RUPTURE; ANOMALIES; BOUNDARY; STRESS</t>
  </si>
  <si>
    <t>The great Antarctic Plate earthquake (M 8.1) that took place on 25 March 1998 was one of the largest oceanic intraplate strike-slip events ever recorded, but the cause of the earthquake is still unclear. Detailed marine geophysical surveys were conducted near the epicenter of the earthquake, and the results of swath bathymetry and the magnetic and gravity anomalies are presented. The data revealed the detailed structure of a seamount just south of the epicenter of themain shock. Two possible structures, which may represent the faults of the Antarctic Plate earthquake during the first subevent, were inferred from the geophysical data collected during the cruise by taking the uncertainties in the location of the epicenter and the distribution of the aftershocks into account, and the foot of the north-side escarpment of the seamount may indicate the main fault of the first strike-slip subevent of the Antarctic Plate earthquake. The north-side escarpment of the seamount was most likely formed before the Antarctic Plate earthquake, indicating that the earthquake occurred along preexisting structures. The magnetic anomaly and structural trends near the seamount are different from those in adjacent areas, and the area near the seamount is likely a block that was captured during ridge reorganization. Moreover, the area near the seamount may be a crustal fragment that was formed during initial rifting between Antarctica and Australia. Citation: Nogi, Y. (2013), Seafloor structure near the epicenter of the great 25 March 1998 Antarctic Plate earthquake, J. Geophys. Res. Solid Earth, 118, 13-21, doi: 10.1002/jgrb.50059.</t>
  </si>
  <si>
    <t>Natl Inst Polar Res SOKENDAI, Tachikawa, Tokyo 1908518, Japan</t>
  </si>
  <si>
    <t>Research Organization of Information &amp; Systems (ROIS); National Institute of Polar Research (NIPR) - Japan</t>
  </si>
  <si>
    <t>Nogi, Y (corresponding author), Natl Inst Polar Res SOKENDAI, 10-3 Midoricho, Tachikawa, Tokyo 1908518, Japan.</t>
  </si>
  <si>
    <t>nogi@nipr.ac.jp</t>
  </si>
  <si>
    <t>Nogi, Yoshifumi/0000-0001-8457-4244</t>
  </si>
  <si>
    <t>Grants-in-Aid for Scientific Research [20109002] Funding Source: KAKEN</t>
  </si>
  <si>
    <t>Grants-in-Aid for Scientific Research(Ministry of Education, Culture, Sports, Science and Technology, Japan (MEXT)Japan Society for the Promotion of ScienceGrants-in-Aid for Scientific Research (KAKENHI))</t>
  </si>
  <si>
    <t>2169-9313</t>
  </si>
  <si>
    <t>2169-9356</t>
  </si>
  <si>
    <t>J GEOPHYS RES-SOL EA</t>
  </si>
  <si>
    <t>J. Geophys. Res.-Solid Earth</t>
  </si>
  <si>
    <t>10.1002/jgrb.50059</t>
  </si>
  <si>
    <t>129NZ</t>
  </si>
  <si>
    <t>WOS:000317849200002</t>
  </si>
  <si>
    <t>Behr, Y; Townend, J; Bowen, M; Carter, L; Gorman, R; Brooks, L; Bannister, S</t>
  </si>
  <si>
    <t>Behr, Y.; Townend, J.; Bowen, M.; Carter, L.; Gorman, R.; Brooks, L.; Bannister, S.</t>
  </si>
  <si>
    <t>Source directionality of ambient seismic noise inferred from three-component beamforming</t>
  </si>
  <si>
    <t>RAYLEIGH-WAVE TOMOGRAPHY; SAN-ANDREAS FAULT; OCEAN MICROSEISMS; NORTH-ISLAND; PARKFIELD; REGION</t>
  </si>
  <si>
    <t>The increased use of ambient seismic noise for seismic imaging requires better understanding of the ambient seismic noise wavefield and its source locations and mechanisms. Although the source regions and mechanisms of Rayleigh waves have been studied extensively, characterization of Love wave source processes are sparse or absent. We present here the first systematic comparison of ambient seismic noise source directions within the primary (similar to 10-20 s period) and secondary (similar to 5-10 s period) microseism bands for both Rayleigh and Love waves in the Southern Hemisphere using vertical- and horizontal-component ambient seismic noise recordings from a dense temporary network of 68 broadband seismometers in New Zealand. Our analysis indicates that Rayleigh and Love waves within the primary microseism band appear to be mostly generated in different areas, whereas in the secondary microseism band they arrive from similar backazimuths. Furthermore, the source areas of surface waves within the secondary microseism band correlate well with modeled deep-water and near-coastal source regions. Citation: Behr Y., J. Townend, M. Bowen, L. Carter, R. Gorman, L. Brooks, and S. Bannister (2013), Source directionality of ambient seismic noise inferred from three-component beamforming, J. Geophys. Res. Solid Earth, 118, 240-248, doi: 10.1029/2012JB009382.</t>
  </si>
  <si>
    <t>[Behr, Y.] ETH, Swiss Seismol Serv, CH-8092 Zurich, Switzerland; [Behr, Y.; Townend, J.] Victoria Univ Wellington, Sch Geog Environm &amp; Earth Sci, Wellington 6140, New Zealand; [Bowen, M.] Univ Auckland, Sch Environm, Auckland 1, New Zealand; [Carter, L.] Victoria Univ Wellington, Antarctic Res Ctr, Wellington 6140, New Zealand; [Gorman, R.] Natl Inst Water &amp; Atmospher Res, Hamilton, New Zealand; [Brooks, L.] Univ Adelaide, Sch Mech Engn, Adelaide, SA 5005, Australia; [Behr, Y.; Bannister, S.] GNS Sci, Lower Hutt, New Zealand</t>
  </si>
  <si>
    <t>Swiss Federal Institutes of Technology Domain; ETH Zurich; Victoria University Wellington; University of Auckland; Victoria University Wellington; National Institute of Water &amp; Atmospheric Research (NIWA) - New Zealand; University of Adelaide; GNS Science - New Zealand</t>
  </si>
  <si>
    <t>Behr, Y (corresponding author), ETH, Swiss Seismol Serv, Sonneggstr 5, CH-8092 Zurich, Switzerland.</t>
  </si>
  <si>
    <t>yannik.behr@sed.ethz.ch</t>
  </si>
  <si>
    <t>Behr, Yannik/AFU-0457-2022; Townend, John/B-5923-2012</t>
  </si>
  <si>
    <t>Behr, Yannik/0000-0002-6047-5396; Townend, John/0000-0002-7017-620X; Gorman, Richard/0000-0002-0383-150X; Bannister, Stephen/0000-0002-2125-0506</t>
  </si>
  <si>
    <t>10.1029/2012JB009382</t>
  </si>
  <si>
    <t>WOS:000317849200017</t>
  </si>
  <si>
    <t>Livsey, DN; Simms, AR; Clary, WG; Wellner, JS; Anderson, JB; Chandler, JP</t>
  </si>
  <si>
    <t>Livsey, Daniel N.; Simms, Alexander R.; Clary, Warren G.; Wellner, Julia S.; Anderson, John B.; Chandler, John P.</t>
  </si>
  <si>
    <t>FOURIER GRAIN-SHAPE ANALYSIS OF ANTARCTIC MARINE CORE: THE RELATIVE INFLUENCE OF PROVENANCE AND GLACIAL ACTIVITY ON GRAIN SHAPE</t>
  </si>
  <si>
    <t>JOURNAL OF SEDIMENTARY RESEARCH</t>
  </si>
  <si>
    <t>ICE-SHEET; BAFFIN-ISLAND; SAND; PENINSULA; SEDIMENT; BASIN; HISTORY; EVENTS; ORIGIN; SILT</t>
  </si>
  <si>
    <t>Grain shape is useful as a depositional, environmental, diagenetic, and provenance proxy. Here we conduct the rust study of down-core grain-shape variation in Antarctica. This study further examines the utility of grain shape as a depositional proxy, namely of glacial influence, in the James Ross Basin and Joinville Plateau of the Antarctic Peninsula from the Eocene to the present. Fourier grain-shape analysis was used to quantify the grain shape of 31 samples spanning the glacial history of the Antarctic Peninsula Ice Sheet. A total of 6,442 quartz grain peripheries were digitized and described through the twenty-rust Fourier harmonic. Sediment provenance has a greater influence on grain roughness than glacial activity in the study area. However, provided a similar sedimentary source, secondary changes in roughness correlate with changes in the extent of the Antarctic Peninsula Ice Sheet since the late Oligocene. Grain roughness increased with increased glacial influence during the middle Miocene, after an early Pliocene warm period, and just above a Pliocene regional glacial unconformity. Conversely, grain roughness decreased with less glacial influence during the late Oligocene and during an early Pliocene warm period. This study further illustrates the usefulness of grain shape in distinguishing sediment provenance and environmental conditions in Antarctic settings.</t>
  </si>
  <si>
    <t>[Livsey, Daniel N.; Simms, Alexander R.] Univ Calif Santa Barbara, Dept Earth Sci, Santa Barbara, CA 93106 USA; [Wellner, Julia S.] Univ Houston, Dept Earth &amp; Atmospher Sci, Houston, TX 77204 USA; [Anderson, John B.] Rice Univ, Dept Earth Sci, Houston, TX 77005 USA; [Chandler, John P.] Oklahoma State Univ, Dept Comp Sci, Stillwater, OK 74078 USA</t>
  </si>
  <si>
    <t>University of California System; University of California Santa Barbara; University of Houston System; University of Houston; Rice University; Oklahoma State University System; Oklahoma State University - Stillwater</t>
  </si>
  <si>
    <t>Livsey, DN (corresponding author), Univ Calif Santa Barbara, Dept Earth Sci, Santa Barbara, CA 93106 USA.</t>
  </si>
  <si>
    <t>dnl@umail.ucsb.edu</t>
  </si>
  <si>
    <t>Simms, Alexander R/E-5609-2012; Livsey, Daniel/AAI-9753-2021</t>
  </si>
  <si>
    <t>Livsey, Daniel/0000-0002-2028-6128; Simms, Alexander/0000-0001-5034-2189</t>
  </si>
  <si>
    <t>Directorate For Geosciences; Division Of Polar Programs [0739596] Funding Source: National Science Foundation</t>
  </si>
  <si>
    <t>Directorate For Geosciences; Division Of Polar Programs(National Science Foundation (NSF)NSF - Directorate for Geosciences (GEO))</t>
  </si>
  <si>
    <t>SEPM-SOC SEDIMENTARY GEOLOGY</t>
  </si>
  <si>
    <t>TULSA</t>
  </si>
  <si>
    <t>6128 EAST 38TH ST, STE 308, TULSA, OK 74135-5814 USA</t>
  </si>
  <si>
    <t>1527-1404</t>
  </si>
  <si>
    <t>1938-3681</t>
  </si>
  <si>
    <t>J SEDIMENT RES</t>
  </si>
  <si>
    <t>J. Sediment. Res.</t>
  </si>
  <si>
    <t>10.2110/jsr.2013.5</t>
  </si>
  <si>
    <t>127MN</t>
  </si>
  <si>
    <t>WOS:000317703200004</t>
  </si>
  <si>
    <t>Dall'Olio, E; Felletti, F; Muttoni, G</t>
  </si>
  <si>
    <t>Dall'Olio, Eleonora; Felletti, Fabrizio; Muttoni, Giovanni</t>
  </si>
  <si>
    <t>MAGNETIC-FABRIC ANALYSIS AS A TOOL TO CONSTRAIN MECHANISMS OF DEEP-WATER MUDSTONE DEPOSITION IN THE MARNOSO ARENACEA FORMATION (MIOCENE, ITALY)</t>
  </si>
  <si>
    <t>NORTHERN ROCKALL TROUGH; SOUTH-CENTRAL PYRENEES; CONTINENTAL RISE WEST; PALEOMAGNETIC EVIDENCE; ANTARCTIC PENINSULA; CENTRAL APENNINES; CELLINO FORMATION; UNDEFORMED CLAYS; NEUTRON TEXTURE; BASIN</t>
  </si>
  <si>
    <t>Mudstone-dominated marine successions are common in the geological record, yet a full understanding of their depositional processes is often hampered by a lack of generally accepted diagnostic criteria to distinguish between hemipelagic settling and deposition from a flowing medium. The Marnoso Arenacea Formation, a turbidite unit of Miocene age cropping out in the northern Apennines of Italy, offers the possibility to address some of these uncertainties. A relatively small (similar to 10%) but distinctive portion of the Marnoso Arenacea Formation is composed of white marlstone beds (WM beds) that have frequently been interpreted as due to hemipelagic settling of fine-grained particles (hemipelagites). The analysis of the anisotropy of magnetic susceptibility (AMS) revealed the presence in the WM beds of maximum susceptibility axes clustered within the depositional plane along the average paleoflow direction inferred from flute casts at the bases of the nearest turbidite beds, whereas the minimum susceptibility axes are oriented perpendicular to the bedding plane. This fabric is interpreted as largely sedimentary in origin (albeit a contribution from tectonic shortening cannot be excluded) and due to the alignment within the bedding plane of paramagnetic grains (e.g., muscovite) and possibly also ferromagnetic grains (magnetite) under low-velocity currents. The trend of the maximum susceptibility axes, and hence of the paleoflow direction, is approximately oriented NNW-SSE after correction for Apennines thrust-sheet rotation since the Miocene. These results suggest that the WM beds cannot be entirely due to hemipelagic settling, as often stated in the literature. A discussion of alternative depositional mechanisms leads us to conclude that the WM beds may have been deposited under the influence of contour currents and should therefore be referred to as muddy contourites.</t>
  </si>
  <si>
    <t>[Dall'Olio, Eleonora; Felletti, Fabrizio; Muttoni, Giovanni] Univ Milan, Dipartimento Sci Terra Ardito Desio, I-20133 Milan, Italy</t>
  </si>
  <si>
    <t>University of Milan</t>
  </si>
  <si>
    <t>Dall'Olio, E (corresponding author), Univ Milan, Dipartimento Sci Terra Ardito Desio, Via Mangiagalli 34, I-20133 Milan, Italy.</t>
  </si>
  <si>
    <t>eleonora.dallolio@unimi.it</t>
  </si>
  <si>
    <t>FELLETTI, FABRIZIO/0000-0002-6613-658X; Muttoni, Giovanni/0000-0001-7908-1664</t>
  </si>
  <si>
    <t>FIRB (Fondo per gli Investimenti della Ricerca di Base); International Association of Sedimentologists</t>
  </si>
  <si>
    <t>FIRB (Fondo per gli Investimenti della Ricerca di Base)(Ministry of Education, Universities and Research (MIUR)Fund for Investment in Basic Research (FIRB)); International Association of Sedimentologists</t>
  </si>
  <si>
    <t>Francesca Cifelli and an anonymous reviewer are thanked for helpful comments. G. Malgesini is warmly acknowledged for his help during field work. Financial support was provided by FIRB (Fondo per gli Investimenti della Ricerca di Base) 2006-2009 funds to F. Felletti, and International Association of Sedimentologists grant to E. Dall'Olio.</t>
  </si>
  <si>
    <t>10.2110/jsr.2013.12</t>
  </si>
  <si>
    <t>WOS:000317703200011</t>
  </si>
  <si>
    <t>Bereiter, B; Stocker, TF; Fischer, H</t>
  </si>
  <si>
    <t>Bereiter, B.; Stocker, T. F.; Fischer, H.</t>
  </si>
  <si>
    <t>A centrifugal ice microtome for measurements of atmospheric CO2 on air trapped in polar ice cores</t>
  </si>
  <si>
    <t>CARBON-DIOXIDE; ANTARCTIC ICE; DOME; CHRONOLOGY; CLIMATE; METHANE</t>
  </si>
  <si>
    <t>For atmospheric CO2 reconstructions using ice cores, the technique to release the trapped air from the ice samples is essential for the precision and accuracy of the measurements. We present here a new dry extraction technique in combination with a new gas analytical system that together show significant improvements with respect to current systems. Ice samples (3-15 g) are pulverised using a novel centrifugal ice microtome (CIM) by shaving the ice in a cooled vacuum chamber (-27 degrees C) in which no friction occurs due to the use of magnetic bearings. Both, the shaving principle of the CIM and the use of magnetic bearings have not been applied so far in this field. Shaving the ice samples produces finer ice powder and releases a minimum of 90% of the trapped air compared to 50%-70% when needle crushing is employed. In addition, the friction-free motion with an optimized design to reduce contaminations of the inner surfaces of the device result in a reduced system offset of about 2.0 ppmv compared to 4.9 ppmv. The gas analytical part shows a higher precision than the corresponding part of our previous system by a factor of two, and all processes except the loading and cleaning of the CIM now run automatically. Compared to our previous system, the complete system shows a 3 times better measurement reproducibility of about 1.1 ppmv (1 sigma) which is similar to the best reproducibility of other systems applied in this field. With this high reproducibility, no replicate measurements are required any-more for most future measurement campaigns resulting in a possible output of 12-20 measurements per day compared to a maximum of 6 with other systems.</t>
  </si>
  <si>
    <t>[Bereiter, B.; Stocker, T. F.; Fischer, H.] Univ Bern, Inst Phys, CH-3012 Bern, Switzerland; [Bereiter, B.; Stocker, T. F.; Fischer, H.] Univ Bern, Oeschger Ctr Climate Change Res, Bern, Switzerland</t>
  </si>
  <si>
    <t>University of Bern; University of Bern</t>
  </si>
  <si>
    <t>Bereiter, B (corresponding author), Univ Bern, Inst Phys, Sidlerstr 5, CH-3012 Bern, Switzerland.</t>
  </si>
  <si>
    <t>bereiter@climate.unibe.ch</t>
  </si>
  <si>
    <t>Stocker, Thomas F/B-1273-2013; Fischer, Hubertus/A-1211-2014</t>
  </si>
  <si>
    <t>Fischer, Hubertus/0000-0002-2787-4221</t>
  </si>
  <si>
    <t>Swiss National Science Foundation</t>
  </si>
  <si>
    <t>Swiss National Science Foundation(Swiss National Science Foundation (SNSF))</t>
  </si>
  <si>
    <t>This work is funded by the Swiss National Science Foundation. We thank Levitronix for providing hardware and technical support, the mechanical staff of our institute and in particular R. Walther for the effort put into the hardware of the new dry extraction device, M. Siegrist for contributions to the software, B. Stauffer and J. Schwander for sharing their valuable experience in experimental engineering and S. Eggleston for providing CO2 data from the sublimation system.</t>
  </si>
  <si>
    <t>10.5194/amt-6-251-2013</t>
  </si>
  <si>
    <t>118FY</t>
  </si>
  <si>
    <t>WOS:000317011000008</t>
  </si>
  <si>
    <t>Chavaillaz, Y; Codron, F; Kageyama, M</t>
  </si>
  <si>
    <t>Chavaillaz, Y.; Codron, F.; Kageyama, M.</t>
  </si>
  <si>
    <t>Southern westerlies in LGM and future (RCP4.5) climates</t>
  </si>
  <si>
    <t>ATMOSPHERIC CO2; CIRCULATION; SIMULATIONS; IMPACT; SHIFT; MODEL</t>
  </si>
  <si>
    <t>Mid-latitude westerlies are a major component of the atmospheric circulation and understanding their behaviour under climate change is important for understanding changes in precipitation, storms and atmosphere-ocean momentum, heat and CO2 exchanges. The Southern Hemisphere westerlies have been particularly studied in terms of the latter aspects, since the Southern Ocean is a key region for the global oceanic circulation as well as for CO2 uptake. In this study, we analyse, mainly in terms of jet stream position, the behaviour of the southern westerlies for the Last Glacial Maximum (LGM, 21 000 yr ago, which is the last past cold extreme) and for a future climate, obtained after stabilisation of the RCP4.5 scenario. The a priori guess would be that the behaviour of the westerly jet stream would be similar when examining its changes from LGM to pre-industrial (PI) conditions and from PI to RCP4.5, i.e. in both cases a poleward shift in response to global warming. We show that this is in fact not the case, due to the impact of altitude changes of the Antarctic ice sheet and/or to sea ice cover changes.</t>
  </si>
  <si>
    <t>[Chavaillaz, Y.; Codron, F.] Univ Paris 06, Meteorol Dynam Lab, LMD IPSL, CNRS,UMR8539, F-75252 Paris 05, France; [Kageyama, M.] CEA CNRS UVSQ CE Saclay, UMR8112, LSCE IPSL, Lab Sci Climat &amp; Environm, F-91191 Gif Sur Yvette, France</t>
  </si>
  <si>
    <t>Centre National de la Recherche Scientifique (CNRS); Sorbonne Universite; Ecole des Ponts ParisTech; CEA; Centre National de la Recherche Scientifique (CNRS); Universite Paris Saclay; Sorbonne Universite; CNRS - National Institute for Earth Sciences &amp; Astronomy (INSU)</t>
  </si>
  <si>
    <t>Codron, F (corresponding author), Univ Paris 06, Meteorol Dynam Lab, LMD IPSL, CNRS,UMR8539, Case Postale 99,4 Pl Jussieu, F-75252 Paris 05, France.</t>
  </si>
  <si>
    <t>fcodron@lmd.jussieu.fr</t>
  </si>
  <si>
    <t>IPO, PAGES/JXY-7546-2024; Codron, Francis/F-2719-2014; Kageyama, Masa/F-2389-2010</t>
  </si>
  <si>
    <t>Codron, Francis/0000-0001-7038-6189; Kageyama, Masa/0000-0003-0822-5880</t>
  </si>
  <si>
    <t>CNRS-INSU</t>
  </si>
  <si>
    <t>CNRS-INSU(Centre National de la Recherche Scientifique (CNRS))</t>
  </si>
  <si>
    <t>The publication of this article is financed by CNRS-INSU.</t>
  </si>
  <si>
    <t>10.5194/cp-9-517-2013</t>
  </si>
  <si>
    <t>118FQ</t>
  </si>
  <si>
    <t>WOS:000317009700001</t>
  </si>
  <si>
    <t>Svensson, A; Bigler, M; Blunier, T; Clausen, HB; Dahl-Jensen, D; Fischer, H; Fujita, S; Goto-Azuma, K; Johnsen, SJ; Kawamura, K; Kipfstuhl, S; Kohno, M; Parrenin, F; Popp, T; Rasmussen, SO; Schwander, J; Seierstad, I; Severi, M; Steffensen, JP; Udisti, R; Uemura, R; Vallelonga, P; Vinther, BM; Wegner, A; Wilhelms, F; Winstrup, M</t>
  </si>
  <si>
    <t>Svensson, A.; Bigler, M.; Blunier, T.; Clausen, H. B.; Dahl-Jensen, D.; Fischer, H.; Fujita, S.; Goto-Azuma, K.; Johnsen, S. J.; Kawamura, K.; Kipfstuhl, S.; Kohno, M.; Parrenin, F.; Popp, T.; Rasmussen, S. O.; Schwander, J.; Seierstad, I.; Severi, M.; Steffensen, J. P.; Udisti, R.; Uemura, R.; Vallelonga, P.; Vinther, B. M.; Wegner, A.; Wilhelms, F.; Winstrup, M.</t>
  </si>
  <si>
    <t>Direct linking of Greenland and Antarctic ice cores at the Toba eruption (74 ka BP)</t>
  </si>
  <si>
    <t>EPICA DOME-C; LAST GLACIAL PERIOD; DRONNING MAUD LAND; MILLENNIAL-SCALE; CLIMATE-CHANGE; NORTHERN-HEMISPHERE; LATE PLEISTOCENE; VOLCANIC WINTER; SUPER-ERUPTION; SYNCHRONIZATION</t>
  </si>
  <si>
    <t>The Toba eruption that occurred some 74 ka ago in Sumatra, Indonesia, is among the largest volcanic events on Earth over the last 2 million years. Tephra from this eruption has been spread over vast areas in Asia, where it constitutes a major time marker close to the Marine Isotope Stage 4/5 boundary. As yet, no tephra associated with Toba has been identified in Greenland or Antarctic ice cores. Based on new accurate dating of Toba tephra and on accurately dated European stalagmites, the Toba event is known to occur between the onsets of Greenland interstadials (GI) 19 and 20. Furthermore, the existing linking of Greenland and Antarctic ice cores by gas records and by the bipolar seesaw hypothesis suggests that the Antarctic counterpart is situated between Antarctic Isotope Maxima (AIM) 19 and 20. In this work we suggest a direct synchronization of Greenland (NGRIP) and Antarctic (EDML) ice cores at the Toba eruption based on matching of a pattern of bipolar volcanic spikes. Annual layer counting between volcanic spikes in both cores allows for a unique match. We first demonstrate this bipolar matching technique at the already synchronized Laschamp geomagnetic excursion (41 ka BP) before we apply it to the suggested Toba interval. The Toba synchronization pattern covers some 2000 yr in GI-20 and AIM19/20 and includes nine acidity peaks that are recognized in both ice cores. The suggested bipolar Toba synchronization has decadal precision. It thus allows a determination of the exact phasing of inter-hemispheric climate in a time interval of poorly constrained ice core records, and it allows for a discussion of the climatic impact of the Toba eruption in a global perspective. The bipolar linking gives no support for a long-term global cooling caused by the Toba eruption as Antarctica experiences a major warming shortly after the event. Furthermore, our bipolar match provides a way to place palaeo-environmental records other than ice cores into a precise climatic context.</t>
  </si>
  <si>
    <t>[Svensson, A.; Blunier, T.; Clausen, H. B.; Dahl-Jensen, D.; Johnsen, S. J.; Popp, T.; Rasmussen, S. O.; Seierstad, I.; Steffensen, J. P.; Vallelonga, P.; Vinther, B. M.; Winstrup, M.] Univ Copenhagen, Niels Bohr Inst, Ctr Ice &amp; Climate, DK-1168 Copenhagen, Denmark; [Bigler, M.; Fischer, H.; Schwander, J.] Univ Bern, Inst Phys, Bern, Switzerland; [Bigler, M.; Fischer, H.; Schwander, J.] Univ Bern, Oeschger Ctr Climate Change Res, Bern, Switzerland; [Fujita, S.; Goto-Azuma, K.; Kawamura, K.] Natl Inst Polar Res, Tachikawa, Tokyo, Japan; [Kipfstuhl, S.; Wegner, A.; Wilhelms, F.] Stiftung Alfred Wegener Inst Polar &amp; Meeresforsch, Bremerhaven, Germany; [Kohno, M.] Univ Gottingen, Geosci Ctr, D-37073 Gottingen, Germany; [Parrenin, F.] Lab Chronoenvironm, Besancon, France; [Parrenin, F.] Lab Glaciol &amp; Geophys Environm, Grenoble, France; [Severi, M.; Udisti, R.] Univ Florence, Dept Chem Ugo Schiff, Florence, Italy; [Uemura, R.] Univ Ryukyus, Dept Chem Biol &amp; Marine Sci, Okinawa, Japan</t>
  </si>
  <si>
    <t>University of Copenhagen; Niels Bohr Institute; University of Bern; University of Bern; Research Organization of Information &amp; Systems (ROIS); National Institute of Polar Research (NIPR) - Japan; Helmholtz Association; Alfred Wegener Institute, Helmholtz Centre for Polar &amp; Marine Research; University of Gottingen; Universite de Franche-Comte; Communaute Universite Grenoble Alpes; Universite Grenoble Alpes (UGA); University of Florence; University of the Ryukyus</t>
  </si>
  <si>
    <t>Svensson, A (corresponding author), Univ Copenhagen, Niels Bohr Inst, Ctr Ice &amp; Climate, DK-1168 Copenhagen, Denmark.</t>
  </si>
  <si>
    <t>as@gfy.ku.dk</t>
  </si>
  <si>
    <t>Dahl-Jensen, Dorthe/AAO-6951-2020; Rasmussen, Sune Olander/AAA-3190-2021; Wilhelms, Frank/KEI-8426-2024; Parrenin, Frédéric/H-3054-2014; Rasmussen, Sune/B-5560-2008; Svensson, Anders/A-2643-2010; Uemura, Ryu/C-9793-2012; Steffensen, Jorgen Peder/JFS-7831-2023; Udisti, Roberto/M-7966-2015; Bigler, Matthias/HTT-3872-2023; Uemura, Ryu/AGR-0677-2022; Vallelonga, Paul/I-9650-2016; Fujita, Shuji/A-7884-2016; Severi, Mirko/J-2508-2012; Kawamura, Kenji/C-7660-2011; Fischer, Hubertus/A-1211-2014; Blunier, Thomas/M-4609-2014; Winstrup, Mai/M-5844-2014</t>
  </si>
  <si>
    <t>Dahl-Jensen, Dorthe/0000-0002-1474-1948; Rasmussen, Sune Olander/0000-0002-4177-3611; Wilhelms, Frank/0000-0001-7688-3135; Parrenin, Frédéric/0000-0002-9489-3991; Svensson, Anders/0000-0002-4364-6085; Uemura, Ryu/0000-0002-4236-0085; Steffensen, Jorgen Peder/0000-0002-5516-1093; Udisti, Roberto/0000-0003-4440-8238; Bigler, Matthias/0000-0003-0184-4013; Uemura, Ryu/0000-0002-4236-0085; Becagli, Silvia/0000-0003-3633-4849; Vinther, Bo/0000-0002-6078-771X; Vallelonga, Paul/0000-0003-1055-7235; Fujita, Shuji/0000-0003-0127-0777; Severi, Mirko/0000-0003-1511-6762; Kawamura, Kenji/0000-0003-1163-700X; Fischer, Hubertus/0000-0002-2787-4221; Goto-Azuma, Kumiko/0000-0003-0992-1079; Blunier, Thomas/0000-0002-6065-7747; Winstrup, Mai/0000-0002-4794-4004</t>
  </si>
  <si>
    <t>Denmark (SNF); Belgium (FNRS-CFB); France (IFRTP); France (INSU/CNRS); Germany (AWI); Iceland (RannIs); Japan (MEXT); Sweden (SPRS); Switzerland (SNF); United States of America (NSF); EU; Grants-in-Aid for Scientific Research [21671001, 22221002] Funding Source: KAKEN</t>
  </si>
  <si>
    <t>Denmark (SNF); Belgium (FNRS-CFB)(Fonds de la Recherche Scientifique - FNRS); France (IFRTP); France (INSU/CNRS)(Centre National de la Recherche Scientifique (CNRS)); Germany (AWI); Iceland (RannIs); Japan (MEXT)(Ministry of Education, Culture, Sports, Science and Technology, Japan (MEXT)); Sweden (SPRS); Switzerland (SNF); United States of America (NSF); EU(European Union (EU)); Grants-in-Aid for Scientific Research(Ministry of Education, Culture, Sports, Science and Technology, Japan (MEXT)Japan Society for the Promotion of ScienceGrants-in-Aid for Scientific Research (KAKENHI))</t>
  </si>
  <si>
    <t>This work is a contribution to the NGRIP ice core project, which is directed and organized by the Ice and Climate Research Group at the Niels Bohr Institute, University of Copenhagen. It is being supported by funding agencies in Denmark (SNF), Belgium (FNRS-CFB), France (IFRTP and INSU/CNRS), Germany (AWI), Iceland (RannIs), Japan (MEXT), Sweden (SPRS), Switzerland (SNF) and the United States of America (NSF).r 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The main logistic support was provided by IPEV and PNRA (at Dome C) and AWI (at Dronning Maud Land). This is EPICA publication no. 289.</t>
  </si>
  <si>
    <t>10.5194/cp-9-749-2013</t>
  </si>
  <si>
    <t>WOS:000317009700016</t>
  </si>
  <si>
    <t>Zwaaftink, CDG; Cagnati, A; Crepaz, A; Fierz, C; Macelloni, G; Valt, M; Lehning, M</t>
  </si>
  <si>
    <t>Zwaaftink, C. D. Groot; Cagnati, A.; Crepaz, A.; Fierz, C.; Macelloni, G.; Valt, M.; Lehning, M.</t>
  </si>
  <si>
    <t>Event-driven deposition of snow on the Antarctic Plateau: analyzing field measurements with SNOWPACK</t>
  </si>
  <si>
    <t>TEMPORAL VARIABILITY; DOME-C; MODEL; ACCUMULATION; SALTATION; FRACTURE; COVER; LAND</t>
  </si>
  <si>
    <t>Antarctic surface snow has been studied by means of continuous measurements and observations over a period of 3 yr at Dome C. Snow observations include solid deposits in form of precipitation, diamond dust, or hoar, snow temperatures at several depths, records of deposition and erosion on the surface, and snow profiles. Together with meteorological data from automatic weather stations, this forms a unique dataset of snow conditions on the Antarctic Plateau. Large differences in snow amounts and density exist between solid deposits measured 1m above the surface and deposition at the surface. We used the snow-cover model SNOWPACK to simulate the snow-cover evolution for different deposition parameterizations. The main adaptation of the model described here is a new event-driven deposition scheme. The scheme assumes that snow is added to the snow cover permanently only during periods of strong winds. This assumption followed from the comparison between observations of solid deposits and daily records of changes in snow height: solid deposits could be observed on tables 1m above the surface on 94 out of 235 days (40 %) while deposition at the surface occurred on 59 days (25 %) during the same period, but both happened concurrently on 33 days (14 %) only. This confirms that precipitation is not necessarily the driving force behind non-temporary snow height changes. A comparison of simulated snow height to stake farm measurements over 3 yr showed that we underestimate the total accumulation by at least 33 %, when the total snow deposition is constrained by the measurements of solid deposits on tables 1m above the surface. During shorter time periods, however, we may miss over 50% of the deposited mass. This suggests that the solid deposits measured above the surface and used to drive the model, even though comparable to ECMWF forecasts in its total magnitude, should be seen as a lower boundary. As a result of the new deposition mechanism, we found a good agreement between model results and measurements of snow temperatures and recorded snow profiles. In spite of the underestimated deposition, the results thus suggest that we can obtain quite realistic simulations of the Antarctic snow cover by the introduction of event-driven snow deposition.</t>
  </si>
  <si>
    <t>[Zwaaftink, C. D. Groot; Fierz, C.; Lehning, M.] WSL Inst Snow &amp; Avalanche Res SLF, Davos, Switzerland; [Cagnati, A.; Crepaz, A.; Valt, M.] ARPAV CVA, Arabba, Italy; [Macelloni, G.] CNR, Inst Appl Phys IFAC, Florence, Italy; [Zwaaftink, C. D. Groot; Lehning, M.] Ecole Polytech Fed Lausanne, CRYOS, Sch Architecture Civil &amp; Environm Engn, CH-1015 Lausanne, Switzerland</t>
  </si>
  <si>
    <t>Swiss Federal Institutes of Technology Domain; Swiss Federal Institute for Forest, Snow &amp; Landscape Research; Consiglio Nazionale delle Ricerche (CNR); Istituto di Fisica Applicata Nello Carrara (IFAC-CNR); Swiss Federal Institutes of Technology Domain; Ecole Polytechnique Federale de Lausanne</t>
  </si>
  <si>
    <t>Zwaaftink, CDG (corresponding author), WSL Inst Snow &amp; Avalanche Res SLF, Davos, Switzerland.</t>
  </si>
  <si>
    <t>groot@slf.ch</t>
  </si>
  <si>
    <t>Groot Zwaaftink, Christine/HLQ-2709-2023; Fierz, Charles/D-3525-2012; Macelloni, Giovanni/B-7518-2015; Lehning, Michael/AFS-9462-2022</t>
  </si>
  <si>
    <t>Groot Zwaaftink, Christine/0000-0002-4286-5438; Fierz, Charles/0000-0001-9490-6732; Lehning, Michael/0000-0002-8442-0875; MACELLONI, GIOVANNI/0000-0002-9738-7939</t>
  </si>
  <si>
    <t>PNRA Consortium; ENEA Roma; ESA [N. 20066/06/NL/EL, 22046/08/NL/EL]; Swiss National Science Foundation</t>
  </si>
  <si>
    <t>PNRA Consortium; ENEA Roma; ESA(European Space Agency); Swiss National Science Foundation(Swiss National Science Foundation (SNSF))</t>
  </si>
  <si>
    <t>We thank Katie Leonard and Eric Brun for helpful discussions that improved our view of Antarctic snow and its modelling. We are grateful to Franziska Stoessel who started to work on producing the meteorological input data set for running the model. We thank the reviewers, E. M. Morris and K. Nishimura, as well as the editor M. R. van den Broeke for their insightful reviews that helped improve the manuscript. Research was carried out in the framework of the Project on Glaciology of the PNRA-MIUR and financially supported by the PNRA Consortium through collaboration with ENEA Roma. The present research was made possible by the joint French-Italian Concordia Program, which established and runs the permanent station Concordia at Dome C. This work was also funded by ESA (ESA contracts N. 20066/06/NL/EL and 22046/08/NL/EL). Stake measurements were obtained by GLACIOCLIM-SAMBA observatory at Dome C (http://www-lgge.ujf-grenoble.fr/ServiceObs/SiteWebAntarc/dc.php). The authors are grateful to the Italian-French logistic team at CONCORDIA Station for their kind assistance during the experimental campaign. The authors are particularly grateful to V. Vitale for providing the upwelling radiation data taken at the BSRN station that is run by the Institute of Atmospheric Sciences and Climate of the Italian National Research Council (ISAC/CNR). C. Groot Zwaaftink acknowledges funding provided by the Swiss National Science Foundation.</t>
  </si>
  <si>
    <t>10.5194/tc-7-333-2013</t>
  </si>
  <si>
    <t>118EH</t>
  </si>
  <si>
    <t>WOS:000317005200004</t>
  </si>
  <si>
    <t>Panigrahi, MK; Pandit, D; Naik, RK; Ishihara, S</t>
  </si>
  <si>
    <t>Panigrahi, Mruganka K.; Pandit, Dinseh; Naik, Rajesh K.; Ishihara, Shunso</t>
  </si>
  <si>
    <t>Reconstruction of Physicochemical Environment of Hydrothermal Mineralization at Malanjkhand Copper Deposit, Central India: Constraints from Sulfur Isotope Ratios in Pyrite, Molybdenite and Chalcopyrite</t>
  </si>
  <si>
    <t>RESOURCE GEOLOGY</t>
  </si>
  <si>
    <t>fluid mixing; geothermal; inorganic reduction; magmatic</t>
  </si>
  <si>
    <t>TEMPERATURE ORE-FLUID; PORPHYRY CU-MO; GRANITOID AFFILIATION; COPPER(+MOLYBDENUM) DEPOSIT; MADHYA-PRADESH; INCLUSION; AGE</t>
  </si>
  <si>
    <t>delta S-34 values of pyrite, molybdenite and chalcopyrite were determined from the Malanjkhand copper deposit. These minerals constitute the primary sulfide phases that were deposited after the initial magnetite deposition in the main orebody and host granitoid. Pyrite exhibits a depleted range of values (-2.63 to -0.56%), chalcopyrite, a very narrow range of values around zero (-0.039 to 0.201%) and molybdenite furnishes a range of enriched values (0.68 to 1.98%). On back calculation of the delta S-34 values of H2S in the fluid from which the minerals were likely to have precipitated, using standard expressions for equilibrium fractionation at the temperature range obtained from fluid inclusion and mineral fluid equilibria, it is observed that H2S in the fluid at pyrite deposition was depleted and gradually became enriched towards molybdenite and chalcopyrite deposition. This trend is best explained as being due to inorganic reduction of SO42- in the fluid and is very much in agreement with the paragenetic sequence indicating increasing activity of H2S in the fluid. The very restricted range in the delta S-34 values of sulfide minerals in the fluid does indicate a single, possibly magmatic, source of sulfur that also agrees well with the earlier deduced model of genesis of the deposit as an ancient geothermal system associated with granitic magmatism.</t>
  </si>
  <si>
    <t>[Panigrahi, Mruganka K.; Pandit, Dinseh; Naik, Rajesh K.] Indian Inst Technol, Dept Geol &amp; Geophys, Kharagpur 721302, W Bengal, India; [Pandit, Dinseh] Natl Ctr Antarctic &amp; Ocean Res, Vasco Da Gama, Goa, India; [Naik, Rajesh K.] Geol Survey India, Cent Petrol Lab, Kolkata, India; [Ishihara, Shunso] Geol Survey Japan, AIST, Tsukuba, Japan</t>
  </si>
  <si>
    <t>Indian Institute of Technology System (IIT System); Indian Institute of Technology (IIT) - Kharagpur; Ministry of Earth Sciences (MoES) - India; National Centre for Polar and Ocean Research (NCPOR); Geological Survey India; National Institute of Advanced Industrial Science &amp; Technology (AIST)</t>
  </si>
  <si>
    <t>Panigrahi, MK (corresponding author), Indian Inst Technol, Dept Geol &amp; Geophys, Kharagpur 721302, W Bengal, India.</t>
  </si>
  <si>
    <t>mkp@gg.iitkgp.ernet.in</t>
  </si>
  <si>
    <t>Pandit, Dinesh/AAM-6990-2021</t>
  </si>
  <si>
    <t>Pandit, Dinesh/0000-0003-1722-6586</t>
  </si>
  <si>
    <t>Department of Science and Technology, Government of India [ESS/16/246/2005]; Council of Scientific and Industrial Research, Government of India; Ministry of HR, Government of India</t>
  </si>
  <si>
    <t>Department of Science and Technology, Government of India(Department of Science &amp; Technology (India)); Council of Scientific and Industrial Research, Government of India(Council of Scientific &amp; Industrial Research (CSIR) - India); Ministry of HR, Government of India</t>
  </si>
  <si>
    <t>MKP acknowledges financial support from the Department of Science and Technology, Government of India, in the form of research project (ESS/16/246/2005). DP acknowledges support from the Council of Scientific and Industrial Research, Government of India for financial support in the form of a fellowship to carry out a part of the work for his doctoral dissertation. RKN thanks the Ministry of HR, Government of India for financial assistance in the form of a Research Scholarship to carry out the work at an initial stage. We thank Yasushi Watanabe, Editor-in-Chief for his thoughtful review and suggestions for improvement of the quality of the paper. The article is dedicated to late Professor Asoke Mookherjee, who introduced the first author to the Malanjkhand problem.</t>
  </si>
  <si>
    <t>1344-1698</t>
  </si>
  <si>
    <t>1751-3928</t>
  </si>
  <si>
    <t>RESOUR GEOL</t>
  </si>
  <si>
    <t>Resour. Geol</t>
  </si>
  <si>
    <t>10.1111/j.1751-3928.2012.00214.x</t>
  </si>
  <si>
    <t>Geology; Mineralogy</t>
  </si>
  <si>
    <t>116WX</t>
  </si>
  <si>
    <t>WOS:000316915100008</t>
  </si>
  <si>
    <t>Smith, KL; Sherman, AD; Shaw, TJ; Sprintall, J</t>
  </si>
  <si>
    <t>Carlson, CA; Giovannoni, SJ</t>
  </si>
  <si>
    <t>Smith, K. L., Jr.; Sherman, A. D.; Shaw, T. J.; Sprintall, J.</t>
  </si>
  <si>
    <t>Icebergs as Unique Lagrangian Ecosystems in Polar Seas</t>
  </si>
  <si>
    <t>ANNUAL REVIEW OF MARINE SCIENCE, VOL 5</t>
  </si>
  <si>
    <t>Annual Review of Marine Science</t>
  </si>
  <si>
    <t>pelagic community; carbon cycle; carbon export; Southern Ocean; Labrador Sea</t>
  </si>
  <si>
    <t>SOUTHERN-OCEAN; ANTARCTIC PENINSULA; CLIMATE-CHANGE; IRON FERTILIZATION; ATMOSPHERIC CO2; MARINE MAMMALS; NORTH-ATLANTIC; WATER-COLUMN; WEDDELL SEA; DEEP-WATER</t>
  </si>
  <si>
    <t>Global warming and its disproportionate impact on polar regions have led to increased iceberg populations. Southern Ocean studies in the northwest Weddell Sea have verified substantial delivery of terrestrial material accompanied by increased primary production and faunal abundance associated with free-drifting icebergs. It is hypothesized that input and utilization of macro- and micronutrients are promoted by conditions unique to free-drifting icebergs, leading to increased production, grazing, and export of organic carbon. In Arctic regions, increased freshwater input from meltwater acts to stratify and stabilize the upper water column. As has been observed in the Southern Ocean, Arctic-region icebergs should drive turbulent upwelling and reduce stratification, potentially leading to increased nitrate delivery to the local ecosystem. Increasing populations of icebergs in polar regions can potentially be important in mediating the drawdown and sequestration of CO2 and can thus impact the oceanic carbon cycle.</t>
  </si>
  <si>
    <t>[Smith, K. L., Jr.; Sherman, A. D.] Monterey Bay Aquarium Res Inst, Moss Landing, CA 95039 USA; [Shaw, T. J.] Univ S Carolina, Dept Chem &amp; Biochem, Columbia, SC 29208 USA; [Sprintall, J.] Univ Calif San Diego, Scripps Inst Oceanog, La Jolla, CA 92093 USA</t>
  </si>
  <si>
    <t>Monterey Bay Aquarium Research Institute; University of South Carolina System; University of South Carolina Columbia; University of California System; University of California San Diego; Scripps Institution of Oceanography</t>
  </si>
  <si>
    <t>Smith, KL (corresponding author), Monterey Bay Aquarium Res Inst, Moss Landing, CA 95039 USA.</t>
  </si>
  <si>
    <t>ksmith@mbari.org; alana@mbari.org; shaw@mail.sc.edu; jsprintall@ucsd.edu</t>
  </si>
  <si>
    <t>Sherman, Alana/O-3262-2013</t>
  </si>
  <si>
    <t>Shaw, Timothy/0000-0002-0032-457X</t>
  </si>
  <si>
    <t>ANNUAL REVIEWS</t>
  </si>
  <si>
    <t>PALO ALTO</t>
  </si>
  <si>
    <t>4139 EL CAMINO WAY, PO BOX 10139, PALO ALTO, CA 94303-0897 USA</t>
  </si>
  <si>
    <t>1941-1405</t>
  </si>
  <si>
    <t>978-0-8243-4505-1</t>
  </si>
  <si>
    <t>ANNU REV MAR SCI</t>
  </si>
  <si>
    <t>Annu. Rev. Mar. Sci.</t>
  </si>
  <si>
    <t>10.1146/annurev-marine-121211-172317</t>
  </si>
  <si>
    <t>Geochemistry &amp; Geophysics; Marine &amp; Freshwater Biology; Oceanography</t>
  </si>
  <si>
    <t>BEF34</t>
  </si>
  <si>
    <t>WOS:000316390400013</t>
  </si>
  <si>
    <t>Doubleday, ZA; Clarke, SM; Li, XX; Pecl, GT; Ward, TM; Battaglene, S; Frusher, S; Gibbs, PJ; Hobday, AJ; Hutchinson, N; Jennings, SM; Stoklosa, R</t>
  </si>
  <si>
    <t>Doubleday, Zoe A.; Clarke, Steven M.; Li, Xiaoxu; Pecl, Gretta T.; Ward, Tim M.; Battaglene, Stephen; Frusher, Stewart; Gibbs, Philip J.; Hobday, Alistair J.; Hutchinson, Neil; Jennings, Sarah M.; Stoklosa, Richard</t>
  </si>
  <si>
    <t>Assessing the risk of climate change to aquaculture: a case study from south-east Australia</t>
  </si>
  <si>
    <t>AQUACULTURE ENVIRONMENT INTERACTIONS</t>
  </si>
  <si>
    <t>Risk assessment; Climate change; Aquaculture; Australia</t>
  </si>
  <si>
    <t>OYSTER SACCOSTREA-GLOMERATA; MYTILUS-GALLOPROVINCIALIS; OCEAN ACIDIFICATION; CRASSOSTREA-GIGAS; FOOD SECURITY; MARINE; TEMPERATURE; VULNERABILITY; IMPACTS; FERTILIZATION</t>
  </si>
  <si>
    <t>A qualitative screening-level risk assessment was developed to evaluate relative levels of risk from climate change to aquaculture industries. The assessment was applied to 7 major industries in the temperate south-east region of Australia and involved a simple, transparent and repeatable methodology that was appropriate for a range of different aquaculture systems and taxa. Two key stages were involved: the development of comprehensive expertise-based literature reviews or 'species profiles' and a scoring assessment, with the latter providing a defined framework within which industries could be ranked (from high to low risk). In addition to informing the second stage of the risk assessment process, the species' profiles also highlighted important climate change drivers and key information uncertainties and knowledge gaps. There was good resolution among the scoring assessments, with only 2 industries receiving the same risk score. The results indicated that oysters farmed from wild spat (Sydney rock oysters Saccostrea glomerata) were at most risk to climate change, with warm temperate hatchery-based finfish species (yellowtail kingfish Seriola lalandi) being the least at risk. This study provides critical guidance for scientists, resource managers and stakeholders for future research, both in addressing key knowledge gaps and focussing the development of more detailed risk analyses for high risk aquaculture industries in south-east Australia.</t>
  </si>
  <si>
    <t>[Doubleday, Zoe A.; Pecl, Gretta T.; Battaglene, Stephen; Frusher, Stewart] Univ Tasmania, Inst Marine &amp; Antarctic Studies, Hobart, Tas 7053, Australia; [Clarke, Steven M.; Li, Xiaoxu; Ward, Tim M.] South Australian Res &amp; Dev Inst, West Beach, SA 5024, Australia; [Clarke, Steven M.; Li, Xiaoxu; Ward, Tim M.] Marine Innovat South Australia, West Beach, SA 5024, Australia; [Gibbs, Philip J.] Cronulla Fisheries Res Ctr, Dept Primary Ind NSW, Cronulla, NSW 2230, Australia; [Hobday, Alistair J.] CSIRO, Marine &amp; Atmospher Res, Climate Adaptat Flagship, Hobart, Tas 7000, Australia; [Hutchinson, Neil] DPI Queenscliff Ctr, Dept Primary Ind, Fisheries Res Branch, Queenscliff, Vic 3225, Australia; [Jennings, Sarah M.] Univ Tasmania, Sch Econ &amp; Finance, Hobart, Tas 7001, Australia; [Stoklosa, Richard] E Syst Pty Ltd, Hobart, Tas 7000, Australia</t>
  </si>
  <si>
    <t>University of Tasmania; South Australian Research &amp; Development Institute (SARDI); NSW Department of Primary Industries; Commonwealth Scientific &amp; Industrial Research Organisation (CSIRO); University of Tasmania</t>
  </si>
  <si>
    <t>Clarke, SM (corresponding author), South Australian Res &amp; Dev Inst, West Beach, SA 5024, Australia.</t>
  </si>
  <si>
    <t>steven.clarke@sa.gov.au</t>
  </si>
  <si>
    <t>Doubleday, Zoe/AAU-6278-2020; Pecl, Gretta/D-7267-2011; Battaglene, Stephen C/H-9683-2014; WARD, Timothy Mark/KDN-7596-2024; Hobday, Alistair/A-1460-2012; Doubleday, Zoe/N-9955-2013; Frusher, Stewart D/G-5117-2014; Hutchinson, Neil/I-2306-2012; Jennings, Sarah/J-7888-2014; Doubleday, Zoe/N-9955-2013</t>
  </si>
  <si>
    <t>Pecl, Gretta/0000-0003-0192-4339; WARD, Timothy Mark/0000-0002-9003-2772; Doubleday, Zoe/0000-0003-0045-6377; Hutchinson, Neil/0000-0002-8782-3493; Jennings, Sarah/0000-0002-5760-4193; Doubleday, Zoe/0000-0002-6850-3507; Li, Xiaoxu/0000-0001-8510-624X</t>
  </si>
  <si>
    <t>project (FRDC) by the El Nemo South East Australia Program (SEAP) [2009/070]; Australian Fisheries Management Authority; CSIRO; DPI (Victoria); Fisheries Research &amp; Development Corporation; Industry Investment NSW; SARDI; Department of Primary Industries; Parks; Water &amp; Environment (Tasmania); University of Tasmania; Australian Government's Climate Change Research Programa-a key component of the Commonwealth Government's Australia's Farming Future initiative</t>
  </si>
  <si>
    <t>project (FRDC) by the El Nemo South East Australia Program (SEAP); Australian Fisheries Management Authority; CSIRO(Commonwealth Scientific &amp; Industrial Research Organisation (CSIRO)); DPI (Victoria); Fisheries Research &amp; Development Corporation; Industry Investment NSW; SARDI; Department of Primary Industries; Parks; Water &amp; Environment (Tasmania); University of Tasmania; Australian Government's Climate Change Research Programa-a key component of the Commonwealth Government's Australia's Farming Future initiative(Australian Government)</t>
  </si>
  <si>
    <t>We thank the following people for their expert contributions towards compiling the species profiles, including: Pheroze Jungawalla (formally Tasmanian Salmonid Growers Association), Barbara Nowak (University of Tasmania), Natalie Moltschaniwsky (University of New castle), Nick Savva (Abtas Marketing), Gary Zippel (Zippel Enterprises), Wayne O'Connor (Port Stephens Fisheries Institute), David Ellis (Australian Southern Bluefin Tuna Aquaculture Industry Association), Mark Gluis, David Stone and Bennan Chen (South Australian Research &amp; Development Institute [SARDI]). Numerous other people also supplied various images for use in the species profiles. We also thank Daniel Spooner (formerly Department of Primary Industries [DPI], Victoria) for his input at the workshops. This project (FRDC No. 2009/070) was funded by the El Nemo South East Australia Program (SEAP) which is a partnership between Australia's State and Commonwealth fisheries management and research agencies including, Australian Fisheries Management Authority, CSIRO, DPI (Victoria), Fisheries Research &amp; Development Corporation, Industry &amp; Investment NSW, SARDI, Department of Primary Industries, Parks, Water &amp; Environment (Tasmania) and the University of Tasmania. SEAP is co-funded through the Australian Government's Climate Change Research Programa-a key component of the Commonwealth Government's Australia's Farming Future initiative.</t>
  </si>
  <si>
    <t>1869-215X</t>
  </si>
  <si>
    <t>1869-7534</t>
  </si>
  <si>
    <t>AQUACULT ENV INTERAC</t>
  </si>
  <si>
    <t>Aquac. Environ. Interact.</t>
  </si>
  <si>
    <t>10.3354/aei00058</t>
  </si>
  <si>
    <t>109JE</t>
  </si>
  <si>
    <t>WOS:000316362200007</t>
  </si>
  <si>
    <t>Laptikhovsky, V</t>
  </si>
  <si>
    <t>Laptikhovsky, Vladimir</t>
  </si>
  <si>
    <t>Reproductive strategy of deep-sea and Antarctic octopods of the genera Graneledone, Adelieledone and Muusoctopus (Mollusca: Cephalopoda)</t>
  </si>
  <si>
    <t>AQUATIC BIOLOGY</t>
  </si>
  <si>
    <t>Octopus; Spawning; Post-ovulatory follicle; POF; Reproductive strategy; Deep sea; Antarctic</t>
  </si>
  <si>
    <t>SQUID GALITEUTHIS-GLACIALIS; EMBRYONIC-DEVELOPMENT; BIOLOGY; HATCHLINGS; FEATURES; FEMALES</t>
  </si>
  <si>
    <t>Reproductive systems of spent brooding octopodid females of Muusoctopus longibrachus akambei, Adelieledone polymorpha and Graneledone macrotyla (Eledoninae) were collected in Southwest Atlantic and Antarctic waters. Their study demonstrated that the size distribution of post-ovulatory follicles (POF) is mostly unimodal, suggesting that they only lay 1 batch of eggs. These data, together with a reevaluation of the literature, revealed that deep-sea and polar benthic octopods are generally not multiple spawners. Females spawn a single egg mass simultaneously or as a series of several consequent mini-batches separated by short periods of time, making it difficult to distinguish them by either size or condition of their POF. Analysis of the length frequency distribution of POF is a useful tool to reconstruct the spawning history of brooding females of cold-water octopods.</t>
  </si>
  <si>
    <t>vlaptikhovsky@fisheries.gov.fk</t>
  </si>
  <si>
    <t>1864-7790</t>
  </si>
  <si>
    <t>1864-7782</t>
  </si>
  <si>
    <t>AQUAT BIOL</t>
  </si>
  <si>
    <t>Aquat. Biol.</t>
  </si>
  <si>
    <t>10.3354/ab00486</t>
  </si>
  <si>
    <t>117SS</t>
  </si>
  <si>
    <t>WOS:000316974000003</t>
  </si>
  <si>
    <t>Cordoba-Jabonero, C; Guerrero-Rascado, JL; Toledo, D; Parrondo, M; Yela, M; Gil, M; Ochoa, HA</t>
  </si>
  <si>
    <t>Cordoba-Jabonero, C.; Guerrero-Rascado, J. L.; Toledo, D.; Parrondo, M.; Yela, M.; Gil, M.; Ochoa, H. A.</t>
  </si>
  <si>
    <t>Depolarization ratio of polar stratospheric clouds in coastal Antarctica: comparison analysis between ground-based Micro Pulse Lidar and space-borne CALIOP observations</t>
  </si>
  <si>
    <t>OZONE DEPLETION; CALIPSO; TEMPERATURES; CLIMATOLOGY; STATION; SEASON; WAVES</t>
  </si>
  <si>
    <t>Polar stratospheric clouds (PSCs) play an important role in polar ozone depletion, since they are involved in diverse ozone destruction processes (chlorine activation, denitrification). The degree of that ozone reduction is depending on the type of PSCs, and hence on their occurrence. Therefore PSC characterization, mainly focused on PSC-type discrimination, is widely demanded. The backscattering (R) and volume linear depolarization (delta(V)) ratios are the parameters usually used in lidar measurements for PSC detection and identification. In this work, an improved version of the standard NASA/Micro Pulse Lidar (MPL-4), which includes a built-in depolarization detection module, has been used for PSC observations above the coastal Antarctic Belgrano II station (Argentina, 77.9 degrees S 34.6 degrees W, 256 m a.s.l.) since 2009. Examination of the MPL-4 delta(V) feature as a suitable index for PSC-type discrimination is based on the analysis of the two-channel data, i. e., the parallel (p-) and perpendicular (s-) polarized MPL signals. This study focuses on the comparison of coincident delta(V)-profiles as obtained from ground-based MPL-4 measurements during three Antarctic winters with those reported from the space-borne lidar CALIOP (Cloud-Aerosol Lidar with Orthogonal Polarization) aboard the CALIPSO (Cloud-Aerosol Lidar and Infrared Pathfinder Satellite Observation) satellite in the same period (83 simultaneous cases are analysed for 2009-2011 austral winter times). Three different approaches are considered for the comparison analysis between both lidar profile data sets in order to test the degree of agreement: the correlation coefficient (CC), as a measure of the relationship between both PSC vertical structures; the mean differences together with their root mean square (RMS) values found between data sets; and the percentage differences (BIAS), parameter also used in profiling comparisons between CALIOP and other ground-based lidar systems. All of them are examined as a function of the CALIPSO ground-track distance from the Belgrano II station. Results represent a relatively good agreement between both ground-based MPL-4 and space-borne CALIOP profiles of the volume linear depolarization ratio delta(V) for PSC events, once the MPL-4 depolarization calibration parameters are applied. Discrepancies between CALIOP and MPL-4 profiles in vertical layering structure are enhanced from 20 km up, likely due to a decrease of the signal-to-noise ratio (SNR) for both lidar systems at those altitudes. Regarding the results obtained from the mean and the percentage differences found between MPL-4 and CALIOP delta(V) profiles, a predominance of negative values is also observed, indicating a generalized underestimation of the MPL-4 depolarization as compared to that reported by CALIOP. However, absolute differences between those delta(V)-profile data sets are no higher than a 10 +/- 11% in average. Moreover, the degree of agreement between both lidar delta(V) data sets is slightly dependent on the CALIPSO ground-track overpass distance from the Belgrano II station. That is, small discrepancies are found when CALIPSO ground-track distance is as close as far from the ground-based station. These results would indicate that MPL-4 depolarization observations would reflect relatively well the PSC field that CALIOP can detect at relatively large distances from the ground-based station. As a consequence, PSC properties can be statistically similar, on average, over large volumes, and hence the present weak disagreement found between both the lidar delta(V) data sets can be likely dominated by small spatial PSC inhomogeneities along the CALIPSO separation from the station. This statement is based on the fact that Belgrano II is a station located well inside the stable Antarctic polar vortex, allowing determined thermodynamic conditions leading to a very low variability in the PSC field, and in their properties.</t>
  </si>
  <si>
    <t>[Cordoba-Jabonero, C.; Toledo, D.; Parrondo, M.; Yela, M.; Gil, M.] INTA, Atmospher Res &amp; Instrumentat Branch, Madrid 28850, Spain; [Guerrero-Rascado, J. L.] Univ Granada Junta de Andalucia, Andalusian Ctr Environm Res CEAMA, Grp Atmospher Phys, Granada, Spain; [Guerrero-Rascado, J. L.] Univ Granada UGR, Dept Appl Phys, Granada, Spain; [Ochoa, H. A.] DNA IAA, Buenos Aires, DF, Argentina</t>
  </si>
  <si>
    <t>Consejo Superior de Investigaciones Cientificas (CSIC); CSIC - Centro de Astrobiologia (INTA); University of Granada; University of Granada</t>
  </si>
  <si>
    <t>Cordoba-Jabonero, C (corresponding author), INTA, Atmospher Res &amp; Instrumentat Branch, Madrid 28850, Spain.</t>
  </si>
  <si>
    <t>cordobajc@inta.es</t>
  </si>
  <si>
    <t>Toledo, Daniel/AAA-8070-2020; , G/JUF-3136-2023; , Guerrero-Rascado/K-3631-2013; Yela Gonzalez, Margarita/J-7346-2016; Cordoba-Jabonero, Carmen/J-6331-2014</t>
  </si>
  <si>
    <t>Toledo, Daniel/0000-0002-0103-1891; , Guerrero-Rascado/0000-0002-8317-2304; Yela Gonzalez, Margarita/0000-0003-3775-3156; Cordoba-Jabonero, Carmen/0000-0003-4859-471X</t>
  </si>
  <si>
    <t>Spanish Ministry for Science and Innovation (MICINN) [CGL2010-20353]; Spanish Ministry of Education (MEC) [EX2009-0700]; Andalusian Regional Government [P10-RNM-6299]</t>
  </si>
  <si>
    <t>Spanish Ministry for Science and Innovation (MICINN)(Spanish Government); Spanish Ministry of Education (MEC)(Spanish Government); Andalusian Regional Government</t>
  </si>
  <si>
    <t>This work has been supported by the Spanish Ministry for Science and Innovation (MICINN) under grant CGL2010-20353 (project VIOLIN), the Spanish Ministry of Education (MEC) fellowship EX2009-0700 and the Andalusian Regional Government project P10-RNM-6299. CALIPSO data were obtained from the NASA Langley Research Center Atmospheric Science Data Center. Authors specially thank the DNA/IAA teams at Belgrano II station for their valuable assistance and support in the lidar and radiosounding measurements. Authors also gratefully acknowledge the valuable and useful comments and suggestions provided by three anonymous reviewers.</t>
  </si>
  <si>
    <t>10.5194/amt-6-703-2013</t>
  </si>
  <si>
    <t>118GA</t>
  </si>
  <si>
    <t>WOS:000317011200015</t>
  </si>
  <si>
    <t>Hamer, DJ; Goldsworthy, SD; Costa, DP; Fowler, SL; Page, B; Sumner, MD</t>
  </si>
  <si>
    <t>Hamer, D. J.; Goldsworthy, S. D.; Costa, D. P.; Fowler, S. L.; Page, B.; Sumner, M. D.</t>
  </si>
  <si>
    <t>The endangered Australian sea lion extensively overlaps with and regularly becomes by-catch in demersal shark gill-nets in South Australian shelf waters</t>
  </si>
  <si>
    <t>BIOLOGICAL CONSERVATION</t>
  </si>
  <si>
    <t>Australian sea lion; By-catch mortality; Depredation; Endangered; Gill-net; Operational interaction</t>
  </si>
  <si>
    <t>NORTHERN FUR SEALS; NEOPHOCA-CINEREA; MARINE MAMMALS; FISHING GEAR; MORTALITY; BEHAVIOR; DEBRIS; ENTANGLEMENT; CALIFORNIA; ABUNDANCE</t>
  </si>
  <si>
    <t>Australian sea lions (Neophoca cinerea) have typically small breeding colonies, many of which are genetically distinct populations due to female philopatry (i.e. breeding site fidelity). This situation may increase the vulnerability of the species to decline when anthropogenic influences increase levels of mortality, even by small amounts. Anecdotal reports from South Australian shelf waters suggest Australian sea lions become by-caught and drown in demersal gill-nets used to catch sharks, or escape with life threatening entanglements. This study explored the potential impact of the operational interaction by estimating the (i) extent of geographic overlap and (ii) level of by-catch. Monitoring of Australian sea lion at-sea movements and of the demersal gill-net fishery confirmed spatial overlap between the two in 68.7% of 4 km(2) grid cells across South Australian shelf waters and by-catch of 283-333 Australian sea lions each breeding cycle (193-227 each year). Recent changes to the management arrangements of demersal gill-netting in South Australian shelf waters are likely to have improved the situation for Australian sea lions, although it may be necessary to further refine aspects relating to (i) the effectiveness of untested electronic fishery monitoring methods, (ii) the efficacy of relatively small permanent fishery closures around breeding colonies and (iii) the efficiency in receiving, processing and responding to by-catch reports to ensure by-catch limits are not exceeded. Long-term monitoring at representative breeding colonies would be useful for determining if and where research and management should be prioritised. A recent report suggests a similar problem may exist in Western Australia, where approximately 14% of the species resides. Crown Copyright (C) 2012 Published by Elsevier Ltd. All rights reserved.</t>
  </si>
  <si>
    <t>[Hamer, D. J.] Australian Marine Mammal Ctr, Australian Antarctic Div, Kingston, Tas 7050, Australia; [Hamer, D. J.; Goldsworthy, S. D.] Univ Adelaide, Adelaide, SA 5000, Australia; [Goldsworthy, S. D.; Page, B.] South Australian Res &amp; Dev Inst Aquat Sci, West Beach, SA 5024, Australia; [Costa, D. P.; Fowler, S. L.] Univ Calif Santa Cruz, Santa Cruz, CA 95060 USA; [Sumner, M. D.] Univ Tasmania, Sch Zool, Hobart, Tas 7005, Australia</t>
  </si>
  <si>
    <t>Australian Antarctic Division; University of Adelaide; University of California System; University of California Santa Cruz; University of Tasmania</t>
  </si>
  <si>
    <t>Hamer, DJ (corresponding author), Australian Marine Mammal Ctr, Australian Antarctic Div, 203 Channel Highway, Kingston, Tas 7050, Australia.</t>
  </si>
  <si>
    <t>derek.hamer@aad.gov.au</t>
  </si>
  <si>
    <t>Sumner, Michael D/J-3478-2013; Costa, Daniel Paul/E-2616-2013</t>
  </si>
  <si>
    <t>Goldsworthy, Simon/0000-0003-4988-9085; Sumner, Michael/0000-0002-2471-7511; Costa, Daniel Paul/0000-0002-0233-5782</t>
  </si>
  <si>
    <t>Fisheries Research and Development Corporation (FRDC); DSEWPaC; Great Australian Bight Marine Park (GABMP) Steering Committee</t>
  </si>
  <si>
    <t>Fisheries Research and Development Corporation (FRDC)(Fisheries R&amp;D Corp); DSEWPaC; Great Australian Bight Marine Park (GABMP) Steering Committee</t>
  </si>
  <si>
    <t>The authors thank the Fisheries Research and Development Corporation (FRDC), DSEWPaC and the Great Australian Bight Marine Park (GABMP) Steering Committee for providing funds; Kirie, Philios and Lenny Toumazos (The Fish Factory Pty. Ltd.) and Stay Parissos (Theo Parissos and Sons Pty. Ltd.) for access to fishing vessels; skippers Matthew 'Boof' Larsson (FV Lutarna), Geoff McDonald (FV Jean Bryant), Alan 'Pumper' Austin (FV Opal Star) and Mark 'Scrubber' Reynolds (FV Marian H) for support, enthusiasm and insights; Alex Ivey for assistance during the observer program; Clare Fountain, Danielle Gibas, Bec McIntosh, Deb Frazer, Katie Howard, Simon Clark, Alastair Baylis, Kristian Peters, Andy Lowther, Nathan Dowie, Phillip Exton, Guy Abell, Balazs Bajka and Alex Satragno for skillful assistance and good company during field trips to capture Australian sea lions for satellite tracking; Trent Timmis, Matt Daniel and John Garvey (AFMA), Terry Walker and Matias Braccili (MAFRI) for historical SESSF catch and effort data; Simon Childerhouse (AAD) and at least thee anonymous reviewers for assistance with manuscript improvement.</t>
  </si>
  <si>
    <t>0006-3207</t>
  </si>
  <si>
    <t>1873-2917</t>
  </si>
  <si>
    <t>BIOL CONSERV</t>
  </si>
  <si>
    <t>Biol. Conserv.</t>
  </si>
  <si>
    <t>10.1016/j.biocon.2012.07.010</t>
  </si>
  <si>
    <t>113FF</t>
  </si>
  <si>
    <t>WOS:000316651200044</t>
  </si>
  <si>
    <t>Quiquet, A; Ritz, C; Punge, HJ; Mélia, DSY</t>
  </si>
  <si>
    <t>Quiquet, A.; Ritz, C.; Punge, H. J.; Salas y Melia, D.</t>
  </si>
  <si>
    <t>Greenland ice sheet contribution to sea level rise during the last interglacial period: a modelling study driven and constrained by ice core data</t>
  </si>
  <si>
    <t>GLACIAL HISTORY; CLIMATE-CHANGE; BASAL MELT; SIMULATIONS; SENSITIVITY; VARIABILITY; EVOLUTION; NORTH; ACCUMULATION; TEMPERATURE</t>
  </si>
  <si>
    <t>As pointed out by the forth assessment report of the Intergovernmental Panel on Climate Change, IPCC-AR4 (Meehl et al., 2007), the contribution of the two major ice sheets, Antarctica and Greenland, to global sea level rise, is a subject of key importance for the scientific community. By the end of the next century, a 3-5 degrees C warming is expected in Greenland. Similar temperatures in this region were reached during the last interglacial (LIG) period, 130-115 ka BP, due to a change in orbital configuration rather than to an anthropogenic forcing. Ice core evidence suggests that the Greenland ice sheet (GIS) survived this warm period, but great uncertainties remain about the total Greenland ice reduction during the LIG. Here we perform long-term simulations of the GIS using an improved ice sheet model. Both the methodologies chosen to reconstruct palaeoclimate and to calibrate the model are strongly based on proxy data. We suggest a relatively low contribution to LIG sea level rise from Greenland melting, ranging from 0.7 to 1.5m of sea level equivalent, contrasting with previous studies. Our results suggest an important contribution of the Antarctic ice sheet to the LIG highstand.</t>
  </si>
  <si>
    <t>[Quiquet, A.; Ritz, C.] UJF Grenoble 1 CNRS, LGGE, UMR5183, F-38041 Grenoble, France; [Punge, H. J.] CEA CNRS UVSQ, Lab Sci Climat &amp; Environm LSCE IPSL, UMR8212, F-91191 Gif Sur Yvette, France; [Salas y Melia, D.] URA CNRS Meteo France, CNRM GAME, Toulouse, France</t>
  </si>
  <si>
    <t>Communaute Universite Grenoble Alpes; Universite Grenoble Alpes (UGA); Centre National de la Recherche Scientifique (CNRS); CEA; Centre National de la Recherche Scientifique (CNRS); Universite Paris Saclay; CNRS - National Institute for Earth Sciences &amp; Astronomy (INSU); Meteo France; Centre National de la Recherche Scientifique (CNRS)</t>
  </si>
  <si>
    <t>Quiquet, A (corresponding author), Univ Cambridge, Dept Geog, Downing Pl, Cambridge CB2 3EN, England.</t>
  </si>
  <si>
    <t>aurelien.quiquet@lgge.obs.ujf-grenoble.fr</t>
  </si>
  <si>
    <t>IPO, PAGES/JXY-7546-2024; Quiquet, Aurélien/P-6180-2014; Punge, Heinz Jürgen/AAF-1517-2020</t>
  </si>
  <si>
    <t>Quiquet, Aurélien/0000-0001-6207-3043; Ritz, Catherine/0000-0003-0785-8571</t>
  </si>
  <si>
    <t>ANR project NEEM-France; European commission FP7 project PAST4FUTURE; Belgium (FNRS-CFB); Belgium (FWO); Canada (NRCan/GSC); China (CAS); Denmark (FIST); France (IPEV); France (CNRS/INSU); France (CEA); France (ANR); Germany (AWI); Iceland (RannIs); Japan (NIPR); South Korea (KOPRI); Netherlands (NWO/ALW); Sweden (VR); Switzerland (SNF); UK (NERC); USA (US NSF, Office of Polar Programs); European Union's Seventh Framework programme [243908]; Rhone-Alpes region [CPER07_13 CIRA]; CNRS-INSU</t>
  </si>
  <si>
    <t>ANR project NEEM-France(Agence Nationale de la Recherche (ANR)); European commission FP7 project PAST4FUTURE; 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South Korea (KOPRI)(Korea Polar Research Institute of Marine Research Placement (KOPRI)); Netherlands (NWO/ALW)(Netherlands Organization for Scientific Research (NWO)Netherlands Government); Sweden (VR)(Swedish Research Council); Switzerland (SNF); UK (NERC)(UK Research &amp; Innovation (UKRI)Natural Environment Research Council (NERC)); USA (US NSF, Office of Polar Programs); European Union's Seventh Framework programme(European Union (EU)); Rhone-Alpes region(Region Auvergne-Rhone-Alpes); CNRS-INSU(Centre National de la Recherche Scientifique (CNRS))</t>
  </si>
  <si>
    <t>We thank the CISM for providing the data sets of Shapiro and Ritzwoller (2004) and Joughin et al. (2010). We also thank Janneke Ettema, Jan van Angelen and Michiel van den Broeke (IMAU, Utrecht University) for providing RACMO2 climate fields, Xavier Fettweiss for providing the MAR climate fields and Pascale Braconnot for providing the IPSL 126 ka BP model outputs. Aurelien Quiquet is supported by the ANR project NEEM-France and European commission FP7 project PAST4FUTURE. NEEM is directed and organized by the Center of Ice and Climate at the Niels Bohr Institute and US NSF, Office of Polar Programs. It is supported by funding agencies and institutions in Belgium (FNRS-CFB and FWO), Canada (NRCan/GSC), China (CAS), Denmark (FIST), France (IPEV, CNRS/INSU, CEA and ANR), Germany (AWI), Iceland (RannIs), Japan (NIPR), South Korea (KOPRI), the Netherlands (NWO/ALW), Sweden (VR), Switzerland (SNF), UK (NERC) and the USA (US NSF, Office of Polar Programs). This is Past4Future contribution no. 29. The research leading to these results has received funding from the European Union's Seventh Framework programme (FP7/2007-2013) under grant agreement no 243908, Past4Future. Climate change - Learning from the past climate. All (or most of) the computations presented in this paper were performed using the CIMENT infrastructure (https://ciment.ujf-grenoble.fr), which is supported by the Rhone-Alpes region (GRANT CPER07_13 CIRA: http://www.ci-ra.org).; The publication of this article is financed by CNRS-INSU.</t>
  </si>
  <si>
    <t>10.5194/cp-9-353-2013</t>
  </si>
  <si>
    <t>117OD</t>
  </si>
  <si>
    <t>WOS:000316961900022</t>
  </si>
  <si>
    <t>Lüdecke, HJ; Hempelmann, A; Weiss, CO</t>
  </si>
  <si>
    <t>Luedecke, H. -J.; Hempelmann, A.; Weiss, C. O.</t>
  </si>
  <si>
    <t>Multi-periodic climate dynamics: spectral analysis of long-term instrumental and proxy temperature records</t>
  </si>
  <si>
    <t>MECHANISM; MODEL</t>
  </si>
  <si>
    <t>The longest six instrumental temperature records of monthly means reach back maximally to 1757AD and were recorded in Europe. All six show a V-shape, with temperature drop in the 19th and rise in the 20th century. Proxy temperature time series of Antarctic ice cores show this same characteristic shape, indicating this pattern as a global phenomenon. We used the mean of the six instrumental records for analysis by discrete Fourier transform (DFT), wavelets, and the detrended fluctuation analysis (DFA). For comparison, a stalagmite record was also analyzed by DFT. The harmonic decomposition of the abovementioned mean shows only six significant frequencies above periods over 30 yr. The Pearson correlation between the mean, smoothed by a 15-yr running average (boxcar) and the reconstruction using the six significant frequencies, yields r = 0.961. This good agreement has a &gt;99.9% confidence level confirmed by Monte Carlo simulations. It shows that the climate dynamics is governed at present by periodic oscillations. We find indications that observed periodicities result from intrinsic dynamics.</t>
  </si>
  <si>
    <t>[Luedecke, H. -J.] Univ Appl Sci, HTW, Saarbrucken, Germany; [Hempelmann, A.] Univ Hamburg, Hamburg Observ, Hamburg, Germany; [Weiss, C. O.] Phys Tech Bundesanstalt, Braunschweig, Germany</t>
  </si>
  <si>
    <t>University of Hamburg; Physikalisch-Technische Bundesanstalt (PTB)</t>
  </si>
  <si>
    <t>moluedecke@t-online.de</t>
  </si>
  <si>
    <t>10.5194/cp-9-447-2013</t>
  </si>
  <si>
    <t>WOS:000316961900028</t>
  </si>
  <si>
    <t>Zunz, V; Goosse, H; Massonnet, F</t>
  </si>
  <si>
    <t>Zunz, V.; Goosse, H.; Massonnet, F.</t>
  </si>
  <si>
    <t>How does internal variability influence the ability of CMIP5 models to reproduce the recent trend in Southern Ocean sea ice extent?</t>
  </si>
  <si>
    <t>CLIMATE; PREDICTION; SIMULATION; DECLINE; CYCLE</t>
  </si>
  <si>
    <t>Observations over the last 30 yr have shown that the sea ice extent in the Southern Ocean has slightly increased since 1979. Mechanisms responsible for this positive trend have not been well established yet. In this study we tackle two related issues: is the observed positive trend compatible with the internal variability of the system, and do the models agree with what we know about the observed internal variability? For that purpose, we analyse the evolution of sea ice around the Antarctic simulated by 24 different general circulation models involved in the 5th Coupled Model Intercomparison Project (CMIP5), using both historical and hindcast experiments. Our analyses show that CMIP5 models respond to the forcing, including the one induced by stratospheric ozone depletion, by reducing the sea ice cover in the Southern Ocean. Some simulations display an increase in sea ice extent similar to the observed one. According to models, the observed positive trend is compatible with internal variability. However, models strongly overestimate the variance of sea ice extent and the initialization methods currently used in models do not improve systematically the simulated trends in sea ice extent. On the basis of those results, a critical role of the internal variability in the observed increase of sea ice extent in the Southern Ocean could not be ruled out, but current models results appear inadequate to test more precisely this hypothesis.</t>
  </si>
  <si>
    <t>[Zunz, V.; Goosse, H.; Massonnet, F.] Catholic Univ Louvain, Earth &amp; Life Inst, Georges Lemaitre Ctr Earth &amp; Climate Res, B-1348 Louvain, Belgium</t>
  </si>
  <si>
    <t>Universite Catholique Louvain</t>
  </si>
  <si>
    <t>Zunz, V (corresponding author), Catholic Univ Louvain, Earth &amp; Life Inst, Georges Lemaitre Ctr Earth &amp; Climate Res, B-1348 Louvain, Belgium.</t>
  </si>
  <si>
    <t>violette.zunz@uclouvain.be</t>
  </si>
  <si>
    <t>Massonnet, Francois/J-5315-2014</t>
  </si>
  <si>
    <t>Massonnet, Francois/0000-0002-4697-5781</t>
  </si>
  <si>
    <t>F.R.S.-FNRS; Belgian Federal Science Policy Office (Research Programme on Science for a Sustainable Development)</t>
  </si>
  <si>
    <t>F.R.S.-FNRS(Fonds de la Recherche Scientifique - FNRS); Belgian Federal Science Policy Office (Research Programme on Science for a Sustainable Development)</t>
  </si>
  <si>
    <t>We thank three anonymous reviewers for their insightful comments. We acknowledge the World Climate Research Programme's Working Group on Coupled Modelling, which is responsible for CMIP, and we thank the climate modelling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thank J. Jungclaus from the Max Planck Institute for Meteorology (Hamburg, Germany) for his useful advice and his help in the analysis of the MPI model results. We also thank S. Dubinkina for her help with this manuscript. V. Z. is Research Fellow with the Fonds pour la formation a la Recherche dans l'Industrie et dans l'Agronomie (FRIA-Belgium). H. G. and F. M are respectively Senior Research Associate and Research Fellow with the Fonds National de la Recherche Scientifique (F.R.S.-FNRS-Belgium). This work is supported by the F.R.S.-FNRS and by the Belgian Federal Science Policy Office (Research Programme on Science for a Sustainable Development).</t>
  </si>
  <si>
    <t>10.5194/tc-7-451-2013</t>
  </si>
  <si>
    <t>118EK</t>
  </si>
  <si>
    <t>WOS:000317005500006</t>
  </si>
  <si>
    <t>Dixon, DA; Mayewski, PA; Korotkikh, E; Sneed, SB; Handley, MJ; Introne, DS; Scambos, TA</t>
  </si>
  <si>
    <t>Dixon, D. A.; Mayewski, P. A.; Korotkikh, E.; Sneed, S. B.; Handley, M. J.; Introne, D. S.; Scambos, T. A.</t>
  </si>
  <si>
    <t>Variations in snow and firn chemistry along US ITASE traverses and the effect of surface glazing</t>
  </si>
  <si>
    <t>EAST ANTARCTICA ICE; HEAVY-METALS; MOUNT EREBUS; DOME-C; CLIMATE VARIABILITY; LEAD CONCENTRATION; WEST ANTARCTICA; LAW DOME; CORE; RECORD</t>
  </si>
  <si>
    <t>This study provides a baseline from which changes in the chemistry of the atmosphere over Antarctica can be monitored under expected warming scenarios and continued intensification of industrial activities in the Southern Hemisphere. It is the first study to measure more than 25 chemical constituents in the surface snow and firn across extensive regions of Antarctica. We present major ion, trace element, heavy metal, rare earth element and oxygen isotope data from a series of surface snow samples and shallow firn sections collected along four US ITASE traverses across East and West Antarctica. In each sample we measure dissolved concentrations of Na+, K+, Mg2+, Ca2+, Cl-, NO3-, SO42-, and MS-using ion chromatography and total concentrations of Sr, Cd, Cs, Ba, La, Ce, Pr, Pb, Bi, U, As, Al, S, Ca, Ti, V, Cr, Mn, Fe, Co, Na, Mg, Li, and K using inductively coupled plasma sector field mass spectrometry (ICP-SFMS). We also measure delta O-18 by isotope ratio mass spectrometry. Satellite remote sensing measurements of microwave backscatter and grain size are used to assist in the identification of glaze/dune areas across Antarctica and determine if these areas can possibly contain useful chemical climate records. The majority of the non-glaze/dune samples in this study exhibit similar, or lower, concentrations to those from previous studies. Consequently, the results presented here comprise a conservative baseline for Antarctic surface snow chemical concentrations. The elements Cd, Pb, As and Bi are enriched across Antarctica relative to both ocean and upper crust elemental ratios. Local and global volcanic outgassing may account for the majority of the Bi measured in East and West Antarctica and for a significant fraction of the Cd and As. However, significant concentrations of Cd, Pb, and As remain across much of Antarctica.</t>
  </si>
  <si>
    <t>[Dixon, D. A.; Mayewski, P. A.; Korotkikh, E.; Sneed, S. B.; Handley, M. J.; Introne, D. S.] Univ Maine, Sch Earth &amp; Climate Sci, Climate Change Inst, Orono, ME 04469 USA; [Scambos, T. A.] Univ Colorado, Natl Snow &amp; Ice Data Ctr, Boulder, CO 80303 USA</t>
  </si>
  <si>
    <t>University of Maine System; University of Maine Orono; University of Colorado System; University of Colorado Boulder</t>
  </si>
  <si>
    <t>Dixon, DA (corresponding author), Univ Maine, Sch Earth &amp; Climate Sci, Climate Change Inst, Orono, ME 04469 USA.</t>
  </si>
  <si>
    <t>daniel.dixon@maine.edu</t>
  </si>
  <si>
    <t>Mayewski, Paul Andrew/HRD-6969-2023; Scambos, Ted A/B-1856-2009</t>
  </si>
  <si>
    <t>NSF OPP [0096299, 0439589, 063740, 063650, 0837883]; Office of Polar Programs; 109th Air National Guard (Scotia, New York); Ice Core Drilling Services (University of Wisconsin); Directorate For Geosciences; Office of Polar Programs (OPP) [0837883] Funding Source: National Science Foundation; Office of Polar Programs (OPP); Directorate For Geosciences [0439589, 0096299] Funding Source: National Science Foundation</t>
  </si>
  <si>
    <t>NSF OPP(National Science Foundation (NSF)NSF - Directorate for Geosciences (GEO)); Office of Polar Programs(National Science Foundation (NSF)NSF - Directorate for Geosciences (GEO)); 109th Air National Guard (Scotia, New York); Ice Core Drilling Services (University of Wisconsin); Directorate For Geosciences; Office of Polar Programs (OPP)(National Science Foundation (NSF)NSF - Directorate for Geosciences (GEO)); Office of Polar Programs (OPP); Directorate For Geosciences(National Science Foundation (NSF)NSF - Directorate for Geosciences (GEO))</t>
  </si>
  <si>
    <t>The International Trans Antarctic Scientific Expedition (ITASE) is funded by NSF OPP (0096299, 0439589, 063740, 063650 and 0837883). We greatly acknowledge the support of the Office of Polar Programs, the 109th Air National Guard (Scotia, New York), M. Wumkes, M. Waszkiewicz of Ice Core Drilling Services (University of Wisconsin), Raytheon Polar Services, and all U.S. ITASE field team personnel.</t>
  </si>
  <si>
    <t>10.5194/tc-7-515-2013</t>
  </si>
  <si>
    <t>WOS:000317005500011</t>
  </si>
  <si>
    <t>Vincent, C; Ramanathan, A; Wagnon, P; Dobhal, DP; Linda, A; Berthier, E; Sharma, P; Arnaud, Y; Azam, MF; Jose, PG; Gardelle, J</t>
  </si>
  <si>
    <t>Vincent, C.; Ramanathan, Al; Wagnon, P.; Dobhal, D. P.; Linda, A.; Berthier, E.; Sharma, P.; Arnaud, Y.; Azam, M. F.; Jose, P. G.; Gardelle, J.</t>
  </si>
  <si>
    <t>Balanced conditions or slight mass gain of glaciers in the Lahaul and Spiti region (northern India, Himalaya) during the nineties preceded recent mass loss</t>
  </si>
  <si>
    <t>CHHOTA-SHIGRI GLACIER; CLIMATE-CHANGE; HIMACHAL-PRADESH; ELEVATION CHANGES; WESTERN HIMALAYA; NEPAL HIMALAYA; ICE; ALPS; PARAMETERS; THICKNESS</t>
  </si>
  <si>
    <t>The volume change of the Chhota Shigri Glacier (India, 32 degrees 20 N, 77 degrees 30' E) between 1988 and 2010 has been determined using in situ geodetic measurements. This glacier has experienced only a slight mass loss between 1988 and 2010 (-3.8 +/- 2.0mw.e. (water equivalent) corresponding to -0.17 pm 0.09mw.e. yr(-1)). Using satellite digital elevation models (DEM) differencing and field measurements, we measure a negative mass balance (MB) between 1999 and 2010 (-4.8 +/- 1.8mw.e. corresponding to -0.44 +/- 0.16mw.e. yr(-1)). Thus, we deduce a slightly positive or near-zero MB between 1988 and 1999 (+1.0 +/- 2.7mw.e. corresponding to +0.09 +/- 0.24mw.e. yr(-1)). Furthermore, satellite DEM differencing reveals that the MB of the Chhota Shigri Glacier (-0.39 pm 0.15mw.e. yr(-1)) has been only slightly less negative than the MB of a 2110 km(2) glaciarized area in the Lahaul and Spiti region (-0.44 +/- 0.09mw.e. yr(-1)) during 1999-2011. Hence, we conclude that the ice wastage is probably moderate in this region over the last 22 yr, with near equilibrium conditions during the nineties, and an ice mass loss after. The turning point from balanced to negative mass budget is not known but lies probably in the late nineties and at the latest in 1999. This positive or near-zero MB for Chhota Shigri Glacier (and probably for the surrounding glaciers of the Lahaul and Spiti region) during at least part of the 1990s contrasts with a recent compilation of MB data in the Himalayan range that indicated ice wastage since 1975. However, in agreement with this compilation, we confirm more negative balances since the beginning of the 21st century.</t>
  </si>
  <si>
    <t>[Vincent, C.; Gardelle, J.] Univ Grenoble 1, CNRS, UMR 5183, LGGE, F-38041 Grenoble, France; [Ramanathan, Al; Linda, A.; Azam, M. F.; Jose, P. G.] Jawaharlal Nehru Univ, Sch Environm Sci, New Delhi 110067, India; [Wagnon, P.; Arnaud, Y.; Azam, M. F.] Univ Grenoble 1, IRD, CNRS, UMR 5183,LTHE,G INP,UMR 5564,LGGE, F-38402 Grenoble, France; [Dobhal, D. P.] Wadia Inst Himalayan Geol, Dehra Dun 248001, Uttar Pradesh, India; [Berthier, E.] Univ Toulouse, CNRS, LEGOS, F-31400 Toulouse, France; [Sharma, P.] Natl Ctr Antarctic &amp; Ocean Res, Headland Sada 403804, Goa, India; [Wagnon, P.] ICIMOD, Kathmandu, Nepal</t>
  </si>
  <si>
    <t>Centre National de la Recherche Scientifique (CNRS); Communaute Universite Grenoble Alpes; Universite Grenoble Alpes (UGA); Jawaharlal Nehru University, New Delhi; Communaute Universite Grenoble Alpes; Institut National Polytechnique de Grenoble; Universite Grenoble Alpes (UGA); Centre National de la Recherche Scientifique (CNRS); Institut de Recherche pour le Developpement (IRD); Department of Science &amp; Technology (India); Wadia Institute of Himalayan Geology (WIHG); Universite de Toulouse; Universite Toulouse III - Paul Sabatier; Centre National de la Recherche Scientifique (CNRS); Institut de Recherche pour le Developpement (IRD); Laboratoire d'Etudes en Geophysique et oceanographie spatiales; Ministry of Earth Sciences (MoES) - India; National Centre for Polar and Ocean Research (NCPOR)</t>
  </si>
  <si>
    <t>Vincent, C (corresponding author), Univ Grenoble 1, CNRS, UMR 5183, LGGE, F-38041 Grenoble, France.</t>
  </si>
  <si>
    <t>christian.vincent@ujf-grenoble.fr</t>
  </si>
  <si>
    <t>Berthier, Etienne/B-8900-2009; AL, Ramanathan -/E-7217-2012</t>
  </si>
  <si>
    <t>Berthier, Etienne/0000-0001-5978-9155; AL, Ramanathan -/0000-0002-3491-2273; Pottakkal, Jose/0000-0001-9218-8044</t>
  </si>
  <si>
    <t>IFC-PAR/CEFIPRA [3900-W1]; French GLACIOCLIM observation service; Department of Science and Technology (DST); Space Application Centre of the Government of India; French Space Agency (CNES); Programme National de Teledetection Spatiale (PNTS); CNRS-INSU</t>
  </si>
  <si>
    <t>IFC-PAR/CEFIPRA; French GLACIOCLIM observation service; Department of Science and Technology (DST)(Department of Science &amp; Technology (India)); Space Application Centre of the Government of India; French Space Agency (CNES)(Centre National D'etudes Spatiales); Programme National de Teledetection Spatiale (PNTS); CNRS-INSU(Centre National de la Recherche Scientifique (CNRS))</t>
  </si>
  <si>
    <t>This work has been supported by the IFC-PAR/CEFIPRA under project no. 3900-W1 and by the French GLACIOCLIM observation service as well as the Department of Science and Technology (DST) and the Space Application Centre of the Government of India. The French National Research Agency through ANR-09-CEP-005-01/PAPRIKA provided DGPS devices to perform field measurements. We thank our field assistant Mr. B. B. Adhikari and the porters who were involved in successive field trips, Jawaharlal Nehru University for providing all the facilities to carry out this work, P. Chevallier for providing the map and A. Racoviteanu for commenting this manuscript. E. Berthier acknowledges support from the French Space Agency (CNES) and from the Programme National de Teledetection Spatiale (PNTS). We thank Matthias Huss for sharing the data from his mass balance reconstruction in the European Alps. We are grateful to T. Bolch and an anonymous reviewer whose comments greatly improved the quality of the manuscript.; The publication of this article is financed by CNRS-INSU.</t>
  </si>
  <si>
    <t>10.5194/tc-7-569-2013</t>
  </si>
  <si>
    <t>WOS:000317005500014</t>
  </si>
  <si>
    <t>Zenk, W; Visbeck, M</t>
  </si>
  <si>
    <t>Zenk, Walter; Visbeck, Martin</t>
  </si>
  <si>
    <t>Structure and evolution of the abyssal jet in the Vema Channel of the South Atlantic</t>
  </si>
  <si>
    <t>DEEP-SEA RESEARCH PART II-TOPICAL STUDIES IN OCEANOGRAPHY</t>
  </si>
  <si>
    <t>Vema Channel; Inter-basin exchange; Pathways for Antarctic Bottom Water; AABW; Abyssal temperature rise</t>
  </si>
  <si>
    <t>ANTARCTIC BOTTOM WATER; BRAZIL BASIN; ARGENTINE BASIN; WEDDELL SEA; CIRCULATION; OCEAN; FLOW; TRANSPORT; VARIABILITY; BOUNDARY</t>
  </si>
  <si>
    <t>The Vema Channel represents the only major conduit through which the deepest and coldest (&lt;0.2 degrees C potential temperature) Antarctic Bottom Water (AABW) flows from the Argentine into the Brazil Basin. From 2003 to 2007 two current meter moorings were present on each side of the Vema Sill, close to the narrowest spot of the Vema Channel. The data from the moorings are compared with earlier current and temperature observations. On average the maximum current core lies similar to 100 m above the bottom of the sill with a mean northward speed of 0.3 m s(-1). Farther up in the water column where Lower Circumpolar Deep Water and North Atlantic Deep Water prevail, one finds a level of sluggish currents with a southward tendency in the sub-centimeter-per-second range. The lower boundary of a layer of 'no' motion was observed at similar to 3700 m depth where the mean potential temperature amounts to 1.5 degrees C. The evolution of the abyssal warming phenomenon over the last decades with notable fluctuations at the choke point between the Argentine and the Brazil Basin differs from the more stable attitude of deep horizontal currents. Starting with CTD observations in 1972 we find a steady increase of temperatures of the coldest AABW in the Vema Channel. This general trend of rising abyssal potential temperatures of almost 2 mKelvin per year is based on mostly annual CTD observations. The overall warming trend is fully compatible with our three-year moored temperature series in agreement with earlier records with high temporal resolution. Distinct frequently fluctuating horizontal current shear between the western and eastern sides of the Vema Sill may be explained by two different catchment areas for AABW at the mouth of the Vema Channel. One pathway originates at the American continental rise and advects bottom water in form of the deep western boundary current. A second pathway is supplied by an eastern boundary current along the Mid Atlantic Ridge in the Argentine Basin. Both source waters merge at the channel entrance, mix, and their respective strengths can alternate within the sill area. (C) 2012 Elsevier Ltd. All rights reserved.</t>
  </si>
  <si>
    <t>[Zenk, Walter] GEOMAR Helmholtz Ctr Ocean Res Kiel, D-24105 Kiel, Germany; Univ Kiel, D-24105 Kiel, Germany</t>
  </si>
  <si>
    <t>Helmholtz Association; GEOMAR Helmholtz Center for Ocean Research Kiel; University of Kiel</t>
  </si>
  <si>
    <t>Zenk, W (corresponding author), GEOMAR Helmholtz Ctr Ocean Res Kiel, Dusternbrooker Weg 20, D-24105 Kiel, Germany.</t>
  </si>
  <si>
    <t>wzenk@geomar.de</t>
  </si>
  <si>
    <t>Visbeck, Martin H/B-6541-2016</t>
  </si>
  <si>
    <t>Visbeck, Martin H/0000-0002-0844-834X</t>
  </si>
  <si>
    <t>Bundesministerium fur Bildung und Forschung, Berlin, under Grant CLIVAR-marin2</t>
  </si>
  <si>
    <t>Special thanks go to Tom Rossby, a unique friend and inspiring colleague. We will never forget the generous transfer of his RAFOS technology from his lab in Narragansett to Kiel. He was always our patient Lagrange advisor who provided us valuable suggestions and heavy technical support in difficult situations. In the collection of data miscellaneous ships from Brazil, Germany, Russia, the UK, and the USA were involved. We wish to acknowledge the nautical support of the Captains and their crews of all engaged research vessels. They helped to deploy and recover all moorings with skill in great cooperation across all national differences in the handling of rigs. Technical support was provided by Gerd Niehus, Claudia Denker, and Uta Neumann. We benefitted from discussions with Eugene G Morozov, Thomas J Muller, Andreas Macrander, Martin Scharffenberg. Finally the authors appreciate the support of Eberhard Fahrbach from the Alfred-Wegener-Institut, Bremerhaven, for enabling repeated work in the subtropics with the polar research vessel POLAR-STERN. Funds for the German contribution of the twin moorings were made available from the Bundesministerium fur Bildung und Forschung, Berlin, under Grant CLIVAR-marin2.</t>
  </si>
  <si>
    <t>0967-0645</t>
  </si>
  <si>
    <t>1879-0100</t>
  </si>
  <si>
    <t>DEEP-SEA RES PT II</t>
  </si>
  <si>
    <t>Deep-Sea Res. Part II-Top. Stud. Oceanogr.</t>
  </si>
  <si>
    <t>10.1016/j.dsr2.2012.07.033</t>
  </si>
  <si>
    <t>114AV</t>
  </si>
  <si>
    <t>WOS:000316713200020</t>
  </si>
  <si>
    <t>Murase, H; Kitakado, T; Hakamada, T; Matsuoka, K; Nishiwaki, S; Naganobu, M</t>
  </si>
  <si>
    <t>Murase, Hiroto; Kitakado, Toshihide; Hakamada, Takashi; Matsuoka, Koji; Nishiwaki, Shigetoshi; Naganobu, Mikio</t>
  </si>
  <si>
    <t>Spatial distribution of Antarctic minke whales (Balaenoptera bonaerensis) in relation to spatial distributions of krill in the Ross Sea, Antarctica</t>
  </si>
  <si>
    <t>FISHERIES OCEANOGRAPHY</t>
  </si>
  <si>
    <t>baleen whale; Euphausia crystallorophias; Euphausia superba; habitat; sea ice; species distribution model</t>
  </si>
  <si>
    <t>EUPHAUSIA-SUPERBA; ENVIRONMENTAL-MODELS; HABITAT PREFERENCES; CETACEAN ABUNDANCE; DOLPHIN-HABITAT; AUSTRAL SUMMER; BALEEN WHALES; PACIFIC; DENSITY; IMPACT</t>
  </si>
  <si>
    <t>The spatial distribution of Antarctic minke whales in the Ross Sea with relation to spatial distributions of their prey krill was investigated in this study using generalized additive models (GAMs). Spatial distributions of two species of krill (ice and Antarctic krill) were estimated by GAMs. Three abiotic factors distance from the continental shelf break (800m isobaths), the mean temperature and salinity from the surface to 200m (MTEM-200 and MSAL-200), and latitude and longitude were used as covariates for models of krill. Estimated spatial distributions of krill were then used with other covariates to model the spatial distribution of Antarctic minke whales. In the selected model of Antarctic minke whales, Antarctic krill were more influential than ice krill. The number of Antarctic minke whales increased as the density of Antarctic krill increased to around 1.5gm2. Beyond that, the number of Antarctic minke whales decreased as the density of Antarctic krill increased. High densities of the Antarctic minke whales were estimated along the sea ice edge in the eastern part of the Ross Sea. Specifically, the densities were high in the north of the continental shelf break where low MTEM-200 and MSAL-200 and intermediate densities of Antarctic krill were observed. Further data collection is needed to investigate interannual variations and trends in their relationship. The results show that the spatial distribution of Antarctic minke whales is a function of longitude, distance from the shelf break, oceanographic condition (temperature and salinity), and densities of ice and Antarctic krill.</t>
  </si>
  <si>
    <t>[Murase, Hiroto; Naganobu, Mikio] Natl Res Inst Far Seas Fisheries, Yokohama, Kanagawa 2368648, Japan; [Kitakado, Toshihide] Tokyo Univ Marine Sci &amp; Technol, Minato Ku, Tokyo 1088477, Japan; [Hakamada, Takashi; Matsuoka, Koji; Nishiwaki, Shigetoshi] Inst Cetacean Res, Chuo Ku, Tokyo 1040055, Japan</t>
  </si>
  <si>
    <t>Japan Fisheries Research &amp; Education Agency (FRA); Tokyo University of Marine Science &amp; Technology</t>
  </si>
  <si>
    <t>Murase, H (corresponding author), Natl Res Inst Far Seas Fisheries, 2-12-4 Fukuura, Yokohama, Kanagawa 2368648, Japan.</t>
  </si>
  <si>
    <t>muraseh@affrc.go.jp</t>
  </si>
  <si>
    <t>Murase, Hiroto/W-3556-2019; Kitakado, Toshihide/O-1944-2014</t>
  </si>
  <si>
    <t>Murase, Hiroto/0000-0001-7784-6555;</t>
  </si>
  <si>
    <t>Fisheries Agency of Japan; Fisheries Research Agency of Japan; Institute of Cetacean Research; Grants-in-Aid for Scientific Research [22500253] Funding Source: KAKEN</t>
  </si>
  <si>
    <t>Fisheries Agency of Japan; Fisheries Research Agency of Japan; Institute of Cetacean Research; Grants-in-Aid for Scientific Research(Ministry of Education, Culture, Sports, Science and Technology, Japan (MEXT)Japan Society for the Promotion of ScienceGrants-in-Aid for Scientific Research (KAKENHI))</t>
  </si>
  <si>
    <t>The authors express their thanks to the crews and the researchers who collected data in the harsh environmental conditions of the Ross Sea. The following people provided oceanographic and krill data as well as ancillary information for the analysis: Drs. Kenji Taki and Takashi Yabuki, and Mr. Tomonari Hayashi. We thank Drs. Kazushi Miyashita, Hiroki Yasuma, Ryuichi Matsukura, and Mr. Yoshimi Takao, who provided thoughtful comments on the acoustic data analysis. Special thanks are due to Ms. Tomoko Hasegawa, who supported the handling of the data set. Comments from Drs. David Ainley and Keith Reid on an earlier draft greatly improved the manuscript. Comments from anonymous reviewers refined the manuscript further. The study was supported by the Fisheries Agency of Japan, the Fisheries Research Agency of Japan and the Institute of Cetacean Research. We thank these institutions for their support.</t>
  </si>
  <si>
    <t>1054-6006</t>
  </si>
  <si>
    <t>1365-2419</t>
  </si>
  <si>
    <t>FISH OCEANOGR</t>
  </si>
  <si>
    <t>Fish Oceanogr.</t>
  </si>
  <si>
    <t>10.1111/fog.12011</t>
  </si>
  <si>
    <t>Fisheries; Oceanography</t>
  </si>
  <si>
    <t>119BU</t>
  </si>
  <si>
    <t>WOS:000317072600002</t>
  </si>
  <si>
    <t>Bhatia, A; Malhotra, P; Agarwal, AK</t>
  </si>
  <si>
    <t>Bhatia, Abhijeet; Malhotra, Pradip; Agarwal, Ashok Kumar</t>
  </si>
  <si>
    <t>Reasons for medical consultation among members of the Indian Scientific Expeditions to Antarctica</t>
  </si>
  <si>
    <t>INTERNATIONAL JOURNAL OF CIRCUMPOLAR HEALTH</t>
  </si>
  <si>
    <t>Maitri; India; Polar health</t>
  </si>
  <si>
    <t>EPIDEMIOLOGY</t>
  </si>
  <si>
    <t>The article attempts to analyze the disease burden in a healthy, pre-screened population subjected to prolonged residence in the hostile environment of Antarctica. This retrospective epidemiological study was conducted utilizing data from medical consultation room on board the Indian Antarctic expedition vessels and at Indian Antarctic station, Maitri from seven Indian Scientific Expeditions to Antarctica (ISEA). The study group (n = 327) consisted of 325 men and two women. The total number of medical room consultations was 1989. Maximum consultations were for injuries (27.25%); 14.68% were musculoskeletal and 10.31% were bruises and lacerations. Disturbances of gastrointestinal tract (19.66%) were the second most common disorders. Psychological disturbances accounted for 2.66% consultations. Cold injuries constituted 2.01% consultations and photophthalmia accounted for 1.06% consultations.</t>
  </si>
  <si>
    <t>[Bhatia, Abhijeet; Malhotra, Pradip; Agarwal, Ashok Kumar] Natl Ctr Antarctic &amp; Ocean Res, Vasco Da Gama, Goa, India</t>
  </si>
  <si>
    <t>Ministry of Earth Sciences (MoES) - India; National Centre for Polar and Ocean Research (NCPOR)</t>
  </si>
  <si>
    <t>Bhatia, A (corresponding author), Sikkim Manipal Inst Med Sci, Dept Ear Nose &amp; Throat, Gangtok, India.</t>
  </si>
  <si>
    <t>abhijeetbhatia77@gmail.com</t>
  </si>
  <si>
    <t>Bhatia, Abhijeet/J-9795-2015</t>
  </si>
  <si>
    <t>Bhatia, Abhijeet/0000-0003-3251-1801</t>
  </si>
  <si>
    <t>National Centre for Antarctic and Ocean Research (NCAOR), Ministry of Earth Sciences, Government of India</t>
  </si>
  <si>
    <t>The Indian Scientific Expeditions to Antarctica are funded and organised by the National Centre for Antarctic and Ocean Research (NCAOR), Ministry of Earth Sciences, Government of India. We are grateful to NCAOR and the Indian Scientific Expeditions to Antarctica for their cooperation during data collection and during the writing of this article. This is NCAOR Contribution Number 52/2012.</t>
  </si>
  <si>
    <t>1239-9736</t>
  </si>
  <si>
    <t>INT J CIRCUMPOL HEAL</t>
  </si>
  <si>
    <t>Int. J. Circumpolar Health</t>
  </si>
  <si>
    <t>10.3402/ijch.v72i0.20175</t>
  </si>
  <si>
    <t>Public, Environmental &amp; Occupational Health</t>
  </si>
  <si>
    <t>118VA</t>
  </si>
  <si>
    <t>WOS:000317052700001</t>
  </si>
  <si>
    <t>Morland, LW; Jacka, TH</t>
  </si>
  <si>
    <t>Morland, L. W.; Jacka, T. H.</t>
  </si>
  <si>
    <t>Deduction of surface accumulation history from ice-core age/depth data</t>
  </si>
  <si>
    <t>ANTARCTICA; DOME; CHRONOLOGY; GREENLAND</t>
  </si>
  <si>
    <t>Ice-core data are the only source of ice response on timescales of hundreds to thousands of years, which is necessary to describe polar ice-sheet flows and their interaction with changing climatic conditions. Ice properties, such as a grain growth relation, require knowledge of each ice particle's history since first deposited at the surface, and not simply the present core state. This study is an analysis of 11 'present' ice cores, using their age/depth data and present accumulation, to infer their past accumulation and mean strain rate and, in turn, the strain at each level of the core. These are the ingredients necessary to determine the particle paths and associated evolution of properties. The conventional assumptions of a purely vertical velocity distribution with a uniform compressive strain rate in the core are made, but unlike an earlier analysis which allowed independent surface accumulation and strain-rate histories, it is now assumed that the strain rate is proportional to the accumulation. Determination of the past accumulation and proportionality factor is accomplished by correlation with the present age/depth data, and while good correlations are obtained a consistent solution other close correlations can yield quite different accumulation histories and corresponding proportional strain-rate histories.</t>
  </si>
  <si>
    <t>[Morland, L. W.] Univ East Anglia Norwich, Sch Math, Norwich, Norfolk, England; [Jacka, T. H.] Antarctic Climate &amp; Ecosyst Cooperat Res Ctr, Hobart, Tas, Australia</t>
  </si>
  <si>
    <t>Antarctic Climate &amp; Ecosystems Cooperative Research Centre (ACE CRC)</t>
  </si>
  <si>
    <t>Morland, LW (corresponding author), Univ East Anglia Norwich, Sch Math, Norwich, Norfolk, England.</t>
  </si>
  <si>
    <t>l.morland@uea.ac.uk</t>
  </si>
  <si>
    <t>10.3189/2013JoG12J102</t>
  </si>
  <si>
    <t>109MU</t>
  </si>
  <si>
    <t>WOS:000316373500009</t>
  </si>
  <si>
    <t>Roberts, JL; Warner, RC; Treverrow, A</t>
  </si>
  <si>
    <t>Roberts, Jason L.; Warner, Roland C.; Treverrow, Adam</t>
  </si>
  <si>
    <t>Inferring ice-flow directions from single ice-sheet surface images using the Radon transform</t>
  </si>
  <si>
    <t>EAST ANTARCTICA; BALANCE VELOCITIES; SHELF; BOUNDARIES; STRIPES; RADAR; BASIN</t>
  </si>
  <si>
    <t>We present a new method for extracting the direction of surface flow for ice sheets, based on the detection of flow-induced features that are visible in satellite imagery. The orientation of linear features is determined using a Radon transform and only requires a single image. The technique is demonstrated by applying it to the RADARSAT mosaic of Antarctica, over the Lambert Glacier-Amery Ice Shelf region of East Antarctica. Comparisons with both existing flow-direction fields and traced streamlines over the same area provide an evaluation of the method. We also illustrate its application to Landsat 7 imagery.</t>
  </si>
  <si>
    <t>[Roberts, Jason L.; Warner, Roland C.] Australian Antarctic Div, Dept Sustainabil Environm Water Populat &amp; Communi, Hobart, Tas, Australia; [Roberts, Jason L.; Warner, Roland C.; Treverrow, Adam] Univ Tasmania, Antarctic Climate &amp; Ecosyst Cooperat Res Ctr, Hobart, Tas, Australia</t>
  </si>
  <si>
    <t>Roberts, JL (corresponding author), Australian Antarctic Div, Dept Sustainabil Environm Water Populat &amp; Communi, Hobart, Tas, Australia.</t>
  </si>
  <si>
    <t>Jason.Roberts@aad.gov.au</t>
  </si>
  <si>
    <t>Warner, Roland Charles/ISS-2485-2023; Warner, Robert R./M-5342-2013; Roberts, Jason L/B-2235-2012; Treverrow, Adam/J-7450-2014</t>
  </si>
  <si>
    <t>Warner, Roland Charles/0000-0002-9778-3544; Roberts, Jason L/0000-0002-3477-4069; Treverrow, Adam/0000-0003-4666-0488</t>
  </si>
  <si>
    <t>Australian Government's Cooperative Research Centres Programme through the Antarctic Climate and Ecosystems Cooperative Research Centre (ACE CRC); Australian Antarctic Science project [AAS-2698]</t>
  </si>
  <si>
    <t>Australian Government's Cooperative Research Centres Programme through the Antarctic Climate and Ecosystems Cooperative Research Centre (ACE CRC)(Australian GovernmentDepartment of Industry, Innovation and ScienceCooperative Research Centres (CRC) Programme); Australian Antarctic Science project</t>
  </si>
  <si>
    <t>This work was supported by the Australian Government's Cooperative Research Centres Programme through the Antarctic Climate and Ecosystems Cooperative Research Centre (ACE CRC). This work was carried out as part of Australian Antarctic Science project AAS-2698. RAMP AMM-1 SAR Image Mosaic of Antarctica data from Byrd Polar Research Center at The Ohio State University. Landsat 7 image courtesy of the US Geological Survey. N. Glasser, K. Jezek and T. Scambos provided constructive reviews of the manuscript.</t>
  </si>
  <si>
    <t>10.3189/2013JoG12J042</t>
  </si>
  <si>
    <t>WOS:000316373500013</t>
  </si>
  <si>
    <t>Bogdanowicz, W; Pilot, M; Gajewska, M; Suchecka, E; Golachowski, M</t>
  </si>
  <si>
    <t>Bogdanowicz, Wieslaw; Pilot, Malgorzata; Gajewska, Marta; Suchecka, Ewa; Golachowski, Mikolaj</t>
  </si>
  <si>
    <t>Genetic diversity in a moulting colony of southern elephant seals in comparison with breeding colonies</t>
  </si>
  <si>
    <t>Southern elephant seals; Genetic diversity; Moulting; Mating system; Gene flow; Dispersal; Antarctic</t>
  </si>
  <si>
    <t>MIROUNGA-LEONINA; POPULATION-STRUCTURE; COMPUTER-PROGRAM; SITE FIDELITY; ISLAND; MOVEMENTS; PATERNITY; PATTERNS; DIFFERENTIATION; BOTTLENECK</t>
  </si>
  <si>
    <t>Southern elephant seals Mirounga leonina migrate seasonally between pelagic foraging areas in the Southern Ocean and breeding and moulting sites on subantarctic islands. Here we characterized genetic diversity of the elephant seal moulting colony from King George Island (KGI), South Shetlands Archipelago, in comparison with breeding colonies described in earlier studies. Although KGI serves as a breeding site, the numbers of elephant seals are up to 3 times higher during the moulting season, suggesting post-breeding immigration from other sites, or that large numbers of individuals skip the breeding season every year. High haplotype diversity and a high percentage of shared haplotypes is consistent with the hypothesis of immigration from other South Atlantic colonies, which is also supported by satellite tracking data from earlier studies. Estimates of effective population size at both mtDNA and microsatellite loci were unexpectedly high compared with the census size of the KGI colony, suggesting that they were elevated due to the presence of immigrants. However, we detected few immigrants and no genetic structure in the KGI colony, which could result from the genetic similarity between KGI and other breeding colonies from the South Atlantic, but could also be an effect of an insufficient sampling scheme. These results show the need for genetic monitoring of southern elephant seal colonies throughout their annual cycle to better understand the range of their seasonal movements and patterns of gene flow. The southern elephant seal serves as a model to study links between spatio-temporal environmental variability, population dynamics, and individual movements, physiology and reproductive behavior. Understanding the patterns of dispersal and gene flow in this species is essential to adequately address these general questions.</t>
  </si>
  <si>
    <t>[Bogdanowicz, Wieslaw; Pilot, Malgorzata; Gajewska, Marta; Suchecka, Ewa] Polish Acad Sci, Museum &amp; Inst Zool, PL-00679 Warsaw, Poland; [Golachowski, Mikolaj] Polish Acad Sci, Inst Biochem &amp; Biophys, Dept Antarctic Biol, PL-02106 Warsaw, Poland</t>
  </si>
  <si>
    <t>Polish Academy of Sciences; Museum &amp; Institute of Zoology of the Polish Academy of Sciences; Polish Academy of Sciences; Institute of Biochemistry &amp; Biophysics - Polish Academy of Sciences</t>
  </si>
  <si>
    <t>Bogdanowicz, W (corresponding author), Polish Acad Sci, Museum &amp; Inst Zool, Wilcza 64, PL-00679 Warsaw, Poland.</t>
  </si>
  <si>
    <t>wieslawb@miiz.waw.pl</t>
  </si>
  <si>
    <t>Bogdanowicz, Wieslaw/0000-0003-1196-2494; Pilot, Malgorzata/0000-0002-6057-5768</t>
  </si>
  <si>
    <t>Committee for Scientific Research (Polish National Polar Project) [PBZ-KBN-108/P04/2004]; Foundation for Polish Science</t>
  </si>
  <si>
    <t>Committee for Scientific Research (Polish National Polar Project); Foundation for Polish Science(Foundation for Polish Science)</t>
  </si>
  <si>
    <t>We are grateful to M. Korczak and K. J. Chwedorzewska for data on elephant seal spatial distribution in Admiralty Bay, and to A. Tereba for her assistance in the laboratory. We thank R. Van Den Bussche, P. Palsboll and 3 anonymous reviewers for their helpful comments on the manuscript. This study was partially funded by the Committee for Scientific Research (Polish National Polar Project No. PBZ-KBN-108/P04/2004: Structure, evolution and dynamics of the lithosphere, cryosphere and biosphere in the European sector of the Arctic and in the Antarctic). M. P. was supported by a fellowship from the Foundation for Polish Science.</t>
  </si>
  <si>
    <t>10.3354/meps10196</t>
  </si>
  <si>
    <t>112TX</t>
  </si>
  <si>
    <t>WOS:000316617800022</t>
  </si>
  <si>
    <t>Nelson, H; Schildmann, S; Nowaczyk, A; Gainaru, C; Geil, B; Böhmer, R</t>
  </si>
  <si>
    <t>Nelson, H.; Schildmann, S.; Nowaczyk, A.; Gainaru, C.; Geil, B.; Boehmer, R.</t>
  </si>
  <si>
    <t>Small-angle water reorientations in KOH doped hexagonal ice and clathrate hydrates</t>
  </si>
  <si>
    <t>PHYSICAL CHEMISTRY CHEMICAL PHYSICS</t>
  </si>
  <si>
    <t>PHASE-TRANSITION; MOLECULAR-REORIENTATION; DIELECTRIC-PROPERTIES; NEUTRON-DIFFRACTION; PROTON DIFFUSION; SINGLE-CRYSTALS; ANTARCTIC ICE; I-H; NMR; TETRAHYDROFURAN</t>
  </si>
  <si>
    <t>Using deuteron nuclear magnetic resonance and dielectric spectroscopy KOH doped tetrahydrofuran clathrate hydrates and KOH doped hexagonal ice are studied at temperatures above 60 and 72 K, respectively. Below these temperatures proton order is established on the lattice formed by the water molecules. In the clathrate hydrate a new type of small-angle motion is discovered using deuteron spin-spin relaxation, line-shape analysis, and stimulated-echo experiments. Based on the latter results a model is developed for the local proton motion that could successfully be tested using random-walk simulations. It is argued that the newly identified small-angle motion, obviously absent in undoped samples, is an important feature of the mechanism which accompanies the establishment of proton order not only in doped clathrate hydrates but also in doped hexagonal ice. Specific motions of OH- defects are demonstrated to explain the experimentally observed behavior. The relative importance of localized versus delocalized OH- defect motions is discussed.</t>
  </si>
  <si>
    <t>[Nelson, H.; Schildmann, S.; Nowaczyk, A.; Gainaru, C.; Boehmer, R.] Tech Univ Dortmund, Fak Phys, D-44221 Dortmund, Germany; [Geil, B.] Univ Gottingen, Inst Phys Chem, D-37077 Gottingen, Germany</t>
  </si>
  <si>
    <t>Dortmund University of Technology; University of Gottingen</t>
  </si>
  <si>
    <t>Nelson, H (corresponding author), Tech Univ Dortmund, Fak Phys, D-44221 Dortmund, Germany.</t>
  </si>
  <si>
    <t>Gainaru, Catalin/0000-0001-8295-6433</t>
  </si>
  <si>
    <t>Deutsche Forschungsgemeinschaft [BO1301/7-2]</t>
  </si>
  <si>
    <t>Deutsche Forschungsgemeinschaft(German Research Foundation (DFG))</t>
  </si>
  <si>
    <t>We thank Kay Saalwachter for stimulating discussions regarding the Anderson-Weiss theory. Funding by the Deutsche Forschungsgemeinschaft via Grant No. BO1301/7-2 is gratefully acknowledged.</t>
  </si>
  <si>
    <t>1463-9076</t>
  </si>
  <si>
    <t>1463-9084</t>
  </si>
  <si>
    <t>PHYS CHEM CHEM PHYS</t>
  </si>
  <si>
    <t>Phys. Chem. Chem. Phys.</t>
  </si>
  <si>
    <t>10.1039/c3cp00139c</t>
  </si>
  <si>
    <t>Chemistry, Physical; Physics, Atomic, Molecular &amp; Chemical</t>
  </si>
  <si>
    <t>Chemistry; Physics</t>
  </si>
  <si>
    <t>118GN</t>
  </si>
  <si>
    <t>WOS:000317012800027</t>
  </si>
  <si>
    <t>Pulido, M; Rodas, C; Dechat, D; Lucini, MM</t>
  </si>
  <si>
    <t>Pulido, M.; Rodas, C.; Dechat, D.; Lucini, M. M.</t>
  </si>
  <si>
    <t>High gravity-wave activity observed in Patagonia, Southern America: generation by a cyclone passage over the Andes mountain range</t>
  </si>
  <si>
    <t>QUARTERLY JOURNAL OF THE ROYAL METEOROLOGICAL SOCIETY</t>
  </si>
  <si>
    <t>orographic waves; wave breaking; ray-tracing</t>
  </si>
  <si>
    <t>MOMENTUM FLUX; BREAKING; DRAG</t>
  </si>
  <si>
    <t>The Antarctic peninsula and Patagonia region (the south of South America) have recently been identified as the regions with the highest gravity-wave activity in the world. In this work, the generation and propagation of gravity waves in the Patagonia region in an event of strong wave activity from 30 October 19951 November 1995 is examined by means of radiosonde measurements and simulations with the Weather Research and Forecasting (WRF) model. The waves are generated by strong surface winds found near the Andes mountains at a latitude of 4951 degrees S. The strong low-level winds are related to an extratropical cyclone that propagates southeastward in the South Pacific ocean and approaches the western coast of the continent. The waves propagate southeast toward Tierra del Fuego and they continue their propagation over the Drake Passage. They are found to propagate long meridional (lateral) distances due to the shear background conditions. This fact is corroborated with WRF simulations and a novel technique that combines wavelet analysis and backward ray-tracing. Therefore, this work provides further evidence that high gravity-wave activity found by several studies over Drake Passage may have an orographic origin. During the orographic wave event, which lasts about 72 hours, the horizontal wavelength is unexpectedly found to change day-to-day. The analysis shows that changes in the near-surface meteorological conditions produced by the cyclone passage may trigger different components of the forcing orography. The orographic waves propagate toward their critical levels, which are found at 25 km and above. The radiosonde measurements show that the wave is breaking continuously along a wide altitude range; this finding from measurements supports the picture of continuous wave erosion along the ray path instead of abrupt wave-breaking for the examined wave event. Copyright (c) 2012 Royal Meteorological Society</t>
  </si>
  <si>
    <t>[Pulido, M.; Rodas, C.] Univ Nacl Nordeste, FACENA, Dept Phys, RA-3400 Corrientes, Argentina; [Pulido, M.; Lucini, M. M.] Consejo Nacl Invest Cient &amp; Tecn, RA-1033 Buenos Aires, DF, Argentina; [Dechat, D.; Lucini, M. M.] Univ Nacl Nordeste, FACENA, Dept Math, RA-3400 Corrientes, Argentina</t>
  </si>
  <si>
    <t>Consejo Nacional de Investigaciones Cientificas y Tecnicas (CONICET)</t>
  </si>
  <si>
    <t>Pulido, M (corresponding author), Univ Nacl Nordeste, FACENA, Dept Phys, Av Libertad 5400, RA-3400 Corrientes, Argentina.</t>
  </si>
  <si>
    <t>pulido@unne.edu.ar</t>
  </si>
  <si>
    <t>ANPCyT-Argentina [PICT 35776, PICT 2007, 411]</t>
  </si>
  <si>
    <t>ANPCyT-Argentina(ANPCyT)</t>
  </si>
  <si>
    <t>We thank the three anonymous reviewers for comments that helped to improve the manuscript. This work was supported by ANPCyT-Argentina under grants PICT 35776 and PICT 2007 No. 411. We thank the European Centre for Medium-Range Weather Forecasts (ECMWF) for providing some of the data used in this work, which were taken from the public ECMWF web site. We also thank the Centre National d'Etudes Spatiales (CNES) for supporting the radiosonde measurements.</t>
  </si>
  <si>
    <t>0035-9009</t>
  </si>
  <si>
    <t>1477-870X</t>
  </si>
  <si>
    <t>Q J ROY METEOR SOC</t>
  </si>
  <si>
    <t>Q. J. R. Meteorol. Soc.</t>
  </si>
  <si>
    <t>10.1002/qj.1983</t>
  </si>
  <si>
    <t>112WA</t>
  </si>
  <si>
    <t>WOS:000316623700016</t>
  </si>
  <si>
    <t>Wilhelm, SW; King, AL; Twining, BS; LeCleir, GR; DeBruyn, JM; Strzepek, RF; Breene, CL; Pickmere, S; Ellwood, MJ; Boyd, PW; Hutchins, DA</t>
  </si>
  <si>
    <t>Wilhelm, Steven W.; King, Andrew L.; Twining, Benjamin S.; LeCleir, Gary R.; DeBruyn, Jennifer M.; Strzepek, Robert F.; Breene, Cynthia L.; Pickmere, Stuart; Ellwood, Michael J.; Boyd, Philip W.; Hutchins, David A.</t>
  </si>
  <si>
    <t>Elemental quotas and physiology of a southwestern Pacific Ocean plankton community as a function of iron availability</t>
  </si>
  <si>
    <t>Cellular iron quotas; Phytoplankton; Marine biogeochemistry</t>
  </si>
  <si>
    <t>ANTARCTIC WATERS SOUTHEAST; TRACE-METAL COMPOSITION; FERTILIZATION EXPERIMENT; PHYTOPLANKTON BLOOM; LIMITATION; GROWTH; REQUIREMENTS; PHOSPHORUS; CELLS; ZINC</t>
  </si>
  <si>
    <t>The rate of carbon fixation by phytoplankton in marine surface waters is often tied to the supply of growth-limiting nutrients such as iron (Fe). While average cellular requirements and ratios for various elements are well known in the literature, especially through laboratory culture work, the plasticity of these relationships in natural plankton communities has been less explored. To gauge how changes in the biological availability of dissolved Fe might influence cellular nutrient ratios of marine phytoplankton (and thus their physiology), we carried out incubation assays during a research expedition off the east coast of New Zealand. Trace-metal clean collection of plankton communities were amended with a continuum of concentrations of either Fe (as FeCl3) or desferroxamine B (to reduce bioavailable Fe) and then maintained for 72 h under in situ conditions. Along with standard assays (F-v/F-m, chlorophyll, nutrient drawdown), we measured elemental ratios in the bulk community by inductively coupled plasma mass spectrometry and within individual plankton using synchrotron X-ray fluorescence. Our observations demonstrate that changes in the physiological ecology of the community (biomass, photosynthetic efficiency) were mirrored in changes in elemental ratios, including a 3-fold change in Fe stoichiometry and a 13-fold change in Zn stoichiometry when Fe-replete and Fe-depleted communities were compared. We present this information in consideration of the hypothesis that flexibility in elemental quotas influences the interactions between nutrient availability and planktonic physiological status, subsequently altering C flow through marine surface waters. [GRAPHICS] .</t>
  </si>
  <si>
    <t>[Wilhelm, Steven W.; LeCleir, Gary R.] Univ Tennessee, Dept Microbiol, Knoxville, TN 37996 USA; [King, Andrew L.; Breene, Cynthia L.; Hutchins, David A.] Univ So Calif, Dept Biol Sci, Los Angeles, CA 90089 USA; [Twining, Benjamin S.] Bigelow Lab Ocean Sci, E Boothbay, ME 04544 USA; [DeBruyn, Jennifer M.] Univ Tennessee, Knoxville, TN 37996 USA; [Strzepek, Robert F.; Boyd, Philip W.] Univ Otago, Dept Chem, Ctr Chem &amp; Phys Oceanog, Dunedin, New Zealand; [Pickmere, Stuart] Natl Inst Water &amp; Atmospher Res, Hamilton 3216, New Zealand; [Ellwood, Michael J.] Australian Natl Univ, Res Sch Earth Sci, Canberra, ACT 0200, Australia</t>
  </si>
  <si>
    <t>University of Tennessee System; University of Tennessee Knoxville; University of Southern California; Bigelow Laboratory for Ocean Sciences; University of Tennessee System; University of Tennessee Knoxville; University of Otago; National Institute of Water &amp; Atmospheric Research (NIWA) - New Zealand; Australian National University</t>
  </si>
  <si>
    <t>Wilhelm, SW (corresponding author), Univ Tennessee, Dept Microbiol, Knoxville, TN 37996 USA.</t>
  </si>
  <si>
    <t>wilhelm@utk.edu</t>
  </si>
  <si>
    <t>Wilhelm, Steven W/B-8963-2008; Ellwood, Michael J/G-7390-2011; DeBruyn, Jennifer M./A-8813-2010; Strzepek, Robert Francis/GQH-8703-2022; Hutchins, David A/D-3301-2013; Boyd, Philip/J-7624-2014</t>
  </si>
  <si>
    <t>Wilhelm, Steven W/0000-0001-6283-8077; DeBruyn, Jennifer M./0000-0002-2993-4144; Strzepek, Robert Francis/0000-0002-6442-7121; Hutchins, David A/0000-0002-6637-756X; Ellwood, Michael/0000-0003-4288-8530; Boyd, Philip/0000-0001-7850-1911; Twining, Benjamin/0000-0002-1365-9192; LeCleir, Gary/0000-0002-0228-7557</t>
  </si>
  <si>
    <t>New Zealand's Coasts and Oceans OBI program; Australian Research Council; US National Science Foundation [OCE 0825379/0825405/0825319]; US DOE [DE-AC02-06CH11357]</t>
  </si>
  <si>
    <t>New Zealand's Coasts and Oceans OBI program; Australian Research Council(Australian Research Council); US National Science Foundation(National Science Foundation (NSF)); US DOE(United States Department of Energy (DOE))</t>
  </si>
  <si>
    <t>We thank the captain and crew of the RV 'Tangaroa' as well as all of our colleagues who participated on the cruise, and 2 anonymous reviewers for comments. Work was supported by grants from New Zealand's Coasts and Oceans OBI program (P. W. B.), the Australian Research Council (M.J.E.), and from the US National Science Foundation (OCE 0825379/0825405/0825319 to B. S. T., D. A. H., and S. W. W.). Use of the Advanced Photon Source, an Office of Science User Facility operated for the US Department of Energy (DOE) Office of Science by Argonne National Laboratory, was supported by the US DOE under Contract No. DE-AC02-06CH11357.</t>
  </si>
  <si>
    <t>10.3354/ame01611</t>
  </si>
  <si>
    <t>109IZ</t>
  </si>
  <si>
    <t>WOS:000316361700001</t>
  </si>
  <si>
    <t>McIntosh, RR; Kennedy, CW</t>
  </si>
  <si>
    <t>McIntosh, Rebecca R.; Kennedy, Clarence W.</t>
  </si>
  <si>
    <t>Morphology, sex ratio and cause of death in Australian sea lion (Neophoca cinerea) pups</t>
  </si>
  <si>
    <t>AUSTRALIAN MAMMALOGY</t>
  </si>
  <si>
    <t>Conspecific aggression; necropsy; otariid; pup mortality; trauma</t>
  </si>
  <si>
    <t>ANTARCTIC FUR-SEAL; HOOKWORMS UNCINARIA SPP.; PHOCARCTOS-HOOKERI; ARCTOCEPHALUS-GAZELLA; EUMETOPIAS-JUBATUS; SOUTH-AUSTRALIA; BREEDING CYCLE; MORTALITY; ISLAND; ABUNDANCE</t>
  </si>
  <si>
    <t>During a study of the demographics of the Australian sea lion (Neophoca cinerea), the sex ratio and morphology were obtained from 128 pups at Seal Bay Conservation Park over three breeding seasons (2002-03, 2004 and 2005-06). Gross necropsies were also performed. Dead pups were small and young, averaging 8.0 and 7.0 kg in weight, and 75.2 and 71.3 cm in length, for males and females respectively, only 1.8 kg heavier and 6.7 cm longer than newborn pups. There was no sex bias in the dead pups overall or in each cause of death classification. In 49% of mortalities, cause of death could not be inferred from gross necropsy and pups appeared in good condition. In pups in which cause of death was inferred, trauma inflicted by conspecifics was the primary result in both males and females (31.6%), followed by emaciation (10.4%), stillbirth or premature birth (7.6%) and possible shark attack (1.4%). Histopathological examination of tissues and other investigations would be required to determine whether other factors, such as disease or parasitic infection, and pollutant contamination contribute to pup mortality.</t>
  </si>
  <si>
    <t>[McIntosh, Rebecca R.] La Trobe Univ, Dept Zool, Bundoora, Vic 3086, Australia; [Kennedy, Clarence W.] Dept Environm &amp; Nat Resources, Kingscote, SA 5223, Australia</t>
  </si>
  <si>
    <t>La Trobe University</t>
  </si>
  <si>
    <t>McIntosh, RR (corresponding author), La Trobe Univ, Dept Zool, Bundoora, Vic 3086, Australia.</t>
  </si>
  <si>
    <t>r.mcintosh0@gmail.com</t>
  </si>
  <si>
    <t>Sea World Research and Rescue Foundation Inc.; South Australian Wildlife Conservation Fund; Kangaroo Island DENR; La Trobe University; Kangaroo Island Sealink</t>
  </si>
  <si>
    <t>We especially thank the staff of Seal Bay Conservation Park and other staff of Kangaroo Island Department for the Environment and Natural Resources (DENR) for logistic and field support. This research was funded by Sea World Research and Rescue Foundation Inc., the South Australian Wildlife Conservation Fund, Kangaroo Island DENR, La Trobe University and Kangaroo Island Sealink. A special thanks to all the volunteers who assisted with this work, particularly Rachael Gray for her field assistance and comments on this manuscript and Millie Gray for her ideas during several field necropsies. Thank you also to Simon Goldsworthy and Peter Shaughnessy for comments on the manuscript. All work was conducted under DENR permit no. U24630, ethics approval number AEC00/42(L).</t>
  </si>
  <si>
    <t>0310-0049</t>
  </si>
  <si>
    <t>1836-7402</t>
  </si>
  <si>
    <t>AUST MAMMAL</t>
  </si>
  <si>
    <t>Aust. Mammal.</t>
  </si>
  <si>
    <t>10.1071/AM12037</t>
  </si>
  <si>
    <t>107UU</t>
  </si>
  <si>
    <t>WOS:000316247100012</t>
  </si>
  <si>
    <t>Wang, QF; Zhang, CY; Hou, YH; Lin, XZ; Shen, JH; Guan, XY</t>
  </si>
  <si>
    <t>Wang, Quanfu; Zhang, Chunyu; Hou, Yanhua; Lin, Xuezheng; Shen, Jihong; Guan, Xiangyu</t>
  </si>
  <si>
    <t>Optimization of Cold-Active Lipase Production from Psychrophilic Bacterium Moritella sp 2-5-10-1 by Statistical Experimental Methods</t>
  </si>
  <si>
    <t>BIOSCIENCE BIOTECHNOLOGY AND BIOCHEMISTRY</t>
  </si>
  <si>
    <t>cold-active lipase; psychrophilic bacterium; optimization; Plackett-Burman design; response surface methodology</t>
  </si>
  <si>
    <t>RESPONSE-SURFACE METHODOLOGY; LOW-TEMPERATURE LIPASE; ANTARCTIC BACTERIA; ALKALINE LIPASE; ADAPTED LIPASE; DEEP-SEA; PSEUDOMONAS; STRAIN; ENZYMES; CLONING</t>
  </si>
  <si>
    <t>Statistical experimental designs were applied to optimize cold-active lipase production by the psychrophilic bacterium Moritella sp. 2-5-10-1. First, a Plackett-Burmen design (PBD) was used to evaluate the significant effects of various fermentation parameters. The results indicated that soybean meal, temperature, and Tween-80 had significant influences on lipase production. The levels of these variables were optimized subsequently using central composite design (CCD). A quadratic regression model of cold-active lipase production was built, and verification experiments confirmed its validity. On subsequent scale-up in a 10-L bioreactor using optimized conditions, cold-active lipase production (30.56 U/mL) was obtained. The results clearly indicated that the model was adequate even on a large scale. To our knowledge, this is the first report of statistical optimization of cold-active lipase production by a psychrophilic bacterium.</t>
  </si>
  <si>
    <t>[Wang, Quanfu; Zhang, Chunyu; Hou, Yanhua] Harbin Inst Technol, Sch Marine &amp; Technol, Weihai 264209, Peoples R China; [Lin, Xuezheng; Shen, Jihong] First Inst Oceanog, Key Lab Marine Bioact Subst, Qingdao 266061, Peoples R China; [Guan, Xiangyu] China Univ Geosci, Sch Ocean Sci, Wuhan 430074, Peoples R China</t>
  </si>
  <si>
    <t>Harbin Institute of Technology; First Institute of Oceanography, Ministry of Natural Resources; China University of Geosciences</t>
  </si>
  <si>
    <t>Zhang, CY (corresponding author), Harbin Inst Technol, Sch Marine &amp; Technol, Weihai 264209, Peoples R China.</t>
  </si>
  <si>
    <t>marry7719@yahoo.cn</t>
  </si>
  <si>
    <t>Zhang, Chun-yu/HDP-5776-2022; wang, quan fu/K-9703-2018</t>
  </si>
  <si>
    <t>wang, quan fu/0000-0002-3885-5464</t>
  </si>
  <si>
    <t>National Natural Science Foundation of China [31100037, 41006094]; National High-Tech R &amp; D Program of China [2007AA091905]; Natural Science Foundation of Shandong Province [ZR2009DQ023, ZR2011CM003]; Natural Scientific Research Innovation Foundation at the Harbin Institute of Technology [HIT-NSRIF201011]</t>
  </si>
  <si>
    <t>National Natural Science Foundation of China(National Natural Science Foundation of China (NSFC)); National High-Tech R &amp; D Program of China(National High Technology Research and Development Program of China); Natural Science Foundation of Shandong Province(Natural Science Foundation of Shandong Province); Natural Scientific Research Innovation Foundation at the Harbin Institute of Technology(Harbin Institute of Technology)</t>
  </si>
  <si>
    <t>This study was supported by National Natural Science Foundation of China (31100037, 41006094), the National High-Tech R &amp; D Program of China (2007AA091905), the Natural Science Foundation of Shandong Province (ZR2009DQ023, ZR2011CM003), and the Natural Scientific Research Innovation Foundation at the Harbin Institute of Technology (HIT-NSRIF201011).</t>
  </si>
  <si>
    <t>4 PARK SQUARE, MILTON PARK, ABINGDON OX14 4RN, OXON, ENGLAND</t>
  </si>
  <si>
    <t>0916-8451</t>
  </si>
  <si>
    <t>1347-6947</t>
  </si>
  <si>
    <t>BIOSCI BIOTECH BIOCH</t>
  </si>
  <si>
    <t>Biosci. Biotechnol. Biochem.</t>
  </si>
  <si>
    <t>10.1271/bbb.120104</t>
  </si>
  <si>
    <t>Biochemistry &amp; Molecular Biology; Biotechnology &amp; Applied Microbiology; Chemistry, Applied; Food Science &amp; Technology</t>
  </si>
  <si>
    <t>Biochemistry &amp; Molecular Biology; Biotechnology &amp; Applied Microbiology; Chemistry; Food Science &amp; Technology</t>
  </si>
  <si>
    <t>106SK</t>
  </si>
  <si>
    <t>WOS:000316164800003</t>
  </si>
  <si>
    <t>Bjarnadóttir, LR; Rüther, DC; Winsborrow, MCM; Andreassen, K</t>
  </si>
  <si>
    <t>Bjarnadottir, Lilja R.; Ruther, Denise C.; Winsborrow, Monica C. M.; Andreassen, Karin</t>
  </si>
  <si>
    <t>Grounding-line dynamics during the last deglaciation of Kveithola, W Barents Sea, as revealed by seabed geomorphology and shallow seismic stratigraphy</t>
  </si>
  <si>
    <t>BOREAS</t>
  </si>
  <si>
    <t>ANTARCTIC ICE-SHEET; SCALE GLACIAL LINEATIONS; CONTINENTAL-SHELF; SUBGLACIAL BEDFORMS; WEST ANTARCTICA; STREAM-B; PALEOCEANOGRAPHIC EVOLUTION; CLIMATE-CHANGE; LEVEL RISE; ROSS SEA</t>
  </si>
  <si>
    <t>Bjarnadottir, L. R., Ruther, D. C., Winsborrow, M. C. M. &amp; Andreassen, K. 2013 (January): Grounding-line dynamics during the last deglaciation of Kveithola, W Barents Sea, as revealed by seabed geomorphology and shallow seismic stratigraphy. Boreas, Vol. 42, pp. 84-107. 10.1111/j.1502-3885.2012.00273.x. ISSN 0300-9483. A marine geophysical study reveals a complex deglaciation pattern in the Kveithola trough, W Barents Sea. The data set includes multibeam swath bathymetry and sub-bottom sediment profiler (chirp) data acquired for the whole extent of a palaeo, marine-terminating ice stream, along with high-resolution single-channel seismic data from chosen profiles. The multibeam data show a geomorphic landform assemblage characteristic of ice streams. The results of a combination of seismic and chirp unit stratigraphy reveal that the seabed geomorphology is governed by a deeper-lying reflector. The reflector dominates surface expressions of several subglacial and ice-marginal units, each connected to a separate episode of ice-margin stillstand/advance. Analysis of the combined data set has resulted in a conceptual model of the ice-stream retreat. The model depicts complex deglaciation of a small, confined ice-stream system through episodic retreat. It describes the formation of several generations of grounding-zone systems, characterized by high meltwater discharges and the deposition of fine-grained grounding-line fans. The inferred style of grounding-zone deposition in Kveithola deviates from that of other accounts, and is suggested to be intermediate in the previously described continuum between morainal banks and grounding-line wedges. The results of this paper have implications for grounding-zone theory and should be of interest to modellers of grounding-line dynamics and ice-stream retreat.</t>
  </si>
  <si>
    <t>[Bjarnadottir, Lilja R.; Ruther, Denise C.; Winsborrow, Monica C. M.; Andreassen, Karin] Univ Tromso, Dept Geol, N-9037 Tromso, Norway</t>
  </si>
  <si>
    <t>UiT The Arctic University of Tromso</t>
  </si>
  <si>
    <t>Bjarnadóttir, LR (corresponding author), Univ Tromso, Dept Geol, Dramsveien 201, N-9037 Tromso, Norway.</t>
  </si>
  <si>
    <t>lilja.run.bjarnadottir@uit.no; denise.ruther@uit.no; monica.winsborrow@ngu.no; karin.andreassen@uit.no</t>
  </si>
  <si>
    <t>Winsborrow, Monica/0000-0001-5950-1254; Andreassen, Karin/0000-0002-9407-526X</t>
  </si>
  <si>
    <t>Ph.D. Trainee School in Arctic Marine Geology and Geophysics at the University of Tromso; NRC [200672/S60]</t>
  </si>
  <si>
    <t>Ph.D. Trainee School in Arctic Marine Geology and Geophysics at the University of Tromso; NRC(National Research Centre (NRC))</t>
  </si>
  <si>
    <t>We acknowledge the Ph.D. Trainee School in Arctic Marine Geology and Geophysics at the University of Tromso for funding the positions of L. R. Bjarnadottir (project: Fast-flowing glaciers and related processes at high latitudes) and D. C. Ruther (project: The palaeoenvironment of the Euro-Arctic Margin during the last deglaciation and Holocene). We are grateful to the University of Tromso for providing the ship time, the captain and crew on R/V 'Jan Mayen' (now 'Helmer Hanssen'), Steinar Iversen and Stefan Bunz for help during and after cruises, and we thank the Norwegian Research Council, as well as oil companies Det Norske Oljeselskap, BG Norge and Statoil, for material support through the GlaciBar project (Glaciations in the Barents Sea area; NRC grant 200672/S60). L. R. Bjarnadottir acknowledges the University Centre in Svalbard (UNIS), where she spent time as an external Ph.D. student, and the Geological Survey of Norway for providing an office during parts of the writing of this paper. We thank J. S. Wellner and C. O Cofaigh for their constructive comments on the manuscript.</t>
  </si>
  <si>
    <t>0300-9483</t>
  </si>
  <si>
    <t>1502-3885</t>
  </si>
  <si>
    <t>Boreas</t>
  </si>
  <si>
    <t>10.1111/j.1502-3885.2012.00273.x</t>
  </si>
  <si>
    <t>109CK</t>
  </si>
  <si>
    <t>WOS:000316342600006</t>
  </si>
  <si>
    <t>Aoyama, Y; Doi, K; Shibuya, K; Ohta, H; Tsuwa, I</t>
  </si>
  <si>
    <t>Aoyama, Yuichi; Doi, Koichiro; Shibuya, Kazuo; Ohta, Harumi; Tsuwa, Iuko</t>
  </si>
  <si>
    <t>Near real-time monitoring of flow velocity and direction in the floating ice tongue of the Shirase Glacier using low-cost GPS buoys</t>
  </si>
  <si>
    <t>Single-frequency GPS; ice flow; Shirase Glacier</t>
  </si>
  <si>
    <t>INTERFEROMETRY; SHEET</t>
  </si>
  <si>
    <t>The horizontal velocity vector of ice flow on the floating ice tongue of the Shirase Glacier, East Antarctica, was determined using two GPS buoys located on its east and west sides. The GPS buoys consisted of a single-frequency GPS receiver module and an Iridium satellite communication system. The instantaneous horizontal position of each GPS buoy was automatically obtained every 30 minutes, and the data were immediately transmitted to the National Institute of Polar Research (NIPR), Tokyo, Japan, via a satellite link. The location data demonstrated that the floating ice tongue moved primarily in a linear manner during the monitoring period between February and April, 2010. The speed and azimuth of the eastern buoy were (5.779 +/- 0.004 m/day, N1.4 degrees E +/- 0.5 degrees), respectively, while for the western buoy the speed and azimuth were (7.005 +/- 0.006 m/day, N13.1 degrees W +/- 0.6 degrees), respectively. Short-term variations about the mean speed and azimuth of the ice flow, with a period of 3-10 days, were also identified.</t>
  </si>
  <si>
    <t>[Aoyama, Yuichi; Doi, Koichiro; Shibuya, Kazuo] Natl Inst Polar Res, Tokyo 1908518, Japan; [Aoyama, Yuichi; Doi, Koichiro; Shibuya, Kazuo] SOKENDAI, Tokyo 1908518, Japan; [Ohta, Harumi; Tsuwa, Iuko] 51st Japanese Antarctic Res Expedit, Tokyo 1908518, Japan; [Ohta, Harumi] Global Ocean Dev Inc, Kanagawa 2330002, Japan; [Tsuwa, Iuko] Univ Tokyo, Inst Ind Sci, Tokyo 1538505, Japan</t>
  </si>
  <si>
    <t>Research Organization of Information &amp; Systems (ROIS); National Institute of Polar Research (NIPR) - Japan; Graduate University for Advanced Studies - Japan; University of Tokyo</t>
  </si>
  <si>
    <t>Aoyama, Y (corresponding author), Natl Inst Polar Res, Tokyo 1908518, Japan.</t>
  </si>
  <si>
    <t>aoyama@nipr.ac.jp</t>
  </si>
  <si>
    <t>NIPR</t>
  </si>
  <si>
    <t>NIPR(National Institute of Polar Research (NIPR) - Japan)</t>
  </si>
  <si>
    <t>The GPS measurements were completed with the cooperation of the 51st Japanese Antarctic Research Expedition led by Y. Motoyoshi. The authors acknowledge F. Pattyn and Y. Ohta for their careful reviews of the manuscript. The time-lapse video of the ice flow of Shirase Glacier was filmed and archived by the Japan Broadcasting Corporation (NHK). The surface synoptic data observed at Syowa Station are available from the web site of the Japan Meteorological Agency (http://www.jma.go.jp). The production of this paper was supported by an NIPR publication subsidy.</t>
  </si>
  <si>
    <t>TERRA SCIENTIFIC PUBL CO</t>
  </si>
  <si>
    <t>2003 SANSEI JIYUGAOKA HAIMU, 5-27-19 OKUSAWA, SETAGAYA-KU, TOKYO, 158-0083, JAPAN</t>
  </si>
  <si>
    <t>1343-8832</t>
  </si>
  <si>
    <t>10.5047/eps.2012.06.011</t>
  </si>
  <si>
    <t>109BI</t>
  </si>
  <si>
    <t>WOS:000316339700006</t>
  </si>
  <si>
    <t>Lee, LH; Cheah, YK; Sidik, SM; Xie, QY; Tang, YL; Lin, HP; Ab Mutalib, NS; Hong, K</t>
  </si>
  <si>
    <t>Lee, Learn-Han; Cheah, Yoke-Kqueen; Sidik, Shiran Mohd; Xie, Qing-Yi; Tang, Yi-Li; Lin, Hai-Peng; Ab Mutalib, Nurul-Syakima; Hong, Kui</t>
  </si>
  <si>
    <t>Barrientosiimonas humi gen. nov., sp nov., an actinobacterium of the family Dermacoccaceae</t>
  </si>
  <si>
    <t>IDENTIFICATION; ACID; DNA</t>
  </si>
  <si>
    <t>Three novel actinobacteria, strains 39(T), 40 and 41, were isolated from soil collected from Barrientos Island in the Antarctic. The taxonomic status of these strains was determined using a polyphasic approach. Comparison of 16S rRNA gene sequences revealed that strain 39(T) represented a novel lineage within the family Dermacoccaceae and was most closely related to members of the genera Demetria (96.9 % 16S rRNA gene sequence similarity), Branchiibius (95.7 %), Dermacoccus (94.4-95.3 %), Calidifontibacter (94.6 %), Luteipulveratus (94.3 W), Yimella (94.20 %) and Kytococcus (93.1 %). Cells were irregular cocci and short rods. The peptidoglycan type was A4 alpha with an L-Lys-L-Ser-D-Asp interpeptide bridge. The cell-wall sugars were galactose and glucose. The major menaquinone was MK-8(H-4). The polar lipids were diphosphatidylglycerol, phosphatidylglycerol, phosphatidylinositol, phosphoglycolipid, two glycolipids and one unknown phospholipid. The acyl type of the cell-wall polysaccharide was N-acetyl. The major cellular fatty acids were anteiso-C-17:0 (41.97%), anteiso-C-17;1 omega 9c (32.16%) and iso-C-16:0 (7.68 %). The DNA G + C content of strain 39(T) was 68.4 mol%. On the basis of phylogenetic and phenotypic differences from other genera of the family Dermacoccaceae, a novel genus and species, Barrientosiimonas humi gen. nov., sp. nov., is proposed; the type strain of the type species is 39(T) (=CGMCC 4.6864(T) =DSM 24617(T)).</t>
  </si>
  <si>
    <t>[Lee, Learn-Han; Cheah, Yoke-Kqueen; Ab Mutalib, Nurul-Syakima] Univ Putra Malaysia, Fac Med &amp; Hlth Sci, Dept Biomed Sci, Upm Serdang 43400, Selangor Darul, Malaysia; [Lee, Learn-Han] Monash Univ, Jeffrey Cheah Sch Med &amp; Hlth Sci, Bandar Sunway 46150, Selangor, Malaysia; [Sidik, Shiran Mohd] Univ Putra Malaysia, Fac Med &amp; Hlth Sci, Dept Pathol, Upm Serdang 43400, Selangor Darul, Malaysia; [Xie, Qing-Yi; Tang, Yi-Li; Lin, Hai-Peng; Hong, Kui] Chinese Acad Trop Agr Sci, Inst Trop Biosci &amp; Biotechnol, Key Lab Trop Microbial Resources, Haikou 571101, Hainan Province, Peoples R China; [Hong, Kui] Wuhan Univ, Key Lab Combinatorial Biosynth &amp; Drug Discovery, Minist Educ, Wuhan 430071, Peoples R China; [Hong, Kui] Wuhan Univ, Sch Pharmaceut Sci, Wuhan 430071, Peoples R China</t>
  </si>
  <si>
    <t>Universiti Putra Malaysia; Monash University; Monash University Malaysia; Universiti Putra Malaysia; Chinese Academy of Tropical Agricultural Sciences; Wuhan University; Wuhan University</t>
  </si>
  <si>
    <t>Cheah, YK (corresponding author), Univ Putra Malaysia, Fac Med &amp; Hlth Sci, Dept Biomed Sci, Upm Serdang 43400, Selangor Darul, Malaysia.</t>
  </si>
  <si>
    <t>ykcheah@medic.upm.edu.my; k1022@163.net</t>
  </si>
  <si>
    <t>Mutalib, Nurul Syakima Ab/C-2461-2014; lee, lee/KHW-4323-2024; Lee, Learn-Han/I-5331-2015</t>
  </si>
  <si>
    <t>Lee, Learn-Han/0000-0002-8589-7456; Ab Mutalib, Nurul Syakima/0000-0001-6914-2224; Cheah, Yoke Kqueen/0000-0001-9258-3749</t>
  </si>
  <si>
    <t>Instituto Antartico Ecuatoriano (INAE); Malaysia Antarctic Research Program, Academy of Sciences Malaysia; Universiti Putra Malaysia Research Universiti [05-01-11-1219RU]</t>
  </si>
  <si>
    <t>Instituto Antartico Ecuatoriano (INAE); Malaysia Antarctic Research Program, Academy of Sciences Malaysia; Universiti Putra Malaysia Research Universiti</t>
  </si>
  <si>
    <t>The authors are grateful to Instituto Antartico Ecuatoriano (INAE) for their support during the XI Ecuadorian Antarctic Expedition to 'Pedro Vicente Maldonado' Research Station, Greenwich Island, South Shetland Islands. This work was supported by Malaysia Antarctic Research Program, Academy of Sciences Malaysia and Universiti Putra Malaysia Research Universiti Grant Scheme (05-01-11-1219RU). The authors are thankful to Dr J.P. Euzeby for the construction of the generic name and Professor Dr Ji-Sheng Ruan for his advice. Special thanks are given to Gao Zhu-Fen and Li Xiao-Hui for laboratory assistance.</t>
  </si>
  <si>
    <t>10.1099/ijs.0.038232-0</t>
  </si>
  <si>
    <t>102FH</t>
  </si>
  <si>
    <t>WOS:000315829700039</t>
  </si>
  <si>
    <t>Chwedorzewska, KJ; Korczak-Abshire, M; Olech, M; Litynska-Zajac, M; Augustyniuk-Kram, A</t>
  </si>
  <si>
    <t>Chwedorzewska, Katarzyna J.; Korczak-Abshire, Malgorzata; Olech, Maria; Litynska-Zajac, Maria; Augustyniuk-Kram, Anna</t>
  </si>
  <si>
    <t>Alien invertebrates transported accidentally to the Polish Antarctic Station in cargo and on fresh foods</t>
  </si>
  <si>
    <t>Antarctic; Arctowski Station; alien species; human impact; invertebrates</t>
  </si>
  <si>
    <t>SOUTH-SHETLAND; CLIMATE-CHANGE; POA-ANNUA; TERRESTRIAL; POPULATIONS; IMPACTS; DIPTERA; RISK</t>
  </si>
  <si>
    <t>During three austral summer seasons cargo, expeditioner clothes and equipment of the Polish Antarctic Expedition were examined for the presence of alien propagules. Detailed inspections were undertaken at the station buildings, searching for any invertebrates. During each austral summer fresh fruits and vegetables were also inspected. A total of 359 invertebrates and their remains were found in cargo transported to Arctowski Station, or caught in the station's facilities. The majority of samples were classified as cultivation pests (26%), food pests (43%), wood-destroying pests (4%), domestic insects and arachnids (15%). Through supply of the research station a wide range of alien organisms can be accidentally transported and ultimately introduced to the Antarctic. This study has clearly demonstrated that almost all cargo items can be a potential vector for alien organisms. Species from a broad range of biological groups can be transported to the Antarctic and remain in a viable state.</t>
  </si>
  <si>
    <t>[Chwedorzewska, Katarzyna J.; Korczak-Abshire, Malgorzata; Olech, Maria] Inst Biochem &amp; Biofizyki PAN, Zaklad Biol Antarktyki, PL-02106 Warsaw, Poland; [Olech, Maria] Uniwersytet Jagiellonski, Inst Bot, PL-31501 Krakow, Poland; [Litynska-Zajac, Maria] Inst Archeol &amp; Etnol PAN, Oddzial Krakowie, PL-31016 Krakow, Poland; [Augustyniuk-Kram, Anna] Uniwersytet Kardynala Stefana Wyszynskiego Warsza, Inst Ekol &amp; Bioetyki, PL-01815 Warsaw, Poland; [Augustyniuk-Kram, Anna] Polish Acad Sci, Ctr Badan Ekologicznych, PL-05092 Dziekanow Lesny, Lomianki, Poland</t>
  </si>
  <si>
    <t>Polish Academy of Sciences; Institute of Biochemistry &amp; Biophysics - Polish Academy of Sciences; Jagiellonian University; Cardinal Stefan Wyszynski University in Warsaw; Polish Academy of Sciences</t>
  </si>
  <si>
    <t>Chwedorzewska, KJ (corresponding author), Inst Biochem &amp; Biofizyki PAN, Zaklad Biol Antarktyki, Ul Pawinskiego 5A, PL-02106 Warsaw, Poland.</t>
  </si>
  <si>
    <t>kchwedorzewska@go2.pl; korczak@gmail.com; Maria.Olech@ib.uj.edu.pl; marialitynska@gazeta.pl; aaugustyniuk-kram@cbe-pan.pl</t>
  </si>
  <si>
    <t>Chwedorzewska, Katarzyna J/A-9480-2008; Korczak-Abshire, Malgorzata/AAA-1563-2020; Chwedorzewska, Katarzyna/M-9721-2019; Augustyniuk-Kram, Anna/AAE-6845-2022</t>
  </si>
  <si>
    <t>Korczak-Abshire, Malgorzata/0000-0001-7695-0588; Chwedorzewska, Katarzyna/0000-0001-6860-3666; Augustyniuk-Kram, Anna/0000-0002-1904-9766</t>
  </si>
  <si>
    <t>10.2478/popore-2013-0005</t>
  </si>
  <si>
    <t>106US</t>
  </si>
  <si>
    <t>WOS:000316170800004</t>
  </si>
  <si>
    <t>O'Loughlin, PM; Stepien, A; Kuzniak, M; Van Den Spiegel, D</t>
  </si>
  <si>
    <t>O'Loughlin, P. Mark; Stepien, Anna; Kuzniak, Marek; Van Den Spiegel, Didier</t>
  </si>
  <si>
    <t>A new genus and four new species of sea cucumbers (Echinodermata) from Admiralty Bay, King George Island</t>
  </si>
  <si>
    <t>Antarctic; South Shetlands; Holothuroidea; Cucumariidae; Thyonidae; Molpadiidae</t>
  </si>
  <si>
    <t>HOLOTHUROIDEA</t>
  </si>
  <si>
    <t>Four new Antarctic holothuroid species are described for specimens from Admiralty Bay in King George Island. A new genus Dendrelasia O'Loughlin is erected for new cucumariid species Dendrelasia sicinski with dendrochirotid body form and elasipodid-type spinous rod ossicles. Cucumariid Staurocucumis krzysztofi has bowl ossicles predominantly with marginal teeth. Provisionally-assigned thyonid Allothyone presleri has table ossicles with spires comprising predominantly four pillars. Molpadiid Molpadia magdae has a prickly cover of irregular table ossicle spires and fusiform table discs in both body wall and tail. Staurocucumis liouvillei (Vaney) is a species complex.</t>
  </si>
  <si>
    <t>[O'Loughlin, P. Mark] Museum Victoria, Marine Biol Sect, Melbourne, Vic 3001, Australia; [Stepien, Anna; Kuzniak, Marek] Uniwersytet Lodzki, Katedra Zool Bezkregowcow &amp; Hydrobiol, PL-90237 Lodz, Poland; [Van Den Spiegel, Didier] Musee Royal Afr Cent, Sect Invertebres Noninsectes, B-3080 Tervuren, Belgium</t>
  </si>
  <si>
    <t>Museum Victoria; University of Lodz; Royal Museum for Central Africa</t>
  </si>
  <si>
    <t>O'Loughlin, PM (corresponding author), Museum Victoria, Marine Biol Sect, GPO Box 666, Melbourne, Vic 3001, Australia.</t>
  </si>
  <si>
    <t>pmoloughlin@edmundrice.org</t>
  </si>
  <si>
    <t>Stepien, Anna/HLW-6260-2023; Stępień, Anna/C-6430-2016</t>
  </si>
  <si>
    <t>Stepien, Anna/0000-0001-6447-8247</t>
  </si>
  <si>
    <t>10.2478/popore-2013-0003</t>
  </si>
  <si>
    <t>WOS:000316170800005</t>
  </si>
  <si>
    <t>Korczak-Abshire, M; Wegrzyn, M; Angiel, PJ; Lisowska, M</t>
  </si>
  <si>
    <t>Korczak-Abshire, Malgorzata; Wegrzyn, Michal; Angiel, Piotr J.; Lisowska, Maja</t>
  </si>
  <si>
    <t>Pygoscelid penguins breeding distribution and population trends at Lions Rump rookery, King George Island</t>
  </si>
  <si>
    <t>Antarctic; South Shetlands; Pygoscelis; spatial structure; population trends</t>
  </si>
  <si>
    <t>SOUTH SHETLAND ISLANDS; ANTARCTIC SEA-ICE; CLIMATE VARIABILITY; MACQUARIE ISLAND; PENINSULA; GENTOO; ADELIE; PAPUA; SEABIRD; EXTENT</t>
  </si>
  <si>
    <t>Long term changes (46 years) in the abundance of pygoscelid penguins breeding populations and nests distribution in the Lions Rump (King George Island) colony were investigated in three time intervals, according to previously published two censuses and one original study conducted in 2010. At that time a detailed colony map based on the GIS system was made. Results of this study showed different trends for each investigated species. In the last three decades Adelie penguin breeding populations showed strong declining tendencies (69.61%). In contrast, the population of gentoo penguins represents the reverse trend, increasing 171.85% over the same period. Observed changes in both penguin population sizes are reflected in the different spatial and geographic distribution of their nests. The population changes observed at the Lions Rump colony are consistent with the relevant pygoscelid penguin tendencies in the western Antarctic Peninsula region. Breeding penguin population dynamics at Lions Rump area with a minimal disturbance by human activity may well illustrate a natural response of those birds to environmental changes in the Antarctic.</t>
  </si>
  <si>
    <t>[Korczak-Abshire, Malgorzata] Inst Biochem &amp; Biofizyki PAN, Zaklad Biol Antarktyki, PL-02141 Warsaw, Poland; [Wegrzyn, Michal; Lisowska, Maja] Uniwersytetu Jagiellonskiego, Zaklad Badan &amp; Dokumentacji Polarnej Prof Zdzisla, Inst Bot, PL-31501 Krakow, Poland; [Angiel, Piotr J.] Univ Western Ontario, Dept Earth Sci, London, ON N6A, Canada</t>
  </si>
  <si>
    <t>Polish Academy of Sciences; Institute of Biochemistry &amp; Biophysics - Polish Academy of Sciences; Jagiellonian University; Western University (University of Western Ontario)</t>
  </si>
  <si>
    <t>Korczak-Abshire, M (corresponding author), Inst Biochem &amp; Biofizyki PAN, Zaklad Biol Antarktyki, Ul Ustrzycka 10-12, PL-02141 Warsaw, Poland.</t>
  </si>
  <si>
    <t>korczakm@gmail.com</t>
  </si>
  <si>
    <t>Korczak-Abshire, Malgorzata/AAA-1563-2020; Lisowska, Maja/F-9773-2012</t>
  </si>
  <si>
    <t>Korczak-Abshire, Malgorzata/0000-0001-7695-0588; Lisowska, Maja/0000-0003-1056-1779; Wegrzyn, Michal/0000-0001-7638-4803</t>
  </si>
  <si>
    <t>Ministry of Scientific Research and Higher Education [102/IPY/2007/01 CLICOPEN (ID-34)]</t>
  </si>
  <si>
    <t>The authors wish to thank Anna Gasek, Dominika Rupp-Bisek, Piotr Horzela and Ewa Libera who collected data during the 33rd, 34th and 35th Polish Antarctic Expedition. The authors also wish to delegate special thanks to Kazimierz Sierakowski for providing archived data and the map of Lions Rump penguin colony and to dr Katarzyna Chwedorzewska for her comprehensive support. The authors are grateful to all members of these three Polish Antarctic Expeditions to Arctowski Station for their logistical support. This research was supported by the Ministry of Scientific Research and Higher Education grant 102/IPY/2007/01 CLICOPEN (ID-34). We would like to thank two anonymous reviewers for constructive advice that has improved our paper.</t>
  </si>
  <si>
    <t>10.2478/popore-2013-0002</t>
  </si>
  <si>
    <t>WOS:000316170800006</t>
  </si>
  <si>
    <t>Icardo, JM</t>
  </si>
  <si>
    <t>Icardo, Jose M.</t>
  </si>
  <si>
    <t>Collagen and elastin histochemistry of the teleost bulbus arteriosus: False positives</t>
  </si>
  <si>
    <t>ACTA HISTOCHEMICA</t>
  </si>
  <si>
    <t>Bulbus arteriosus; Teleost; Collagen; Elastin; Histochemistry</t>
  </si>
  <si>
    <t>TROUT SALMO-GAIRDNERI; ANTARCTIC TELEOSTS; MICROSCOPY; MORPHOLOGY; NETWORK</t>
  </si>
  <si>
    <t>This report analyzes the localization of collagen and elastin in the teleost bulbus arteriosus by histochemistry and by transmission electron microscopy. Martin's trichrome staining shows widespread distribution of collagen in the wall of the bulbus. However, Sirius red indicates that collagen is mostly restricted to the valves and to the subepicardial layer. This is confirmed by transmission electron microscopy. Trichrome staining gives false positives that may be related to the chemical characteristics of both matrix components and dyes. By contrast, Sirius red constitutes a highly reliable method to detect collagen distribution. On the other hand, orcein heavily stains the bulbus of all teleosts examined. This includes the bulbus of the Antarctic teleosts, which do not show structurally discernable elastin fibers. In these cases, orcein may be staining non-elastin components, or basic elastin components not assembled into larger units. In the teleost bulbus, accurate identification of collagen and elastin cannot be based solely on histochemistry, but should be accompanied by structural identification of the components under study. (C) 2012 Elsevier GmbH. All rights reserved.</t>
  </si>
  <si>
    <t>[Icardo, Jose M.] Univ Cantabria, Dept Anat &amp; Cell Biol, Santander 39011, Spain</t>
  </si>
  <si>
    <t>Universidad de Cantabria</t>
  </si>
  <si>
    <t>Icardo, JM (corresponding author), Fac Med, Dept Anat &amp; Biol Celular, C Cardenal Herrera Oria S-N, Santander 39011, Spain.</t>
  </si>
  <si>
    <t>icardojm@unican.es</t>
  </si>
  <si>
    <t>Icardo, Jose Manuel/ABH-5431-2020</t>
  </si>
  <si>
    <t>Icardo, Jose Manuel/0000-0001-9543-2444</t>
  </si>
  <si>
    <t>Ministerio de Economia y Competitividad (Spain) [CGL2008-04559/BOS]</t>
  </si>
  <si>
    <t>Ministerio de Economia y Competitividad (Spain)</t>
  </si>
  <si>
    <t>Supported by grant CGL2008-04559/BOS from the Ministerio de Economia y Competitividad (Spain). Thanks are due to B. Gallardo and R. Garcia-Ceballos for technical assistance.</t>
  </si>
  <si>
    <t>0065-1281</t>
  </si>
  <si>
    <t>1618-0372</t>
  </si>
  <si>
    <t>ACTA HISTOCHEM</t>
  </si>
  <si>
    <t>Acta Histochem.</t>
  </si>
  <si>
    <t>10.1016/j.acthis.2012.03.002</t>
  </si>
  <si>
    <t>Cell Biology</t>
  </si>
  <si>
    <t>103QQ</t>
  </si>
  <si>
    <t>WOS:000315934400012</t>
  </si>
  <si>
    <t>Halzen, F; Katz, U</t>
  </si>
  <si>
    <t>Halzen, Francis; Katz, Uli</t>
  </si>
  <si>
    <t>The Era of Kilometer-Scale Neutrino Detectors</t>
  </si>
  <si>
    <t>ADVANCES IN HIGH ENERGY PHYSICS</t>
  </si>
  <si>
    <t>HIGH-ENERGY NEUTRINOS; TEV GAMMA-RAYS; PARTICLE DARK-MATTER; COSMIC-RAYS; FLUX; ASTRONOMY; ASTROPHYSICS; CENTAURUS; EMISSION; SPECTRUM</t>
  </si>
  <si>
    <t>Neutrino astronomy beyond the Sun was first imagined in the late 1950s; by the 1970s, it was realized that kilometer-scale neutrino detectors were required. The first such instrument, IceCube, transforms a cubic kilometer of deep and ultra-transparent Antarctic ice into a particle detector. KM3NeT, an instrument that aims to exploit several cubic kilometers of the deep Mediterranean sea as its detector medium, is in its final design stages. The scientific missions of these instruments include searching for sources of cosmic rays and for dark matter, observing Galactic supernova explosions, and studying the neutrinos themselves. Identifying the accelerators that produce Galactic and extragalactic cosmic rays has been a priority mission of several generations of high-energy gamma-ray and neutrino telescopes; success has been elusive so far. Detecting the gamma-ray and neutrino fluxes associated with cosmic rays reaches a new watershed with the completion of IceCube, the first neutrino detector with sensitivity to the anticipated fluxes. In this paper, we will first revisit the rationale for constructing kilometer-scale neutrino detectors. We will subsequently recall the methods for determining the arrival direction, energy and flavor of neutrinos, and will subsequently describe the architecture of the IceCube and KM3NeT detectors.</t>
  </si>
  <si>
    <t>[Halzen, Francis] Univ Wisconsin, Wisconsin IceCube Particle Astrophys Ctr, Madison, WI 53706 USA; [Katz, Uli] Univ Erlangen Nurnberg, ECAP, D-91058 Erlangen, Germany</t>
  </si>
  <si>
    <t>University of Wisconsin System; University of Wisconsin Madison; University of Erlangen Nuremberg</t>
  </si>
  <si>
    <t>Halzen, F (corresponding author), Univ Wisconsin, Wisconsin IceCube Particle Astrophys Ctr, Madison, WI 53706 USA.</t>
  </si>
  <si>
    <t>halzen@icecube.wisc.edu</t>
  </si>
  <si>
    <t>Katz, Uli/E-1925-2013</t>
  </si>
  <si>
    <t>Katz, Uli/0000-0002-7063-4418</t>
  </si>
  <si>
    <t>US National Science Foundation [OPP-0236449, PHY-0969061]; US Department of Energy [DE-FG02-95ER40896]; University of Wisconsin Research Committee; Wisconsin Alumni Research Foundation; Alexander von Humboldt Foundation in Germany; EU [011937, 212525]</t>
  </si>
  <si>
    <t>US National Science Foundation(National Science Foundation (NSF)); US Department of Energy(United States Department of Energy (DOE)); University of Wisconsin Research Committee; Wisconsin Alumni Research Foundation; Alexander von Humboldt Foundation in Germany(Alexander von Humboldt Foundation); EU(European Union (EU))</t>
  </si>
  <si>
    <t>This research was supported in part by the US National Science Foundation under Grants nos. OPP-0236449 and PHY-0969061; by the US Department of Energy under Grant no. DE-FG02-95ER40896; by the University of Wisconsin Research Committee with funds granted by the Wisconsin Alumni Research Foundation and by the Alexander von Humboldt Foundation in Germany. The KM3NeT work has been supported by the EU through the KM3NeT Design Study (Contract 011937) and the FP7 KM3NeT Preparatory Phase (Grant 212525).</t>
  </si>
  <si>
    <t>1687-7357</t>
  </si>
  <si>
    <t>1687-7365</t>
  </si>
  <si>
    <t>ADV HIGH ENERGY PHYS</t>
  </si>
  <si>
    <t>Adv. High. Energy Phys.</t>
  </si>
  <si>
    <t>10.1155/2013/680584</t>
  </si>
  <si>
    <t>102VK</t>
  </si>
  <si>
    <t>WOS:000315872300001</t>
  </si>
  <si>
    <t>Elias-Piera, F; Rossi, S; Gili, JM; Orejas, C</t>
  </si>
  <si>
    <t>Elias-Piera, F.; Rossi, S.; Gili, J. M.; Orejas, C.</t>
  </si>
  <si>
    <t>Trophic ecology of seven Antarctic gorgonian species</t>
  </si>
  <si>
    <t>Weddell Sea; Benthic-pelagic coupling; Stable isotope; Biochemical balance; Lipids; Energy storage; Octocoral; Passive suspension feeder</t>
  </si>
  <si>
    <t>SEDIMENT ACCUMULATION RATES; FOOD-WEB STRUCTURE; WEDDELL SEA; BRANSFIELD STRAIT; PARAMURICEA-CLAVATA; GONADAL DEVELOPMENT; BIOCHEMICAL-COMPOSITION; LIPID CONCENTRATIONS; SPATIAL VARIABILITY; WESTERN BRANSFIELD</t>
  </si>
  <si>
    <t>The trophic ecology of Antarctic anthozoans and their role in benthic-pelagic coupling processes is poorly understood. We studied 7 gorgonian species (Primnoisis sp., Fannyella nodosa, Ainigmaptilon antarcticum, Notisis sp., Primnoella sp., Dasystenella sp. and Thouarella sp.) in 2 Antarctic regions: the Eastern Weddell Sea and the Bransfield Strait (Antarctic Peninsula) in austral autumn 2000, a period in which primary productivity drastically decreases. We aimed at finding the main food sources for these gorgonians and to elucidate the strategies of the 7 species in this season, relating the obtained data with their biology and ecology. Stable isotope data of the 7 gorgonian species was virtually the same as that measured in the phytodetritus of the so called 'green carpets' and in microzooplankton (delta C-13 from -27.7 to -24.8%; delta N-15 from 4.1 to 7.5 parts per thousand). A large proportion of the gorgonian's diet seems to be based on sedimented and resuspended material, which supports the hypothesis that some suspension feeders deal successfully with the Antarctic winter by consuming phytoplankton sedimented in the 'green carpets'. While stable isotope analysis suggested similar food sources for 7 species, the biochemical balance indicated different energy storage as lipid values (mean +/- SD) ranged from 105.1 +/- 99 to 776.4 +/- 354.1 mu g lipids mg(-1) organic matter depending on the species. Our results contribute to a better understanding of the trophic ecology of benthic Antarctic gorgonians and their strategies for coping with autumn conditions in this polar environment.</t>
  </si>
  <si>
    <t>[Elias-Piera, F.; Rossi, S.] Inst Ciencia &amp; Tecnol Ambientals UAB, Barcelona 08193, Spain; [Gili, J. M.] Inst Ciencies Mar CSIC, Barcelona 08003, Spain; [Orejas, C.] IEO, Ctr Oceanog Baleares, Palma De Mallorca 07015, Spain</t>
  </si>
  <si>
    <t>Consejo Superior de Investigaciones Cientificas (CSIC); CSIC - Centro Mediterraneo de Investigaciones Marinas y Ambientales (CMIMA); CSIC - Instituto de Ciencias del Mar (ICM); Spanish Institute of Oceanography</t>
  </si>
  <si>
    <t>Elias-Piera, F (corresponding author), Inst Ciencia &amp; Tecnol Ambientals UAB, Campus UAB S-N, Barcelona 08193, Spain.</t>
  </si>
  <si>
    <t>francyne.ep@gmail.com</t>
  </si>
  <si>
    <t>Elias-Piera, Francyne/D-4484-2013; Orejas, Covadonga/B-1644-2012</t>
  </si>
  <si>
    <t>Rossi, Sergio/0000-0003-4402-3418; Orejas Saco del Valle, Covadonga/0000-0002-2580-1002</t>
  </si>
  <si>
    <t>CICYT [ANT99-1608-E]; BENTOLARV [CTM2009-10007]; National Research Council (CNPq) [237677/2012-1]; Ramon y Cajal Contract [RyC-2007-01327]</t>
  </si>
  <si>
    <t>CICYT(Consejo Interinstitucional de Ciencia y Tecnologia (CICYT)Spanish Government); BENTOLARV; National Research Council (CNPq)(Conselho Nacional de Desenvolvimento Cientifico e Tecnologico (CNPQ)); Ramon y Cajal Contract(Spanish Government)</t>
  </si>
  <si>
    <t>We thank P. Lopez-Gonzalez for the species classification. F. Pages, N. Teixido and E. Isla are acknowledged for helping on-board. We thank the staff of RV 'Polarstern' and the science party of ANT XVII/3 for their help. This study was funded by a CICYT (ANT99-1608-E) project (EASIZ project) and the BENTOLARV (CTM2009-10007) project. We are grateful to C. Hughet for her suggestions to the manuscript. F.E.P. receives a grant from the National Research Council (CNPq, process 237677/2012-1). S.R. was financed with a Ramon y Cajal Contract (RyC-2007-01327). We dedicate this work to our colleague and friend F. Pages, who was an enthusiastic Antarctic researcher.</t>
  </si>
  <si>
    <t>10.3354/meps10152</t>
  </si>
  <si>
    <t>103XR</t>
  </si>
  <si>
    <t>WOS:000315953300009</t>
  </si>
  <si>
    <t>Blanchet, MA; Biuw, M; Hofmeyr, GJG; de Bruyn, PJN; Lydersen, C; Kovacs, KM</t>
  </si>
  <si>
    <t>Blanchet, Marie-Anne; Biuw, Martin; Hofmeyr, G. J. Greg; de Bruyn, P. J. Nico; Lydersen, Christian; Kovacs, Kit M.</t>
  </si>
  <si>
    <t>At-sea behaviour of three krill predators breeding at Bouvetoya-Antarctic fur seals, macaroni penguins and chinstrap penguins</t>
  </si>
  <si>
    <t>Competition; Diving behaviour; Foraging ecology; Niche separation; Southern Ocean</t>
  </si>
  <si>
    <t>SOUTH SHETLAND ISLANDS; EUPHAUSIA-SUPERBA DANA; ARCTOCEPHALUS-GAZELLA; DIVING BEHAVIOR; VERTICAL-DISTRIBUTION; FORAGING BEHAVIOR; ATLANTIC SECTOR; KILLER WHALES; TIME BUDGETS; PREY</t>
  </si>
  <si>
    <t>Interspecific competition is an important structuring element in marine ecosystems, especially in the Southern Ocean which offers few prey choices to comparatively large predator populations. We present the first simultaneous observations of at-sea behaviour and attendance patterns of 3 synchronously breeding, central place, krill foragers at Bouvetoya-a small, isolated, sub-Antarctic island in the South Atlantic. Time depth recorders and satellite transmitters were deployed during the austral summer of 2007/2008 on 47 lactating Antarctic fur seals Arctocephalus gazella (AFS) rearing pups and on 20 macaroni Eudyptes chrysolophus (MAC) and 30 chinstrap Pygoscelis antarctica penguins (CHIN) rearing chicks. All 3 species showed a strong preference for the west side of the island, and their foraging ranges overlapped markedly. Solar elevation influenced the timing of departures from, and arrivals to, the island with markedly different patterns between the seals and the penguins. Diving patterns also showed significant differences among the 3 species, with the frequency of diving being higher at night for the AFS, while both penguin species dove more frequently during the day. But a common, vertical diel pattern occurred in all 3 species, with shallow diving occurring at night and deep diving during the day, consistent with the vertical migration of krill. MACs targeted 2 depth layers for feeding, including a deep prey layer at similar to 70 m, which was not exploited by AFSs and CHINs. The results suggest that there is potential for competitive overlap among these 3 krill predators at Bouvetoya, but that it is reduced via both spatial (horizontal and vertical) and temporal partitioning of foraging areas.</t>
  </si>
  <si>
    <t>[Blanchet, Marie-Anne; Biuw, Martin; Lydersen, Christian; Kovacs, Kit M.] Norwegian Polar Res Inst, N-9296 Tromso, Norway; [Hofmeyr, G. J. Greg; de Bruyn, P. J. Nico] Univ Pretoria, Mammal Res Inst, Dept Zool &amp; Entomol, ZA-0028 Pretoria, South Africa</t>
  </si>
  <si>
    <t>Norwegian Polar Institute; University of Pretoria</t>
  </si>
  <si>
    <t>Kovacs, KM (corresponding author), Norwegian Polar Res Inst, N-9296 Tromso, Norway.</t>
  </si>
  <si>
    <t>kit@npolar.no</t>
  </si>
  <si>
    <t>Biuw, Martin/AAF-9895-2021; de Bruyn, P. J. Nico/E-4176-2010; Hofmeyr, G. J. Greg/AAV-3286-2020</t>
  </si>
  <si>
    <t>de Bruyn, P. J. Nico/0000-0002-9114-9569; Hofmeyr, G. J. Greg/0000-0003-0283-6058; Biuw, Martin/0000-0001-8051-3399</t>
  </si>
  <si>
    <t>Norwegian Antarctic Research Expedition (NARE) programme; Norwegian Research Council</t>
  </si>
  <si>
    <t>Norwegian Antarctic Research Expedition (NARE) programme; Norwegian Research Council(Research Council of Norway)</t>
  </si>
  <si>
    <t>This work was funded by the Norwegian Antarctic Research Expedition (NARE) programme, awarded by the Norwegian Research Council (to K.M.K. and C.L.). The authors thank Aline Arriola and Petrus Kritzinger for help during the very demanding field work. Logistics support was provided by the Norwegian Polar Institute OLA Department and the South Africa National Antarctic Program (SANAP). We thank the captain and crew of the SA 'Agulhas' for transport to and from the island, and Titan Helicopters Ltd for cargo and personnel transfer between the ship and the island. Dr. David Ainley and 2 anonymous reviewers provided comments that helped us to improve the manuscript.</t>
  </si>
  <si>
    <t>10.3354/meps10110</t>
  </si>
  <si>
    <t>WOS:000315953300023</t>
  </si>
  <si>
    <t>González-Zevallos, D; Santos, MM; Rombolá, EF; Juáres, MA; Coria, NR</t>
  </si>
  <si>
    <t>Gonzalez-Zevallos, Diego; Mercedes Santos, M.; Rombola, Emilce F.; Juares, Mariana A.; Coria, Nestor R.</t>
  </si>
  <si>
    <t>Abundance and breeding distribution of seabirds in the northern part of the Danco Coast, Antarctic Peninsula</t>
  </si>
  <si>
    <t>Seabird abundances; breeding distribution; Danco Coast; Antarctic Peninsula</t>
  </si>
  <si>
    <t>KRILL EUPHAUSIA-SUPERBA; CLIMATE-CHANGE; SOUTH-SHETLAND; PYGOSCELIS-ANTARCTICA; PENGUIN POPULATIONS; SEA-ICE; ISLAND; RESPONSES; CHINSTRAP; ADELIAE</t>
  </si>
  <si>
    <t>Seabird abundances and breeding distribution have the potential to serve as ecological indicators. The western Antarctic Peninsula is one of the three sites in the world with the greatest increases in local temperature during the last 50 years. The aim of this study was to monitor the distribution and abundance of breeding populations of seabirds in the northern sector of the Danco Coast, north-west of the Antarctic Peninsula, during the breeding season 2010/11. The birds were the Wilson's storm petrel (Oceanites oceanicus), South Polar skua (Stercorarius maccormicki), kelp gull (Larus dominicanus), Antarctic tern (Sterna vittata), snowy sheathbill (Chionis alba), chinstrap penguin (Pygoscelis antarctica), southern giant petrel (Macronectes giganteus), gentoo penguin (Pygoscelis papua), Cape petrel (Daption capense) and Antarctic shag (Phalacrocorax bransfieldensis). Annual breeding population growth increased in pygoscelids, southern giant petrel and sheathbill, and for the remaining species, breeding population trends were stable. Given that seabird populations can provide valuable information on the conditions of their feeding and nesting environments, this study highlights the need to maintain basics monitoring studies.</t>
  </si>
  <si>
    <t>[Gonzalez-Zevallos, Diego] Consejo Nacl Invest Cient &amp; Tecn, Ctr Nacl Patagon, RA-9120 Puerto Madryn, Chubut, Argentina; [Mercedes Santos, M.; Rombola, Emilce F.; Juares, Mariana A.; Coria, Nestor R.] Inst Antartico Argentino, Div Biol, RA-1010 Buenos Aires, DF, Argentina; [Juares, Mariana A.] Consejo Nacl Invest Cient &amp; Tecn, RA-1033 Buenos Aires, DF, Argentina</t>
  </si>
  <si>
    <t>Centro Nacional Patagonico (CENPAT); Consejo Nacional de Investigaciones Cientificas y Tecnicas (CONICET); Instituto Antartico Argentino; Consejo Nacional de Investigaciones Cientificas y Tecnicas (CONICET)</t>
  </si>
  <si>
    <t>González-Zevallos, D (corresponding author), Ctr Nacl Patagon, Blvd Brown 2915, RA-9120 Puerto Madryn, Chubut, Argentina.</t>
  </si>
  <si>
    <t>diegue@cenpat.edu.ar</t>
  </si>
  <si>
    <t>Rombola, Emilce Florencia/0000-0003-1863-1911; Juares, Mariana A./0000-0002-6763-0416</t>
  </si>
  <si>
    <t>Direccion Nacional del Antartico; Instituto Antartico Argentino; Direccion Antartica</t>
  </si>
  <si>
    <t>The study was supported by the Direccion Nacional del Antartico, Instituto Antartico Argentino and the Direccion Antartica. We are grateful for the cooperation agreement between the Marine Mammal Laboratory of the Instituto Antartico Argentino and the University of New South Wales and Taronga Conservation Society Australia. We thank anonymous reviewers and Dr C. Patrick Doncaster for their constructive comments. Special thanks to J. Mennucci, H. Merlo Alvarez, F. Isla, V. Llampa, J. Gomez, F. Villalba, R. C. Larrea, M. Tucker, W. E. Varela, E. H. Toso, M. A. Schell, C. Asti and D. Slip.</t>
  </si>
  <si>
    <t>OPEN ACADEMIA AB</t>
  </si>
  <si>
    <t>SPANGA</t>
  </si>
  <si>
    <t>STORMBYVAGEN 6, SPANGA, SE-163 55, SWEDEN</t>
  </si>
  <si>
    <t>POLAR RES-SWEDEN</t>
  </si>
  <si>
    <t>10.3402/polar.v32i0.11133</t>
  </si>
  <si>
    <t>101ZJ</t>
  </si>
  <si>
    <t>WOS:000315812600001</t>
  </si>
  <si>
    <t>Arnault, J</t>
  </si>
  <si>
    <t>Arnault, Joel</t>
  </si>
  <si>
    <t>Large-scale dynamical influence of a gravity wave generated over the Antarctic Peninsula - regional modelling and budget analysis</t>
  </si>
  <si>
    <t>TELLUS SERIES A-DYNAMIC METEOROLOGY AND OCEANOGRAPHY</t>
  </si>
  <si>
    <t>atmospheric modelling; budget analysis; gravity wave; momentum forcing; turbulence</t>
  </si>
  <si>
    <t>RADAR OBSERVATIONS; MOMENTUM FLUX; ENERGY; PARAMETERIZATION</t>
  </si>
  <si>
    <t>The case study of a mountain wave triggered by the Antarctic Peninsula on 6 October 2005, which has already been documented in the literature, is chosen here to quantify the associated gravity wave forcing on the large-scale flow, with a budget analysis of the horizontal wind components and horizontal kinetic energy. In particular, a numerical simulation using the Weather Research and Forecasting (WRF) model is compared to a control simulation with flat orography to separate the contribution of the mountain wave from that of other synoptic processes of non-orographic origin. The so-called differential budgets of horizontal wind components and horizontal kinetic energy (after subtracting the results from the simulation without orography) are then averaged horizontally and vertically in the inner domain of the simulation to quantify the mountain wave dynamical influence at this scale. This allows for a quantitative analysis of the simulated mountain wave's dynamical influence, including the orographically induced pressure drag, the counterbalancing wave-induced vertical transport of momentum from the flow aloft, the momentum and energy exchanges with the outer flow at the lateral and upper boundaries, the effect of turbulent mixing, the dynamics associated with geostrophic re-adjustment of the inner flow, the deceleration of the inner flow, the secondary generation of an inertia-gravity wave and the so-called baroclinic conversion of energy between potential energy and kinetic energy.</t>
  </si>
  <si>
    <t>Swedish Inst Space Phys, SE-98128 Kiruna, Sweden</t>
  </si>
  <si>
    <t>Arnault, J (corresponding author), Swedish Inst Space Phys, Box 812, SE-98128 Kiruna, Sweden.</t>
  </si>
  <si>
    <t>joel.arnault@yahoo.fr</t>
  </si>
  <si>
    <t>Arnault, Joël/AAV-2282-2021</t>
  </si>
  <si>
    <t>Arnault, Joël/0000-0001-8859-5173</t>
  </si>
  <si>
    <t>Swedish Research Council [621-2010-3218]</t>
  </si>
  <si>
    <t>Swedish Research Council(Swedish Research Council)</t>
  </si>
  <si>
    <t>The Swedish Research Council Grant 621-2010-3218 has funded this project. The WRF numerical experiments presented in this study were run at the High Performance Computing Center North (HPC2N, http://www.hpc2n.umu.se/). I thank Mats Lupsa who provided valuable tips to facilitate the data processing with Matlab, two reviewers for their beneficial comments on a former version of the manuscript, another reviewer for his constructive suggestions on the new version and Dr. Abdel Hannachi, the editor, for having supervised this review process.</t>
  </si>
  <si>
    <t>1600-0870</t>
  </si>
  <si>
    <t>TELLUS A</t>
  </si>
  <si>
    <t>Tellus Ser. A-Dyn. Meteorol. Oceanol.</t>
  </si>
  <si>
    <t>10.3402/tellusa.v65i0.20254</t>
  </si>
  <si>
    <t>106BS</t>
  </si>
  <si>
    <t>WOS:000316117000001</t>
  </si>
  <si>
    <t>Bengtsson, L</t>
  </si>
  <si>
    <t>Bengtsson, Lennart</t>
  </si>
  <si>
    <t>What is the climate system able to do 'on its own'?</t>
  </si>
  <si>
    <t>TELLUS SERIES B-CHEMICAL AND PHYSICAL METEOROLOGY</t>
  </si>
  <si>
    <t>climate change; general circulation models; natural climate variability</t>
  </si>
  <si>
    <t>SOLAR IRRADIANCE; VARIABILITY; SENSITIVITY</t>
  </si>
  <si>
    <t>The climate of the Earth, like planetary climates in general, is broadly controlled by solar irradiation, planetary albedo and emissivity as well as its rotation rate and distribution of land (with its orography) and oceans. However, the majority of climate fluctuations that affect mankind are internal modes of the general circulation of the atmosphere and the oceans. Some of these modes, such as El Nino-Southern Oscillation (ENSO), are quasi-regular and have some longer-term predictive skill; others like the Arctic and Antarctic Oscillation are chaotic and generally unpredictable beyond a few weeks. Studies using general circulation models indicate that internal processes dominate the regional climate and that some like ENSO events have even distinct global signatures. This is one of the reasons why it is so difficult to separate internal climate processes from external ones caused, for example, by changes in greenhouse gases and solar irradiation. However, the accumulation of the warmest seasons during the latest two decades is lending strong support to the forcing of the greenhouse gases. As models are getting more comprehensive, they show a gradually broader range of internal processes including those on longer time scales, challenging the interpretation of the causes of past and present climate events further.</t>
  </si>
  <si>
    <t>[Bengtsson, Lennart] Univ Reading, Reading, Berks, England; [Bengtsson, Lennart] Int Space Sci Inst, Bern, Switzerland</t>
  </si>
  <si>
    <t>University of Reading</t>
  </si>
  <si>
    <t>Bengtsson, L (corresponding author), Univ Reading, Reading, Berks, England.</t>
  </si>
  <si>
    <t>lennart.bengtsson@zmaw.de</t>
  </si>
  <si>
    <t>STOCKHOLM UNIV PRESS</t>
  </si>
  <si>
    <t>STOCKHOLM</t>
  </si>
  <si>
    <t>STOCKHOLM UNIV LIBRARY, UNIVERSITETSVAGEN 14 D, STOCKHOLM, SE-106 91, SWEDEN</t>
  </si>
  <si>
    <t>1600-0889</t>
  </si>
  <si>
    <t>TELLUS B</t>
  </si>
  <si>
    <t>Tellus Ser. B-Chem. Phys. Meteorol.</t>
  </si>
  <si>
    <t>10.3402/tellusb.v65i0.20189</t>
  </si>
  <si>
    <t>106BW</t>
  </si>
  <si>
    <t>WOS:000316117400001</t>
  </si>
  <si>
    <t>Sonkaew, T; von Savigny, C; Eichmann, KU; Weber, M; Rozanov, A; Bovensmann, H; Burrows, JP; Grooss, JU</t>
  </si>
  <si>
    <t>Sonkaew, T.; von Savigny, C.; Eichmann, K. -U.; Weber, M.; Rozanov, A.; Bovensmann, H.; Burrows, J. P.; Grooss, J. -U.</t>
  </si>
  <si>
    <t>Chemical ozone losses in Arctic and Antarctic polar winter/spring season derived from SCIAMACHY limb measurements 2002-2009</t>
  </si>
  <si>
    <t>STRATOSPHERIC OZONE; SATELLITE-OBSERVATIONS; GOME OBSERVATIONS; DOWNWARD CONTROL; SEPTEMBER 2002; SOLAR-CYCLE; WINTER; DEPLETION; VORTEX; ASSIMILATION</t>
  </si>
  <si>
    <t>Stratospheric ozone profiles are retrieved for the period 2002-2009 from SCIAMACHY measurements of limb-scattered solar radiation in the Hartley and Chappuis absorption bands of ozone. This data set is used to determine the chemical ozone losses in both the Arctic and Antarctic polar vortices by averaging the ozone in the vortex at a given potential temperature. The chemical ozone losses at isentropic levels between 450 K and 600 K are derived from the difference between observed ozone abundances and the ozone modelled taking diabatic cooling into account, but no chemical ozone loss. Chemical ozone losses of up to 30-40% between mid-January and the end of March inside the Arctic polar vortex are reported. Strong inter-annual variability of the Arctic ozone loss is observed, with the cold winters 2004/2005 and 2006/2007 showing chemical ozone losses inside the polar vortex at 475 K, where 1.7 ppmv and 1.4 ppmv of ozone were removed, respectively, over the period from 22 January to beginning of April and 0.9 ppmv and 1.2 ppmv, respectively, during February. For the winters of 2007/2008 and 2002/2003, ozone losses of about 0.8 ppmv and 0.4 ppmv, respectively are estimated at the 475 K isentropic level for the period from 22 January to beginning of April. Essentially no ozone losses were diagnosed for the relatively warm winters of 2003/2004 and 2005/2006. The maximum ozone loss in the SCIAMACHY data set was found in 2007 at the 600 K level and amounted to about 2.1 ppmv for the period between 22 January and the end of April. Enhanced losses close to this altitude were found in all investigated Arctic springs, in contrast to Antarctic spring. The inter-annual variability of ozone losses and PSC occurrence rates observed during Arctic spring is consistent with the known QBO effects on the Arctic polar vortex, with exception of the unusual Arctic winter 2008/2009. The maximum total ozone mass loss of about 25 million tons was found in the cold Arctic winter of 2004/2005 inside the polar vortex between the 450 K and 600 K isentropic levels from mid-January until the middle of March. The Antarctic vortex averaged ozone loss as well as the size of the polar vortex do not vary much from year to year. The total ozone mass loss inside the Antarctic polar vortex between the 450 K and 600 K isentropic levels is about 5060 million tons and the vortex volume for this altitude range varies between about 150 and 300 km(3) for the period between mid-August and mid-November of every year studied, except for 2002. In 2002 a mid-winter major stratospheric warming occurred in the second half of September and the ozone mass loss was only about half of the value in the other years. However, inside the polar vortex we find chemical ozone losses at the 475 K isentropic level that are similar to those in all other years studied. At this isentropic level ozone losses of 70-90% between mid-August and mid-November or about 2.5 ppmv are observed every year. At isentropic levels above 500 K the chemical ozone losses were found to be larger in 2002 than in all other years studied. Comparisons of the vertical variation of ozone losses derived from SCIAMACHY observations with several independent techniques for the Arctic winter 2004/2005 show that the SCIAMACHY results fall in the middle of the range of previously published results for this winter. For other winters in both hemispheres - for which comparisons with other studies were possible - the SCIAMACHY results are consistent with the range of previously published results.</t>
  </si>
  <si>
    <t>[Sonkaew, T.; von Savigny, C.; Eichmann, K. -U.; Weber, M.; Rozanov, A.; Bovensmann, H.; Burrows, J. P.] Univ Bremen, Inst Environm Phys, D-28359 Bremen, Germany; [Sonkaew, T.] Lampang Rajabhat Univ, Fac Sci, Lampang 52100, Thailand; [Grooss, J. -U.] Forschungszentrum Julich, Inst Energy &amp; Climate Res Stratosphere IEK 7, D-52425 Julich, Germany</t>
  </si>
  <si>
    <t>University of Bremen; Lampang Rajabhat University; Helmholtz Association; Research Center Julich</t>
  </si>
  <si>
    <t>Sonkaew, T (corresponding author), Univ Bremen, Inst Environm Phys, Otto Hahn Allee 1, D-28359 Bremen, Germany.</t>
  </si>
  <si>
    <t>thiranan@lpru.ac.th</t>
  </si>
  <si>
    <t>Grooß, Jens-Uwe/A-7315-2013; von Savigny, Christian/B-3910-2014; Burrows, John Philip/AAF-8468-2019; Grooß, Jens-Uwe/N-3305-2019; Bovensmann, Heinrich/P-4135-2016; Weber, Mark/F-1409-2011</t>
  </si>
  <si>
    <t>Grooß, Jens-Uwe/0000-0002-9485-866X; Burrows, John Philip/0000-0002-6821-5580; Grooß, Jens-Uwe/0000-0002-9485-866X; Bovensmann, Heinrich/0000-0001-8882-4108; Weber, Mark/0000-0001-8217-5450; Rozanov, Alexei/0000-0003-4525-3223; von Savigny, Christian/0000-0001-7926-3986</t>
  </si>
  <si>
    <t>German Ministry of Education and Research (BMBF); German aerospace center (DLR); University of Bremen, Germany; Lampang Rajabhat University, Thailand</t>
  </si>
  <si>
    <t>German Ministry of Education and Research (BMBF)(Federal Ministry of Education &amp; Research (BMBF)); German aerospace center (DLR)(Helmholtz AssociationGerman Aerospace Centre (DLR)); University of Bremen, Germany; Lampang Rajabhat University, Thailand</t>
  </si>
  <si>
    <t>This work was supported by the German Ministry of Education and Research (BMBF), the German aerospace center (DLR), the University of Bremen, Germany. This study is also a contribution to the DFG SHARP research group. SCIAMACHY is jointly funded by Germany, the Netherlands and Belgium. T. S. would like to thank Lampang Rajabhat University, Thailand, for the funding support. The authors thank S. Tilmes, S. Solomon and an anonymous reviewer for very helpful comments and suggestions.</t>
  </si>
  <si>
    <t>10.5194/acp-13-1809-2013</t>
  </si>
  <si>
    <t>096LW</t>
  </si>
  <si>
    <t>WOS:000315406600008</t>
  </si>
  <si>
    <t>Cataldo, M; Evangelista, H; Simoes, JC; Godoi, RHM; Simmonds, I; Hollanda, MH; Wainer, I; Aquino, F; Van Grieken, R</t>
  </si>
  <si>
    <t>Cataldo, M.; Evangelista, H.; Simoes, J. C.; Godoi, R. H. M.; Simmonds, I.; Hollanda, M. H.; Wainer, I.; Aquino, F.; Van Grieken, R.</t>
  </si>
  <si>
    <t>Mineral dust variability in central West Antarctica associated with ozone depletion</t>
  </si>
  <si>
    <t>SOUTHERN ANNULAR MODE; SEA-ICE; CLIMATE-CHANGE; OCEAN; AEROSOL; SURFACE; TRENDS; ACCUMULATION; REANALYSIS; ATMOSPHERE</t>
  </si>
  <si>
    <t>We present here data of mineral dust variability retrieved from an ice core of the central West Antarctic, spanning the last five decades. Main evidence provided by the geochemical analysis is that northerly air mass incursions to the coring site, tracked by insoluble dust microparticles, have declined over the past 50 yr. This result contrasts with dust records from ice cores reported to the coastal West Antarctic that show increases since mid-20th century. We attribute this difference to regional climatic changes due to the ozone depletion and its implications to westerly winds. We found that the diameters of insoluble microparticles in the central West Antarctica ice core are significantly correlated with cyclone depth ( energy) and wind intensity around Antarctica.</t>
  </si>
  <si>
    <t>[Cataldo, M.; Evangelista, H.] Univ Estado Rio de Janeiro Uerj, LARAMG, BR-20550013 Rio De Janeiro, RJ, Brazil; [Simoes, J. C.; Aquino, F.] Univ Fed Rio Grande do Sul, Inst Geociencias, Ctr Polar &amp; Climat, BR-91501970 Porto Alegre, RS, Brazil; [Godoi, R. H. M.] Fed Univ Parana UFPR 19011, Dept Environm Engn, BR-81531990 Curitiba, PR, Brazil; [Simmonds, I.] Univ Melbourne, Sch Earth Sci, Melbourne, Vic 3010, Australia; [Hollanda, M. H.] Univ Sao Paulo, Inst Geociencias, BR-05508080 Sao Paulo, Brazil; [Wainer, I.] Univ Sao Paulo, Dept Oceanog Fis, IO, BR-05508120 Sao Paulo, Brazil; [Van Grieken, R.] Univ Antwerp, Dept Chem, Micro &amp; Trace Anal Ctr, B-2610 Antwerp, Belgium</t>
  </si>
  <si>
    <t>Universidade do Estado do Rio de Janeiro; Universidade Federal do Rio Grande do Sul; Universidade Federal do Parana; University of Melbourne; Melbourne Bioinformatics; Universidade de Sao Paulo; Universidade de Sao Paulo; University of Antwerp</t>
  </si>
  <si>
    <t>Cataldo, M (corresponding author), Univ Estado Rio de Janeiro Uerj, LARAMG, Rua Sao Francisco Xavier 524, BR-20550013 Rio De Janeiro, RJ, Brazil.</t>
  </si>
  <si>
    <t>cataldomarcio@gmail.com</t>
  </si>
  <si>
    <t>Evangelista, Heitor/C-7561-2013; Simoes, Jefferson Cardia/D-7232-2013; godoi, ricardo henrique moreton/P-6795-2019; Cataldo, Marcio/D-1646-2013; Hollanda, Maria Helena B M/D-5614-2012; WAINER, ILANA/B-4540-2011</t>
  </si>
  <si>
    <t>Simoes, Jefferson Cardia/0000-0001-5555-3401; godoi, ricardo henrique moreton/0000-0002-4774-4870; Hollanda, Maria Helena B M/0000-0003-2231-7917; Simmonds, Ian/0000-0002-4479-3255; WAINER, ILANA/0000-0003-3784-623X</t>
  </si>
  <si>
    <t>National Council for Research (CNPq); Brazilian Antarctic Program (PROANTAR) [556971/2009-4, 573720/2008-8]; Brazilian National Institute for Science and Technology (INCT-Criosfera)</t>
  </si>
  <si>
    <t>National Council for Research (CNPq)(Conselho Nacional de Desenvolvimento Cientifico e Tecnologico (CNPQ)); Brazilian Antarctic Program (PROANTAR); Brazilian National Institute for Science and Technology (INCT-Criosfera)</t>
  </si>
  <si>
    <t>We wish to acknowledge the National Council for Research (CNPq), the Brazilian Antarctic Program (PROANTAR), who have supported this project, (grants number: 556971/2009-4 and 573720/2008-8) and the Brazilian National Institute for Science and Technology (INCT-Criosfera). All online platforms and databases used in this work: NCEP data; Halley data; South Pole data. Parts of the research were made possible by a grant from the Australian Antarctic Science Committee.</t>
  </si>
  <si>
    <t>10.5194/acp-13-2165-2013</t>
  </si>
  <si>
    <t>WOS:000315406600027</t>
  </si>
  <si>
    <t>Reguero, BG; Méndez, FJ; Losada, IJ</t>
  </si>
  <si>
    <t>Reguero, B. G.; Mendez, F. J.; Losada, I. J.</t>
  </si>
  <si>
    <t>Variability of multivariate wave climate in Latin America and the Caribbean</t>
  </si>
  <si>
    <t>GLOBAL AND PLANETARY CHANGE</t>
  </si>
  <si>
    <t>Long-term trends; Ocean waves; Wave direction; Inter-annual variability; Seasonality</t>
  </si>
  <si>
    <t>SEA-SURFACE TEMPERATURES; NORTH-ATLANTIC; STORM TRACKS; WIND-WAVES; OCEAN WIND; REANALYSIS; PROJECTIONS; PACIFIC; TRENDS; HINDCAST</t>
  </si>
  <si>
    <t>Wave climate is highly variable on the world's coast and its temporal changes and extremes usually imply consequences like erosion or impacts to infrastructures. Alterations in wave climate were little addressed in the four IPCC reports although variations in wave climate may cause extensive coastal impacts. Changes are also often related to climate pattern variability. This variability as well as long-term trends has been an issue of research in recent years. In the region of Latin America and the Caribbean (LAC) an understanding of wave climate and its variability is scant. In this paper we use an extensively calibrated and validated wave reanalysis to describe the wave climatology in the region at different time scales and for scalar and directional wave parameters. Long-term changes are identified in the wave heights and mean direction of the energy flux shows high spatial variability. Correlation patterns of the mean significant wave height and direction of mean energy flux lead to the detection of prominent modes of influence of several climate indices. A wave climate type approach is also used to identify wave variability along the region that allows an identification of different wave climate types in terms of wave parameters and occurrence frequency. In line with the results, the influence of El Nino events shows a higher frequency of occurrence of certain sea-states with respect to non ENSO years. We also explore how climate change affecting storm patterns may be translated into a modification of sea-state occurrence and therefore implying different consequences for coastal zones depending on local wave propagation. (C) 2012 Elsevier B.V. All rights reserved.</t>
  </si>
  <si>
    <t>[Reguero, B. G.; Mendez, F. J.; Losada, I. J.] Univ Cantabria, Environm Hydraul Inst IH Cantabria, Santander 39011, Spain</t>
  </si>
  <si>
    <t>Universidad de Cantabria; IHCantabria - Instituto de Hidraulica Ambiental de la Universidad de Cantabria</t>
  </si>
  <si>
    <t>Losada, IJ (corresponding author), Univ Cantabria, IH Cantabria, Environm Hydraul Inst, C Isabel Torres 15,Parque Cientif &amp; Tecnol Cantab, Santander 39011, Spain.</t>
  </si>
  <si>
    <t>losadai@unican.es</t>
  </si>
  <si>
    <t>Losada, Inigo/F-9001-2012; Reguero, Borja/L-8621-2014</t>
  </si>
  <si>
    <t>Losada, Inigo/0000-0002-9651-9709; Mendez, Fernando/0000-0002-5005-1100; Reguero, Borja/0000-0001-5526-7157</t>
  </si>
  <si>
    <t>Universidad de Cantabria; Spanish Ministry of Economy and Competitiveness [CSD2007-00067]; ECLAC (United Nations)</t>
  </si>
  <si>
    <t>Universidad de Cantabria; Spanish Ministry of Economy and Competitiveness(Spanish Government); ECLAC (United Nations)</t>
  </si>
  <si>
    <t>The authors wish to acknowledge the NOAA - National Weather Service and the British Antarctic Survey for providing the climate indices data. The altimeter data were produced and distributed by AVISO (http://www.aviso.ocanobs.com/). B.G. Reguero is indebted to the Universidad de Cantabria for the funding provided. This work was partly funded by projects 'GRACCIE' (CSD2007-00067, Programa Consolider-Ingenio 2010), from the Spanish Ministry of Economy and Competitiveness and ECLAC (United Nations).</t>
  </si>
  <si>
    <t>0921-8181</t>
  </si>
  <si>
    <t>1872-6364</t>
  </si>
  <si>
    <t>GLOBAL PLANET CHANGE</t>
  </si>
  <si>
    <t>Glob. Planet. Change</t>
  </si>
  <si>
    <t>10.1016/j.gloplacha.2012.09.005</t>
  </si>
  <si>
    <t>098OF</t>
  </si>
  <si>
    <t>WOS:000315557900007</t>
  </si>
  <si>
    <t>Billups, K; Aufdenkampe, A; Hays, R</t>
  </si>
  <si>
    <t>Billups, Katharina; Aufdenkampe, Anthony; Hays, Rebecca</t>
  </si>
  <si>
    <t>Late Miocene through early Pleistocene nutrient utilization and export production in the Antarctic Zone of the Southern Ocean</t>
  </si>
  <si>
    <t>Pliocene; sedimentary nitrogen isotopes; Southern Ocean; paleoproductivity; Ocean Drilling Program; Leg 119, Site 745</t>
  </si>
  <si>
    <t>INDIAN SECTOR; NITROGEN; STRATIFICATION; DELTA-C-13; PLIOCENE; RATIO; OPAL; FRACTIONATION; SEDIMENTS</t>
  </si>
  <si>
    <t>We use bulk sediment delta N-15 values and opal and carbon mass accumulation rates (MAR) to reconstruct nutrient utilization and export productivity at Ocean Drilling Program Site 745 (Antarctic Zone of the Southern Ocean) spanning the late Miocene through early Pleistocene (similar to 6.5-1.4 Ma). We investigate whether early Pliocene climatic warmth and subsequent cooling can be related to changes in high latitude productivity. Results indicate that delta N-15 values increase to above late Holocene levels from the late Miocene through the late Pliocene (6.5 to 2 Ma). Opal and carbon MARs are low during the early Pliocene. Relatively high delta N-15 together with low export production is consistent with a more southerly position of the Polar Frontal Zone (PFZ) allowing the expansion of nitrate depleted, low nutrient upper waters south toward Site 745. The interpretation is supported by a relatively small delta N-15 gradient between Site 745 and a site in the Subantarctic Zone of the Southern Ocean (Site 1090). There are no unique changes in the Site 745 delta N-15 values or export productivity at 2.7 Ma. During the late Pliocene to early Pleistocene climate transition (between similar to 2.1 and at 1.7 Ma), delta N-15 values display large variations approaching those observed during the last glacial to interglacial transition in this latitude band. Opal and carbon MARs also show large fluctuations, but in the opposite sense with maxima corresponding to minima in the delta N-15 record and vice versa. The pattern of high delta N-15 values associated with low export production may reflect changes in nutrient utilization in response to changes in water column stratification once the PFZ has moved north of the location of Site 745. Our results provide a mechanism for enhancing early Pliocene CO2 concentrations via reduced uptake of CO2 due to low productivity in the Southern Ocean. Once the PFZ has moved north, the region may have become sensitive to changes in water column stratification, potentially contributing to fluctuations in CO2. (C) 2012 Elsevier B.V. All rights reserved.</t>
  </si>
  <si>
    <t>[Billups, Katharina; Hays, Rebecca] Univ Delaware, Sch Marine Sci &amp; Policy, Lewes, DE 19958 USA; [Aufdenkampe, Anthony] Stroud Water Res Ctr, Avondale, PA USA</t>
  </si>
  <si>
    <t>University of Delaware</t>
  </si>
  <si>
    <t>Billups, K (corresponding author), Univ Delaware, Sch Marine Sci &amp; Policy, 700 Pilottown Rd, Lewes, DE 19958 USA.</t>
  </si>
  <si>
    <t>kbillups@udel.edu</t>
  </si>
  <si>
    <t>Aufdenkampe, Anthony/0000-0002-5811-6458</t>
  </si>
  <si>
    <t>Petroleum Research Fund (PRF) [49945-ND2]; U.S. National Science Foundation (NSF); Joint Oceanographic Institutions (JOI) Inc.; Division Of Earth Sciences; Directorate For Geosciences [1126627] Funding Source: National Science Foundation</t>
  </si>
  <si>
    <t>Petroleum Research Fund (PRF)(American Chemical Society); U.S. National Science Foundation (NSF)(National Science Foundation (NSF)); Joint Oceanographic Institutions (JOI) Inc.; Division Of Earth Sciences; Directorate For Geosciences(National Science Foundation (NSF)NSF - Directorate for Geosciences (GEO))</t>
  </si>
  <si>
    <t>K. Billups and A. Aufdenkampe acknowledge the donors of the Petroleum Research Fund (PRF # 49945-ND2), administered by the American Chemical Society ACS. This research used samples provided by the Ocean Drilling Program (ODP). ODP is sponsored by the U.S. National Science Foundation (NSF) and participating countries under the management of the Joint Oceanographic Institutions (JOI) Inc. We particularly thank the reviewers, Gabriel Filippelli and anonymous, for their constructive suggestions that have helped us to improve the manuscript.</t>
  </si>
  <si>
    <t>10.1016/j.gloplacha.2012.11.014</t>
  </si>
  <si>
    <t>WOS:000315557900031</t>
  </si>
  <si>
    <t>Zhang, YZ; Ge, EJ</t>
  </si>
  <si>
    <t>Zhang, Yuanzhi; Ge, Erjia</t>
  </si>
  <si>
    <t>Temporal scaling behavior of sea-level change in Hong Kong - Multifractal temporally weighted detrended fluctuation analysis</t>
  </si>
  <si>
    <t>Sea-level rise; Time series; Long-range correlation; Multi-fractal scaling behavior; Hong Kong's coast</t>
  </si>
  <si>
    <t>UPPER-LAYER; CHINA; RISE; TEMPERATURE; SERIES; DELTA</t>
  </si>
  <si>
    <t>The rise in global sea levels has been recognized by many scientists as an important global research issue. The process of sea-level change has demonstrated a complex scaling behavior in space and time. Large numbers of tide gauge stations have been built to measure sea-level change in the North Pacific Ocean, Indian Ocean, North Atlantic Ocean, and Antarctic Ocean. Extensive studies have been devoted to exploring sea-level variation in Asia concerning the Bohai Gulf (China), the Yellow Sea (China), the Mekong Delta (Thailand), and Singapore. Hong Kong, however, a mega city with a population of over 7 million situated in the mouth of the Pear River Estuary in the west and the South China Sea in the east has yet to be studied, particularly in terms of the temporal scaling behavior of sea-level change. This article presents an approach to studying the temporal scaling behavior of sea-level change over multiple time scales by analyzing the time series of sea-level change in Tai Po Kou, Tsim Bei Tsui, and Quarry Bay from the periods of 1964-2010, 1974-2010, and 1986-2010, respectively. The detection of long-range correlation and multi-fractality of sea-level change seeks answers to the following questions: (1) Is the current sea-level rise associated with and responsible for the next rise over time? (2) Does the sea-level rise have specific temporal patterns manifested by multi-scaling behaviors? and (3) Is the sea-level rise is temporally heterogeneous in the different parts of Hong Kong? Multi-fractal temporally weighted de-trended fluctuation analysis (MF-TWDFA), an extension of multi-fractal de-trended fluctuation analysis (MF-DFA), has been applied in this study to identify long-range correlation and multi-scaling behavior of the sea-level rise in Hong Kong. The experimental results show that the sea-level rise is long-range correlated and multi-fractal. The temporal patterns are heterogeneous over space. This finding implies that mechanisms associated with the local ecological environment, hydrodynamic and morphodynamic processes, and human activities might have driven a distinct sea-level rise in Hong Kong. (C) 2012 Elsevier B.V. All rights reserved.</t>
  </si>
  <si>
    <t>[Zhang, Yuanzhi] Chinese Univ Hong Kong, Yuen Yuen Res Ctr Satellite Remote Sensing, Inst Space &amp; Earth Informat Sci, Hong Kong, Hong Kong, Peoples R China; [Zhang, Yuanzhi] Shenzhen Res Inst, Shenzhen 518057, Peoples R China; [Ge, Erjia] Chinese Univ Hong Kong, Jockey Club Sch Publ Hlth &amp; Primary Care, Hong Kong, Hong Kong, Peoples R China; [Ge, Erjia] Chinese Univ Hong Kong, Dept Geog &amp; Resource Management, Hong Kong, Hong Kong, Peoples R China</t>
  </si>
  <si>
    <t>Chinese University of Hong Kong; Chinese University of Hong Kong; Chinese University of Hong Kong</t>
  </si>
  <si>
    <t>Zhang, YZ (corresponding author), Chinese Univ Hong Kong, Yuen Yuen Res Ctr Satellite Remote Sensing, Inst Space &amp; Earth Informat Sci, Hong Kong, Hong Kong, Peoples R China.</t>
  </si>
  <si>
    <t>yuanzhizhang@cuhk.edu.hk</t>
  </si>
  <si>
    <t>State Key Laboratory of Urban and Regional Ecology [SKLURE2010-2-3]; CUHK [2021081]; National Science Foundation of China [41271434]; GRF [CUHK 459210, 457212]; ITF [GH/002/11GD]; National Key Technologies R&amp;D Program in the 12th-Five-Year Plan of China (Applied Remote Sensing Monitoring System for Water Quality and Quantity in Guangdong, Hong Kong and Macau) [2012BAH32B03]</t>
  </si>
  <si>
    <t>State Key Laboratory of Urban and Regional Ecology; CUHK(Chinese University of Hong Kong); National Science Foundation of China(National Natural Science Foundation of China (NSFC)); GRF; ITF; National Key Technologies R&amp;D Program in the 12th-Five-Year Plan of China (Applied Remote Sensing Monitoring System for Water Quality and Quantity in Guangdong, Hong Kong and Macau)</t>
  </si>
  <si>
    <t>Local tidal gauge data from Hong Kong Observatory (HKO) are highly appreciated. This research is jointly supported by an Open Fund at the State Key Laboratory of Urban and Regional Ecology (SKLURE2010-2-3), the CUHK Direct Grants (2021081), the National Science Foundation of China (41271434), GRF (CUHK 459210 and 457212), ITF (GH/002/11GD), and the National Key Technologies R&amp;D Program in the 12th-Five-Year Plan of China (Applied Remote Sensing Monitoring System for Water Quality and Quantity in Guangdong, Hong Kong and Macau, 2012BAH32B03).</t>
  </si>
  <si>
    <t>10.1016/j.gloplacha.2012.11.012</t>
  </si>
  <si>
    <t>WOS:000315557900032</t>
  </si>
  <si>
    <t>Riquelme-Bugueño, R; Escribano, R; Gómez-Gutiérrez, J</t>
  </si>
  <si>
    <t>Riquelme-Bugueno, Ramiro; Escribano, Ruben; Gomez-Gutierrez, Jaime</t>
  </si>
  <si>
    <t>Somatic and molt production in Euphausia mucronata off central-southern Chile: the influence of coastal upwelling variability</t>
  </si>
  <si>
    <t>Euphausiids; Biomass; Secondary production; Coastal upwelling; Time series; Humboldt Current System</t>
  </si>
  <si>
    <t>ANTARCTIC KRILL; SECONDARY PRODUCTION; NYCTIPHANES-SIMPLEX; POPULATION BIOLOGY; VERTICAL MIGRATION; BRITISH-COLUMBIA; ZOOPLANKTON COMMUNITY; LARVAL DEVELOPMENT; HUMBOLDT CURRENT; CENTRAL OREGON</t>
  </si>
  <si>
    <t>Seasonal and inter-annual variability in population abundance, biomass, and somatic and molt production of the Humboldt Current krill Euphausia mucronata were studied during a monthly time series (August 2002 to June 2007) at Stn 18 (36 degrees 30' S, 73 degrees 07' W) off central-southern Chile. Experimental measurements in krill were performed at Stn 18 (in 2007 and 2008) and northern Chile (2010) in order to estimate vital rates for use in E. mucronata secondary production calculation at Stn 18. Coastal upwelling intensity was the main oceanographic process found to control E. mucronata population abundance and biomass production on seasonal and inter-annual time scales. Spawning peaks and population structure indicate that E. mucronata produces at least 2 generations per year. The main spawning period occurs during the austral spring when phytoplankton concentration is high. A second, less intense spawning period occurs at the end of the austral summer and early autumn. E. mucronata had a mean biomass of 100 mg C m(-3) and an integrated annual secondary production of 2432 mg C m(-3) yr(-1), with an overall production/biomass ratio (P/B) ratio of 24. In May 2007, a maximum daily integrated biomass of 5 g C m(-3) and total daily secondary production of 63 mg C m(-3) d(-1) were observed. These estimates are considerably higher than those reported for other krill species in coastal upwelling regions. Multivariate analyses indicate that upwelling-favorable winds promote high E. mucronata biomass and secondary production, but higher abundance and biomass were found during the transition periods from upwelling to downwelling conditions. Results suggest that E. mucronata has a highly efficient behavioral strategy to attain high production rates and recover rapidly from potential offshore losses due to advective processes in a highly productive coastal upwelling ecosystem.</t>
  </si>
  <si>
    <t>[Riquelme-Bugueno, Ramiro] Univ Concepcion, Grad Program Oceanog, Concepcion, Chile; [Escribano, Ruben] Univ Concepcion, Dept Oceanog, Concepcion, Chile; [Riquelme-Bugueno, Ramiro; Escribano, Ruben] Ctr Oceanog Res Eastern South Pacific FONDAP COPA, Concepcion, Chile; [Gomez-Gutierrez, Jaime] Inst Politecn Nacl, Ctr Interdisciplinario Ciencias Marinas, Dept Plancton &amp; Ecol Marina, La Paz 23096, Baja California, Mexico</t>
  </si>
  <si>
    <t>Universidad de Concepcion; Universidad de Concepcion; Instituto Politecnico Nacional - Mexico</t>
  </si>
  <si>
    <t>Riquelme-Bugueño, R (corresponding author), Univ Concepcion, Grad Program Oceanog, POB 160-C, Concepcion, Chile.</t>
  </si>
  <si>
    <t>rriquelm@udec.cl</t>
  </si>
  <si>
    <t>Escribano, Ruben/IAN-0878-2023; Riquelme, Ramiro/L-4706-2016</t>
  </si>
  <si>
    <t>Riquelme, Ramiro/0000-0002-2245-6485; Escribano, Ruben/0000-0002-9843-7723</t>
  </si>
  <si>
    <t>CONICYT [21080484, 24110048]; MECE-SUP [UCO0602]; International Collaboration Program of FONDECYT [1080037]; FONDECYT [1110539]; COFAA; EDI-IPN; FONDAP-COPAS Center</t>
  </si>
  <si>
    <t>CONICYT(Comision Nacional de Investigacion Cientifica y Tecnologica (CONICYT)); MECE-SUP; International Collaboration Program of FONDECYT(Comision Nacional de Investigacion Cientifica y Tecnologica (CONICYT)CONICYT FONDECYT); FONDECYT(Comision Nacional de Investigacion Cientifica y Tecnologica (CONICYT)CONICYT FONDECYT); COFAA; EDI-IPN; FONDAP-COPAS Center(Comision Nacional de Investigacion Cientifica y Tecnologica (CONICYT)CONICYT FONDAP)</t>
  </si>
  <si>
    <t>This work was funded by the FONDAP-COPAS Center. We thank the crew of the RV 'Kay Kay II'. S. and J. Marileo, J. and T. Caamano, and I. Arias were of valuable technical help. We deeply thank Dr. N. Iguchi for providing us with his Excel spreadsheet, which was the starting point for calculation of Euphausia mucronata secondary production. S. Hormazabal provided the wind stress data. E. Jorquera helped with krill analysis. T. C. Shaw (NOAA/NMFS) helped us with the English and improved our manuscript. Three anonymous reviewers made valuable comments and suggestions. The PhD studies of R.R.-B. were supported by CONICYT 21080484 and 24110048 scholarships and MECE-SUP UCO0602 fellowship. The experimental study was supported by the International Collaboration Program of FONDECYT 1080037 and additional support was provided by FONDECYT 1110539. J.G.-G. is supported by COFAA, and EDI-IPN grants. We thank NESDIS, NODC, University of Miami, NOAA CoastWatch Program and the Remote Sensing Systems for satellite data used in Fig. 1.</t>
  </si>
  <si>
    <t>10.3354/meps10142</t>
  </si>
  <si>
    <t>097HZ</t>
  </si>
  <si>
    <t>WOS:000315465900004</t>
  </si>
  <si>
    <t>Ghigliotti, L; Cheng, CHC; Bonillo, C; Coutanceau, JP; Pisano, E</t>
  </si>
  <si>
    <t>Ghigliotti, Laura; Cheng, C. -H. Christina; Bonillo, Celine; Coutanceau, Jean-Pierre; Pisano, Eva</t>
  </si>
  <si>
    <t>In Situ Gene Mapping of Two Genes Supports Independent Evolution of Sex Chromosomes in Cold-Adapted Antarctic Fish</t>
  </si>
  <si>
    <t>NOTOTHENIOID FISHES; DIVERSITY; DIFFERENTIATION; PERCIFORMES</t>
  </si>
  <si>
    <t>Two genes, that is, 5S ribosomal sequences and antifreeze glycoprotein (AFGP) genes, were mapped onto chromosomes of eight Antarctic notothenioid fish possessing a X1X1X2X2/X1X2Y sex chromosome system, namely, Chionodraco hamatus and Pagetopsis macropterus (family Channichthyidae), Trematomus hansoni, T. newnesi, T. nicolai, T. lepidorhinus, and Pagothenia borchgrevinki (family Nototheniidae), and Artedidraco skottsbergi (family Artedidraconidae). Through fluorescence in situ hybridization (FISH), we uncovered distinct differences in the gene content of the Y chromosomes in the eight species, with C. hamatus and P. macropterus standing out among others in bearing 5S rDNA and AFGP sequences on their Y chromosomes, respectively. Both genes were absent from the Y chromosomes of any analyzed species. The distinct patterns of Y and non-Y chromosome association of the 5S rDNA and AFGP genes in species representing different Antarctic fish families support an independent origin of the sex heterochromosomes in notothenioids with interesting implications for the evolutionary/adaptational history of these fishes living in a cold-stable environment.</t>
  </si>
  <si>
    <t>[Ghigliotti, Laura; Pisano, Eva] Univ Genoa, Dept Earth Environm &amp; Life Sci DISTAV, I-16132 Genoa, Italy; [Cheng, C. -H. Christina] Univ Illinois, Dept Anim Biol, Urbana, IL 61801 USA; [Bonillo, Celine; Coutanceau, Jean-Pierre] MNHN, SSM, F-75231 Paris, France; [Bonillo, Celine; Coutanceau, Jean-Pierre] MNHN, CNRS, UMR 7138, Dept Systemat &amp; Evolut, F-75231 Paris, France</t>
  </si>
  <si>
    <t>University of Genoa; University of Illinois System; University of Illinois Urbana-Champaign; Museum National d'Histoire Naturelle (MNHN); Museum National d'Histoire Naturelle (MNHN); Centre National de la Recherche Scientifique (CNRS); CNRS - National Institute for Biology (INSB); Sorbonne Universite</t>
  </si>
  <si>
    <t>Ghigliotti, L (corresponding author), Univ Genoa, Dept Earth Environm &amp; Life Sci DISTAV, I-16132 Genoa, Italy.</t>
  </si>
  <si>
    <t>laura.ghigliotti@gmail.com</t>
  </si>
  <si>
    <t>Ghigliotti, Laura/J-3076-2012; Ghigliotti, Laura/AAN-6843-2021</t>
  </si>
  <si>
    <t>Ghigliotti, Laura/0000-0003-2139-1381</t>
  </si>
  <si>
    <t>Italian National Programme for Antarctic Research (PNRA); L'Oreal-UNESCO program For Women in Science through the National Fellowship L'Oreal Italia Per le Donne e la Scienza; NSF OPP</t>
  </si>
  <si>
    <t>Italian National Programme for Antarctic Research (PNRA); L'Oreal-UNESCO program For Women in Science through the National Fellowship L'Oreal Italia Per le Donne e la Scienza(L'Oreal Group); NSF OPP(National Science Foundation (NSF)NSF - Directorate for Geosciences (GEO))</t>
  </si>
  <si>
    <t>The study was supported by the Italian National Programme for Antarctic Research (PNRA) and contributes to the SCAR Scientific Research Program EBA (Evolution and Biodiversity in Antarctica). Part of L. Ghigliotti's work was supported by the L'Oreal-UNESCO program For Women in Science through the 2008 National Fellowship L'Oreal Italia Per le Donne e la Scienza. C-HCC acknowledges NSF OPP for grant award that supported parts of this study. The authors gratefully acknowledge Catherine Ozouf-Costaz (Departement Systematique et Evolution, MNHN Paris) for her comments and supervision of the work at the MNHN.</t>
  </si>
  <si>
    <t>10.1155/2013/243938</t>
  </si>
  <si>
    <t>093XX</t>
  </si>
  <si>
    <t>WOS:000315227800001</t>
  </si>
  <si>
    <t>Mishkin, MA</t>
  </si>
  <si>
    <t>Mishkin, M. A.</t>
  </si>
  <si>
    <t>Relationships among Origination of the Sialic Crust, Geochemical heterogeneity of the mantle, and asymmetry of the earth</t>
  </si>
  <si>
    <t>DOKLADY EARTH SCIENCES</t>
  </si>
  <si>
    <t>AUSTRALIAN-ANTARCTIC DISCORDANCE; ISOTOPE EVIDENCE; ND; PB; CONSTRAINTS; BOUNDARY; PACIFIC; ELEMENT; ISLAND; LAVAS</t>
  </si>
  <si>
    <t>Russian Acad Sci, Far E Geol Inst, Far E Branch, Vladivostok 690022, Russia</t>
  </si>
  <si>
    <t>Russian Academy of Sciences</t>
  </si>
  <si>
    <t>Mishkin, MA (corresponding author), Russian Acad Sci, Far E Geol Inst, Far E Branch, Vladivostok 690022, Russia.</t>
  </si>
  <si>
    <t>mishkin35@mail.ru</t>
  </si>
  <si>
    <t>1028-334X</t>
  </si>
  <si>
    <t>DOKL EARTH SCI</t>
  </si>
  <si>
    <t>Dokl. Earth Sci.</t>
  </si>
  <si>
    <t>10.1134/S1028334X12110116</t>
  </si>
  <si>
    <t>091HP</t>
  </si>
  <si>
    <t>WOS:000315040400004</t>
  </si>
  <si>
    <t>Fenero, R; Cotton, L; Molina, E; Monechi, S</t>
  </si>
  <si>
    <t>Fenero, R.; Cotton, L.; Molina, E.; Monechi, S.</t>
  </si>
  <si>
    <t>Micropalaeontological evidence for the late Oligocene Oi-2b global glaciation event at the Zarabanda section, Spain</t>
  </si>
  <si>
    <t>Late Oligocene; Biostratigraphy; Palaeoenvironment; Palaeoclimatology; Spain; Western Tethys</t>
  </si>
  <si>
    <t>BENTHIC FORAMINIFERAL ASSEMBLAGES; UMBRIA-MARCHE BASIN; NORTH-SEA BASIN; STRATOTYPE SECTION; POINT GSSP; TRANSITION; CLIMATE; EOCENE; CALIBRATION; SEQUENCES</t>
  </si>
  <si>
    <t>We present an integrated micropalaeontological study (using smaller and larger benthic foraminifera, planktonic foraminifera and calcareous nannofossils) of the late Oligocene from the Zarabanda section (western Tethys), in order to reconstruct the palaeoenvironmental turnover and to precisely establish the chronology of the palaeoclimatic events. Planktonic foraminifera show that the Zarabanda section is apparently continuous and spans the planktonic foraminiferal zones O5 (upper part), O6 and O7, and the calcareous nannofossil zones CP19b and CN1a (lower part). The quantitative analysis of smaller benthic foraminiferal assemblages enabled us to determine a middle-lower bathyal depth of deposition for most part of the section. The smaller benthic foraminifera show a bloom of neritic species, an increase in the percentages of cool-water species, a decrease of the Planktonic/Benthic ratio, generic richness, heterogeneity and diversity all around a 10 m thick succession of calcarenites, in the lower part of the planktonic foraminifera O6 Zone and the middle part of the calcareous nannofossil CP19b Zone. These changes coincide with the major turnover in the larger benthic foraminiferal assemblages; the last occurrence of Eulepidina dilatata and the first occurrence of Nephrolepidina morgani. These variations in the smaller and larger benthic foraminiferal assemblages may be associated with the major expansion of the Antarctic Ice Sheet at approximately 26.7 Ma, which is known as the Oi-2b global glaciation event. (C) 2012 Elsevier B.V. All rights reserved.</t>
  </si>
  <si>
    <t>[Fenero, R.; Molina, E.] Univ Zaragoza, Dept Ciencias Tierra, E-50009 Zaragoza, Spain; [Fenero, R.; Molina, E.] Univ Zaragoza, IUCA, E-50009 Zaragoza, Spain; [Fenero, R.] Univ Nacl Autonoma Mexico, Inst Geofis, Mexico City 04510, DF, Mexico; [Cotton, L.] Sch Earth &amp; Ocean Sci, Cardiff CF10 3AT, S Glam, Wales; [Monechi, S.] Univ Florence, Dipartimento Sci Terra, I-50121 Florence, Italy</t>
  </si>
  <si>
    <t>University of Zaragoza; University of Zaragoza; Universidad Nacional Autonoma de Mexico; University of Florence</t>
  </si>
  <si>
    <t>Fenero, R (corresponding author), Univ Zaragoza, Dept Ciencias Tierra, Pedro Cerbuna 12, E-50009 Zaragoza, Spain.</t>
  </si>
  <si>
    <t>rfenero@unizar.es</t>
  </si>
  <si>
    <t>monechi, simonetta/AAN-6148-2020; Cotton, Laura/IWM-6104-2023; Molina, Eustoquio/B-4320-2008</t>
  </si>
  <si>
    <t>Cotton, Laura/0000-0002-6897-8692; Molina, Eustoquio/0000-0001-5660-1428</t>
  </si>
  <si>
    <t>Spanish Ministry of Science and Technology [Consolider CGL 2007-63724]; University of Florence</t>
  </si>
  <si>
    <t>Spanish Ministry of Science and Technology(Spanish Government); University of Florence</t>
  </si>
  <si>
    <t>This research was funded by project Consolider CGL 2007-63724 (Spanish Ministry of Science and Technology) and 2010 funds of the University of Florence. The authors would like to thank Dr. Patrizia Maiorano, Dr. Jaime Urrutia and Dr. Ligia Perez-Cruz for constructive remarks and valuable suggestions, and two anonymous reviewers for thoughtful comments that were material in improving this manuscript</t>
  </si>
  <si>
    <t>10.1016/j.palaeo.2012.08.020</t>
  </si>
  <si>
    <t>092MR</t>
  </si>
  <si>
    <t>WOS:000315127200001</t>
  </si>
  <si>
    <t>Riesselman, CR; Dunbar, RB</t>
  </si>
  <si>
    <t>Riesselman, Christina R.; Dunbar, Robert B.</t>
  </si>
  <si>
    <t>Diatom evidence for the onset of Pliocene cooling from AND-1B, McMurdo Sound, Antarctica</t>
  </si>
  <si>
    <t>Pliocene; Diatoms; Antarctica; Ross Sea; Antarctic Geological Drilling (ANDRILL)</t>
  </si>
  <si>
    <t>PRINCE CHARLES MOUNTAINS; SEA-SURFACE TEMPERATURES; SOUTHERN-OCEAN SEDIMENTS; SORSDAL FORMATION; ATLANTIC SECTOR; VESTFOLD HILLS; ADELIE LAND; ROSS SEA; CLIMATE; ICE</t>
  </si>
  <si>
    <t>The late Pliocene, similar to 33-3.0 Ma, is the most recent interval of sustained global warmth in the geologic past This window is the focus of climate reconstruction efforts by the US. Geological Survey's Pliocene Research, Interpretation, and Synoptic Mapping (PRISM) Data/Model Cooperative, and may provide a useful climate analog for the coming century. Reconstructions of past surface ocean conditions proximal to the Antarctic continent are essential to understanding the sensitivity of the cryosphere to this key interval in Earth's climate evolution. An exceptional marine sediment core collected from the southwestern Ross Sea (78 degrees S), Antarctica, during ANDRILL's McMurdo Ice Shelf Project preserves evidence of dramatic fluctuations between grounded ice and productive, open ocean conditions during the late Pliocene, reflecting orbitally-paced glacial/interglacial cycling. In this near-shore record, diatom-rich sediments are recovered from interglacial intervals; two of these diatomites, from similar to 3.2 Ma and 3.03 Ma, are within the PRISM chronologic window. The diatom assemblages identified in PRISM-age late Pliocene diatom-rich sediments are distinct from those in mid-Pliocene and later Pliocene/Pleistocene intervals recovered from AND-1B, and comprise both extant taxa with well-constrained ecological preferences and a diverse extinct flora, some members of which are previously undescribed from Antarctic sediments. Both units are dominated by Chaetoceros resting spores, an indicator of high productivity and stratification that is present at much lower abundance in materials both older and younger than the PRISM-age sediments. Newly described species of the genus Fragilariopsis, which first appear in the AND-1B record at 32 Ma, are the most abundant extinct members of the PRISM-age assemblages. Other extant species with established environmental affinities, such as Fragilariopsis sublinearis, F. curta, Stellarima microtrias, and Thalassiothrix antarctica, are present at lower abundances. Environmental inferences drawn from extant diatom assemblages are in good agreement with those from Chaetoceros resting spores and the Fragilariopsis radiation. All three lines of evidence indicate the onset of late Pliocene cooling in the Ross Sea near-shore environment at 3.2 Ma, with intensification and possible regional persistence of summer sea ice by 3.03 Ma. An important implication of this research is the indication that the Ross Ice Shelf fluctuated dramatically on orbital timescales at a time when nearshore Antarctic conditions were only modestly warmer than present. Published by Elsevier B.V.</t>
  </si>
  <si>
    <t>[Riesselman, Christina R.] Stanford Univ, Dept Geol &amp; Environm Sci, Stanford, CA 94305 USA; [Dunbar, Robert B.] Stanford Univ, Dept Environm Earth Syst Sci, Stanford, CA 94305 USA</t>
  </si>
  <si>
    <t>Stanford University; Stanford University</t>
  </si>
  <si>
    <t>Riesselman, CR (corresponding author), US Geol Survey, Eastern Geol &amp; Paleoclimate Sci Ctr, 926A Natl Ctr, Reston, VA 20192 USA.</t>
  </si>
  <si>
    <t>criesselman@gmail.com</t>
  </si>
  <si>
    <t>Riesselman, Christina R/H-5037-2012</t>
  </si>
  <si>
    <t>Riesselman, Christina/0000-0002-2436-4306; Dunbar, Robert/0000-0002-9728-5609</t>
  </si>
  <si>
    <t>National Science Foundation [0342484]; ANDRILL Program</t>
  </si>
  <si>
    <t>National Science Foundation(National Science Foundation (NSF)); ANDRILL Program</t>
  </si>
  <si>
    <t>The ANDRILL (Antarctic Geologic Drilling) Program is a multinational collaboration between the Antarctic programs of Germany, Italy, New Zealand and the United States. This study is based upon work supported by the National Science Foundation under Cooperative Agreement No. 0342484 through subawards to both CRR and RBD administered by the ANDRILL Science Management Office at the University of Nebraska-Lincoln and issued through Northern Illinois University, as part of the ANDRILL U.S. Science Support Program. The authors gratefully acknowledge the ANDRILL Program for the award of an ANDRILL Graduate Fellowship to CRR in further support of this work D. Harwood, J. Barron, C. Sjunneskog, D. Winter, and R Scherer provided valuable discussion and insights on various elements of diatom-based paleoenvironmental reconstruction. C. Bernhardt and B. Landacre provided advice and support in statistical methodologies. S. Starratt generously provided access to an exceptional light microscope and camera system. This manuscript was improved by early comments from J. Barron and M. Robinson, and by the insightful recommendations of M. Konfirst and two anonymous reviewers. Any opinions, findings, and conclusions or recommendations expressed in this material are those of the authors and do not necessarily reflect the views of the National Science Foundation. Any use of trade, product, or firm names is for descriptive purposes only and does not imply endorsement by the U.S. Government.</t>
  </si>
  <si>
    <t>10.1016/j.palaeo.2012.10.014</t>
  </si>
  <si>
    <t>WOS:000315127200012</t>
  </si>
  <si>
    <t>Montade, V; Nebout, NC; Kissel, C; Haberle, SG; Siani, G; Michel, E</t>
  </si>
  <si>
    <t>Montade, Vincent; Nebout, Nathalie Combourieu; Kissel, Catherine; Haberle, Simon G.; Siani, Giuseppe; Michel, Elisabeth</t>
  </si>
  <si>
    <t>Vegetation and climate changes during the last 22,000 yr from a marine core near Taitao Peninsula, southern Chile</t>
  </si>
  <si>
    <t>Southern hemisphere; Patagonia; Marine palynology; Vegetation; Palaeoenvironment; Last deglaciation; Holocene; Antarctic Cold Reversal; Southern Westerly Wind belt</t>
  </si>
  <si>
    <t>RADIOCARBON AGE CALIBRATION; GRANDE-DE-CHILOE; LATE-PLEISTOCENE; ISLA-GRANDE; PALYNOLOGICAL EVIDENCE; GLACIER FLUCTUATIONS; MAGELLANIC MOORLAND; POLLEN DISTRIBUTION; HOLOCENE CHANGES; ATMOSPHERIC CO2</t>
  </si>
  <si>
    <t>High-temporal resolution of pollen analyses from marine core MD07-3088 (46 degrees S) documents regional and coastal vegetation changes in the mid-latitude of southern Chile during the last 22 kyr BP. The coastal margin was partly ice-free during the last glacial period with the presence of scattered vegetation. After-17.6 kyr BP, the expansion of Nothofagus woodland highlights a warming trend and marks the beginning of the last deglaciation. The deglacial forest expansion is interrupted by the development of Magellanic moorland simultaneously with the Antarctic Cold Reversal. This vegetation change illustrates a pause in the warming trend with an abrupt increase in precipitation which is related to strong intensity of Southern Westerly Winds. After 12.8 kyr BP, the retreat of Magellanic moorland illustrates a second-step warming that is strengthened after 11.5 kyr at the onset of the Holocene. Expansion of heliophytic taxa illustrates warmest and driest conditions of the Holocene from 11 to 7.4 kyr BP. Later, the decrease of heliophytic taxa shows a return to cooler and wetter conditions, illustrated by the presence of the North Patagonian rainforest that reaches modern condition after 5 kyr. Climate changes inferred from the marine pollen record are consistent with geochemical changes from the same samples and illustrate a clear synchronicity with delta D variations of EPICA Dome C ice core during the last deglaciation and Holocene. Comparison between vegetation changes from the marine core and regional palaeoclimatic records highlights southward-northward shifts of the Southern Westerly Wind belt and supports a close link between Southern Westerly Wind belt and atmospheric CO2 variability during the last deglaciation. (C) 2012 Elsevier B.V. All rights reserved.</t>
  </si>
  <si>
    <t>[Montade, Vincent] CNRS UVSQ CEA, LSCE, UMR 8212, F-91191 Gif Sur Yvette, France; [Nebout, Nathalie Combourieu; Kissel, Catherine; Michel, Elisabeth] CNRS UVSQ CEA, LSCE, UMR 8212, F-91198 Gif Sur Yvette, France; [Haberle, Simon G.] Australian Natl Univ, Coll Asia &amp; Pacific, Dept Archaeol &amp; Nat Hist, Canberra, ACT 0200, Australia; [Siani, Giuseppe] CNRS, UMR 8148, Lab Interact &amp; Dynam Environm Surface IDES, F-91405 Orsay, France</t>
  </si>
  <si>
    <t>Centre National de la Recherche Scientifique (CNRS); CNRS - National Institute for Earth Sciences &amp; Astronomy (INSU); CEA; Universite Paris Saclay; Universite Paris Saclay; CEA; Centre National de la Recherche Scientifique (CNRS); CNRS - National Institute for Earth Sciences &amp; Astronomy (INSU); Australian National University; Centre National de la Recherche Scientifique (CNRS); CNRS - National Institute for Earth Sciences &amp; Astronomy (INSU); Universite Paris Saclay</t>
  </si>
  <si>
    <t>Montade, V (corresponding author), CNRS UVSQ CEA, LSCE, UMR 8212, Batiment 701, F-91191 Gif Sur Yvette, France.</t>
  </si>
  <si>
    <t>vincent.montade@laposte.net; nathalie.nebout@lsce.ipsl.fr; catherine.Kissel@lsce.ipsl.fr; simon.haberle@anu.edu.au; giuseppe.siani@u-psud.fr; elisabeth.michel@lsce.ipsl.fr</t>
  </si>
  <si>
    <t>Catherine, Kissel/AAH-1647-2019; Haberle, Simon/U-4118-2019; Montade, Vincent/F-8198-2019</t>
  </si>
  <si>
    <t>Catherine, Kissel/0000-0002-2572-2742; Siani, Giuseppe/0000-0002-2090-5320; Michel, Elisabeth/0000-0001-7810-8888; Montade, Vincent/0000-0002-8518-2610; Haberle, Simon/0000-0001-5802-6535; Combourieu-Nebout, Nathalie/0000-0002-3604-5986</t>
  </si>
  <si>
    <t>Laboratoire des Sciences du Climat et de l'Environnement (LSCE); Centre National de la Recherche Scientifique; Commissariat a l'Energie Atomique; Universite Versailles St Quentin; Universite Paris Sud 11; French INSU-LEFE-Pachiderme project</t>
  </si>
  <si>
    <t>Laboratoire des Sciences du Climat et de l'Environnement (LSCE); Centre National de la Recherche Scientifique(Centre National de la Recherche Scientifique (CNRS)); Commissariat a l'Energie Atomique(French Atomic Energy Commission); Universite Versailles St Quentin; Universite Paris Sud 11; French INSU-LEFE-Pachiderme project</t>
  </si>
  <si>
    <t>This research was supported by Laboratoire des Sciences du Climat et de l'Environnement (LSCE), Centre National de la Recherche Scientifique, Commissariat a l'Energie Atomique, Universite Versailles St Quentin and Universite Paris Sud 11. Financial support for this study was provided by the French INSU-LEFE-Pachiderme project and this study has been conducted in the framework of the international IMAGES program. We would like to thank Institut Polaire Francais Paul Emile Victor and the shipboard scientific party for the MD159/PACHIDERME cruise to collect the core material and data on board of the French vessel Marion Dufresne II. We express our thanks to K.D. Bennett for providing continental pollen record data and to UMS-ARTEMIS group for AMS radiocarbon dating. We are also grateful for the very constructive comments from the editor and two anonymous referees in improving this paper. This is LSCE contribution no. 4932.</t>
  </si>
  <si>
    <t>10.1016/j.palaeo.2012.11.001</t>
  </si>
  <si>
    <t>WOS:000315127200029</t>
  </si>
  <si>
    <t>Jaramillo-Vogel, D; Strasser, A; Frijia, G; Spezzaferri, S</t>
  </si>
  <si>
    <t>Jaramillo-Vogel, David; Strasser, Andre; Frijia, Gianluca; Spezzaferri, Silvia</t>
  </si>
  <si>
    <t>Neritic isotope and sedimentary records of the Eocene-Oligocene greenhouse-icehouse transition: The Calcare di Nago Formation (northern Italy) in a global context</t>
  </si>
  <si>
    <t>Eocene-Oligocene transition; Shallow-water carbonates; Carbon-isotope stratigraphy; Strontium-isotope stratigraphy; Sea-level changes</t>
  </si>
  <si>
    <t>LARGER BENTHIC FORAMINIFERA; SHALLOW-WATER CARBONATES; PLATFORM CARBONATES; SOUTHERN APENNINES; STRATIGRAPHY; CLIMATE; SEA; BOUNDARY; MASSIGNANO; BASIN</t>
  </si>
  <si>
    <t>From the Middle Eocene to Early Oligocene, the Earth experienced the most significant climatic cooling of the Cenozoic era. The Eocene-Oligocene transition (EOT) represents the culmination of this climatic cooling, leading to the onset of the Antarctic glaciation and, consequently, to the beginning of the present-day icehouse world. Whereas the response of deep-sea systems to this climate transition has been widely studied, its impact on the shallow-water carbonate realm is poorly constrained. Here, the sedimentary expression of the EOT in two shallow-marine carbonate successions (Nago and San Valentino, northern Italy) belonging to the Calcare di Nago Formation is presented. The chronostratigraphic framework was constructed by integrating litho-, bio-, and isotope-stratigraphic data (C and Sr isotopes), allowing to correlate these shallow-marine successions with pelagic sections in central Italy (Massignano), Tanzania (TOP Sites 12 and 17), and the Indian Ocean (ODP Site 744). Within several sections in northern Italy, including Nago and San Valentino, a Priabonian (Late Eocene) transgression is recorded. Oxygen isotopes of ODP Site 744 show a coeval negative shift of 0.4 parts per thousand., suggesting a glacio-eustatic origin for this transgression. In the Nago and San Valentino sections, no prominent sequence boundary has been detected that would indicate a rapid sea-level drop occurring together with the positive shift in delta O-18 defining the EOT-1 cooling event. Instead, a gradual shallowing of the depositional environment is observed. At TDP Sites 12 and 17, the EOT-1 is followed by a negative shift in delta O-18 of around 0.4 parts per thousand, which correlates with a relative deepening of the environment in the studied sections and suggests a melting pulse between EOT-1 and the Oligocene isotope event 1 (Oi-1). The positive delta O-18 shift related to the Oi-1 translates in San Valentino into a change in carbonate factory from a photozoan association dominated by larger benthic foraminifera, corals, and red algae to a heterozoan association dominated by bryozoans. The same bryozoan fades occurs in several Italian localities near the Eocene-Oligocene boundary. This fades is interpreted to represent an analogue of modern cool-water carbonates and results from a cooling pulse of at least regional scale, associated to the Oi-1 event. (C) 2012 Published by Elsevier B.V.</t>
  </si>
  <si>
    <t>[Jaramillo-Vogel, David; Strasser, Andre; Spezzaferri, Silvia] Univ Fribourg, Dept Geosci, CH-1700 Fribourg, Switzerland; [Frijia, Gianluca] Univ Potsdam, Inst Erd &amp; Umweltwissensch, D-14476 Potsdam, Germany</t>
  </si>
  <si>
    <t>University of Fribourg; University of Potsdam</t>
  </si>
  <si>
    <t>Jaramillo-Vogel, D (corresponding author), Univ Fribourg, Dept Geosci, CH-1700 Fribourg, Switzerland.</t>
  </si>
  <si>
    <t>david.jaramillovogel@unifr.ch</t>
  </si>
  <si>
    <t>Swiss National Science Foundation [20-121545]</t>
  </si>
  <si>
    <t>This study was supported by the Swiss National Science Foundation grant 20-121545. We are grateful to D. Bassi for introducing us to the Nago section and, together with V. Luciani, providing us with important literature. An earlier version of the manuscript benefited from the careful reading by T. Bover-Arnal. The helpful comments of two anonymous reviewers and journal editor Finn Surlyk were greatly appreciated.</t>
  </si>
  <si>
    <t>10.1016/j.palaeo.2012.11.003</t>
  </si>
  <si>
    <t>WOS:000315127200031</t>
  </si>
  <si>
    <t>Rosenheim, BE; Santoro, JA; Gunter, M; Domack, EW</t>
  </si>
  <si>
    <t>Rosenheim, Brad E.; Santoro, Jennifer A.; Gunter, Madeleine; Domack, Eugene W.</t>
  </si>
  <si>
    <t>IMPROVING ANTARCTIC SEDIMENT 14C DATING USING RAMPED PYROLYSIS: AN EXAMPLE FROM THE HUGO ISLAND TROUGH</t>
  </si>
  <si>
    <t>ICE-SHEET; ROSS SEA; PENINSULA; RETREAT; SHELF; WEST</t>
  </si>
  <si>
    <t>To improve the chronology of sediments containing information about Holocene ice shelf and oceanic dynamics in the vicinity of the Antarctic Peninsula, we compare bulk acid-insoluble radiocarbon dating to ramped pyrolysis C-14 dating in a sediment core containing ample organic material. This core spans the last 12,000 yr of open-shelf sedimentation in the Bellingshausen Sea, western Antarctic Peninsula. By estimating the spectrum of C-14 ages within a given core horizon, the ramped pyrolysis C-14 method separates organic carbon relative to thermal stability, isolating younger parts of the mixture from older ones and providing an estimate of the geological uncertainty inherent in a bulk C-14 age. Employing the ramped pyrolysis C-14 method to this core demonstrates variable bulk C-14 age bias and increasing age spectrum downcore, neither of which can be associated with major changes in lithology of the core. The chronology of the sediment core using the youngest ages from the ramped pyrolysis technique allows for correlation between nearby Palmer Deep sediments and these sediments from the Hugo Island Trough.</t>
  </si>
  <si>
    <t>[Rosenheim, Brad E.] Tulane Univ, Dept Earth &amp; Environm Sci, New Orleans, LA 70118 USA; [Santoro, Jennifer A.; Gunter, Madeleine; Domack, Eugene W.] Duke Univ, Nicholas Sch Environm, Durham, NC 27708 USA</t>
  </si>
  <si>
    <t>Tulane University; Duke University</t>
  </si>
  <si>
    <t>Rosenheim, BE (corresponding author), Tulane Univ, Dept Earth &amp; Environm Sci, New Orleans, LA 70118 USA.</t>
  </si>
  <si>
    <t>brosenhe@tulane.edu</t>
  </si>
  <si>
    <t>Rosenheim, Brad/F-6349-2012</t>
  </si>
  <si>
    <t>Rosenheim, Brad/0000-0001-6141-4651</t>
  </si>
  <si>
    <t>NSF [NSF-EAR-0929752, NSF-OPP-ANT-0732467]; Division Of Earth Sciences; Directorate For Geosciences [0929752] Funding Source: National Science Foundation</t>
  </si>
  <si>
    <t>NSF(National Science Foundation (NSF)); Division Of Earth Sciences; Directorate For Geosciences(National Science Foundation (NSF)NSF - Directorate for Geosciences (GEO))</t>
  </si>
  <si>
    <t>We thank the NSF for support for this work: grant NSF-EAR-0929752 to BER (Tulane University) and NSF-OPP-ANT-0732467 to EWD (Hamilton College) funded instrumental development and sample collection and 14C analysis, respectively. NSF-OPP-ANT-0732467 also funded JAS to travel to Tulane University and analyze ramped pyrolysis samples using the PTP/CS and to travel to Woods Hole Oceanographic Institution to graphitize the samples. We thank 2 anonymous reviewers who improved the manuscript with their suggestions.</t>
  </si>
  <si>
    <t>10.2458/azu_js_rc.v55i1.16234</t>
  </si>
  <si>
    <t>095MG</t>
  </si>
  <si>
    <t>WOS:000315338000010</t>
  </si>
  <si>
    <t>Planchon, F; Cavagna, AJ; Cardinal, D; André, L; Dehairs, F</t>
  </si>
  <si>
    <t>Planchon, F.; Cavagna, A-J.; Cardinal, D.; Andre, L.; Dehairs, F.</t>
  </si>
  <si>
    <t>Late summer particulate organic carbon export and twilight zone remineralisation in the Atlantic sector of the Southern Ocean</t>
  </si>
  <si>
    <t>POLAR FRONTAL ZONES; ANTARCTIC CIRCUMPOLAR CURRENT; BIOGENIC SILICA EXPORT; PARTICLE EXPORT; SUSPENDED PARTICLES; SATURATION STATE; WATER COLUMN; SPRING BLOOM; CO2 FLUX; TH-234</t>
  </si>
  <si>
    <t>As part of the GEOTRACES Bonus-GoodHope (BGH) expedition (January-March 2008) in the Atlantic sector of the Southern Ocean, particulate organic carbon (POC) export was examined from the surface to the mesopelagic twilight zone using water column distributions of total Th-234 and biogenic particulate Ba (Ba-xs). Surface POC export production was estimated from steady state and non steady state modelling of Th-234 fluxes, which were converted into POC fluxes, using the POC/Th-234 ratio of large, potentially sinking particles (&gt;53 mu m) collected via in situ pumps. Deficits in Th-234 activities were observed at all stations from the surface to the bottom of the mixed layer, yielding Th-234 export fluxes from the upper 100 m of 496 +/- 214 dpm m(-2) d(-1) to 1195 +/- 158 dpm m(-2) d(-1) for the steady state model and of 149 +/- 517 dpm m(-2) d(-1) to 1217 +/- 231 dpm m(-2) d(-1) for the non steady state model. Using the POC/(234)Thp ratio of sinking particles (ratios varied from 1.7 +/- 0.2 mu mol dpm(-1) to 4.8 +/- 1.9 mu mol dpm(-1)) POC export production at 100 m was calculated to range between 0.9 +/- 0.4 and 5.1 +/- 2.1 mmol C m(-2) d(-1), assuming steady state and between 0.3 +/- 0.9 m(-2) d(-1) and 4.9 +/- 3.3 mmol C m(-2) d(-1), assuming non steady state. From the comparison of both approaches, it appears that during late summer export decreased by 56 to 16% for the area between the sub-Antarctic zone and the southern Antarctic Circumpolar Current Front (SACCF), whereas it remained rather constant over time in the HNLC area south of the SACCF. POC export represented only 6 to 54% of new production, indicating that export efficiency was, in general, low, except in the vicinity of the SACCF, where export represented 56% of new production. Attenuation of the POC sinking flux in the upper mesopelagic waters (100-600 m depth interval) was evidenced both, from excess Th-234 activities and from particulate biogenic Ba (Baxs) accumulation. Excess Th-234 activities, reflected by Th-234/U-238 ratios as large as 1.21 +/- 0.05, are attributed to remineralisation/disaggregation of Th-234-bearing particles. The accumulation of excess Th-234 in the 100-600 m depth interval ranged from 458 +/- 633 dpm m(-2) d(-1) to 3068 +/- 897 dpm m(-2) d(-1), assuming steady state. Using the POC/(234)Thp ratio of sinking particles (&gt;53 mu m), this Th-234 accumulation flux was converted into a POC remineralisation flux which ranged between 0.9 +/- 1.2 mmol C m(-2) d(-1) and 9.2 +/- 2.9 mmol C m(-2) d(-1). Mesopelagic particulate biogenic Ba has been reported to reflect bacterial degradation of organic matter and to be related to oxygen consumption and bacterial carbon respiration. We observed that the highest Baxs contents (reaching up to &gt; 1000 pM), in general, occurred between 200 and 400 m. Depth-weighted average mesopelagic Baxs (meso-Baxs) values were converted into respired C fluxes, which ranged between 0.23 and 6.4 mmol C m(-2) d(-1), in good agreement with Th-234-based remineralisation fluxes. A major outcome from this study is the observed significant positive correlation between POC remineralisation as estimated from meso-Ba-xs contents and from Th-234 excess (R-2 = 0.73; excluding 2 outliers). Remineralisation of POC in the twilight zone was particularly efficient relative to POC export resulting in negligible bathy-pelagic (&gt;600 m) POC export fluxes in the sub-Antarctic zone, the Polar Front zone and the northern Weddell Gyre, while the subtropical zone as well as the vicinity of the SACCF had significant deep POC fluxes.</t>
  </si>
  <si>
    <t>[Planchon, F.] Univ Europeenne Bretagne, Brest, France; [Planchon, F.] Univ Brest, CNRS, Lab Sci Environm Marin LEMAR, IUEM,IRD,UMR6539, F-29280 Plouzane, France; [Planchon, F.; Cardinal, D.; Andre, L.] Royal Museum Cent Africa, Dept Geol, Tervuren, Belgium; [Cavagna, A-J.; Dehairs, F.] Vrije Univ Brussel, Brussels, Belgium; [Cardinal, D.] Univ Paris 06, LOCEAN, Paris, France</t>
  </si>
  <si>
    <t>Universite de Bretagne Occidentale; Centre National de la Recherche Scientifique (CNRS); CNRS - Institute of Ecology &amp; Environment (INEE); Ifremer; Institut de Recherche pour le Developpement (IRD); Universite de Bretagne Occidentale; Institut Universitaire Europeen de la Mer (IUEM); Royal Museum for Central Africa; Vrije Universiteit Brussel; Sorbonne Universite; Museum National d'Histoire Naturelle (MNHN)</t>
  </si>
  <si>
    <t>Planchon, F (corresponding author), Univ Europeenne Bretagne, Brest, France.</t>
  </si>
  <si>
    <t>frederic.planchon@univ-brest.fr</t>
  </si>
  <si>
    <t>Frederic, Planchon A.M./A-8651-2010; Cardinal, Damien/AAM-6215-2021</t>
  </si>
  <si>
    <t>Cardinal, Damien/0000-0003-1238-8412; Planchon, Frederic/0000-0003-1288-9698; Andre, Luc/0000-0002-7286-0072</t>
  </si>
  <si>
    <t>Federal Belgian Science Policy Office (BELSPO) [EV/37/7C, EV/03/7A, SD/CA/03A]</t>
  </si>
  <si>
    <t>Federal Belgian Science Policy Office (BELSPO)(Belgian Federal Science Policy Office)</t>
  </si>
  <si>
    <t>The BONUS-GoodHope cruise is part of the IPY ICED and GEOTRACES programmes. We are grateful to co-chief scientists Sabrina Speich and Marie Boye, the French Polar Institute, IPEV (Institut Paul Emile Victor) and the captain and crew of R/V Marion Dufresne for their assistance during cruise preparation and operations at sea. Constructive comments by Michiel Rutgers van der Loeff and Nicolas Savoye are greatly appreciated and helped improving the manuscript. We are also grateful to Michael Korntheuer for state of the art beta counter maintenance, Jacques Navez, Laurence Monin, and Nouredine Dahkani for helpful laboratory assistance. This work was supported by the Federal Belgian Science Policy Office (BELSPO) under the Science for Sustainable Development (SDD) programme (Integrated Study of Southern Ocean Biogeochemistry and Climate Interaction in the Anthropocene BELCANTO contracts EV/37/7C, EV/03/7A, SD/CA/03A).</t>
  </si>
  <si>
    <t>10.5194/bg-10-803-2013</t>
  </si>
  <si>
    <t>092BE</t>
  </si>
  <si>
    <t>WOS:000315093000010</t>
  </si>
  <si>
    <t>Wegner, C; Bauch, D; Hölemann, JA; Janout, MA; Heim, B; Novikhin, A; Kassens, H; Timokhov, L</t>
  </si>
  <si>
    <t>Wegner, C.; Bauch, D.; Hoelemann, J. A.; Janout, M. A.; Heim, B.; Novikhin, A.; Kassens, H.; Timokhov, L.</t>
  </si>
  <si>
    <t>Interannual variability of surface and bottom sediment transport on the Laptev Sea shelf during summer</t>
  </si>
  <si>
    <t>OPTICAL BACKSCATTER; SUSPENDED SEDIMENT; RIVER RUNOFF; ICE; MATTER; WATERS; HYDROGRAPHY; SALINITY; DYNAMICS; CHUKCHI</t>
  </si>
  <si>
    <t>Sediment transport dynamics were studied during ice-free conditions under different atmospheric circulation regimes on the Laptev Sea shelf (Siberian Arctic). To study the interannual variability of suspended particulate matter (SPM) dynamics and their coupling with the variability in surface river water distribution on the Laptev Sea shelf, detailed oceanographic, optical (turbidity and Ocean Color satellite data), and hydrochemical (nutrients, SPM, stable oxygen isotopes) process studies were carried out continuously during the summers of 2007 and 2008. Thus, for the first time SPM and nutrient variations on the Laptev Sea shelf under different atmospheric forcing and the implications for the turbidity and transparency of the water column can be presented. The data indicate a clear link between different surface distributions of riverine waters and the SPM transport dynamics within the entire water column. The summer of 2007 was dominated by shoreward winds and an eastward transport of riverine surface waters. The surface SPM concentration on the southeastern inner shelf was elevated, which led to decreased transmissivity and increased light absorption. Surface SPM concentrations in the central and northern Laptev Sea were comparatively low. However, the SPM transport and concentration within the bottom nepheloid layer increased considerably on the entire eastern shelf. The summer of 2008 was dominated by offshore winds and northward transport of the river plume. The surface SPM transport was enhanced and extended onto the mid-shelf, whereas the bottom SPM transport and concentration was diminished. This study suggests that the SPM concentration and transport, in both the surface and bottom nepheloid layers, are associated with the distribution of riverine surface waters which are linked to the atmospheric circulation patterns over the Laptev Sea and the adjacent Arctic Ocean during the open water season. A continuing trend toward shoreward winds, weaker stratification and higher SPM concentration throughout the water column might have severe consequences for the ecosystem on the Laptev Sea shelf.</t>
  </si>
  <si>
    <t>[Wegner, C.; Bauch, D.; Kassens, H.] GEOMAR Helmholtz Ctr Ocean Res, Kiel, Germany; [Bauch, D.] Akad Wissensch &amp; Literatur, Mainz, Germany; [Hoelemann, J. A.; Janout, M. A.] Alfred Wegener Inst Polar &amp; Marine Res, Bremerhaven, Germany; [Heim, B.] Alfred Wegener Inst Polar &amp; Marine Res, Potsdam, Germany; [Novikhin, A.; Timokhov, L.] Arctic &amp; Antarctic Res Inst, State Res Ctr, St Petersburg 199226, Russia</t>
  </si>
  <si>
    <t>Helmholtz Association; GEOMAR Helmholtz Center for Ocean Research Kiel; Helmholtz Association; Alfred Wegener Institute, Helmholtz Centre for Polar &amp; Marine Research; Helmholtz Association; Alfred Wegener Institute, Helmholtz Centre for Polar &amp; Marine Research; Arctic &amp; Antarctic Research Institute</t>
  </si>
  <si>
    <t>Wegner, C (corresponding author), GEOMAR Helmholtz Ctr Ocean Res, Kiel, Germany.</t>
  </si>
  <si>
    <t>cwegner@geomar.de</t>
  </si>
  <si>
    <t>Novikhin, Andrey/J-6005-2016; Janout, Markus/AAI-7219-2020; Heim, Birgit/B-2815-2017; Hoelemann, Jens/N-3608-2016</t>
  </si>
  <si>
    <t>Heim, Birgit/0000-0003-2614-9391; Hoelemann, Jens/0000-0001-5102-4086; Janout, Markus/0000-0003-4908-2855</t>
  </si>
  <si>
    <t>joint Russian-German project Laptev Sea System; German and Russian ministries (BMBF and MINPROMNAUKI)</t>
  </si>
  <si>
    <t>joint Russian-German project Laptev Sea System; German and Russian ministries (BMBF and MINPROMNAUKI)(Federal Ministry of Education &amp; Research (BMBF))</t>
  </si>
  <si>
    <t>We thank the scientists, crew members and captains of RV Ivan Petrov for their support during the expeditions, and two anonymous reviewers for their stimulating reviews of this manuscript. The study is part of the joint Russian-German project Laptev Sea System, financed by German and Russian ministries (BMBF and MINPROMNAUKI).</t>
  </si>
  <si>
    <t>10.5194/bg-10-1117-2013</t>
  </si>
  <si>
    <t>WOS:000315093000030</t>
  </si>
  <si>
    <t>O'Leary, M; Christoffersen, P</t>
  </si>
  <si>
    <t>O'Leary, M.; Christoffersen, P.</t>
  </si>
  <si>
    <t>Calving on tidewater glaciers amplified by submarine frontal melting</t>
  </si>
  <si>
    <t>NUMERICAL-MODEL; OUTLET GLACIERS; GREENLAND; DYNAMICS; VELOCITY; FORCES</t>
  </si>
  <si>
    <t>While it has been shown repeatedly that ocean conditions exhibit an important control on the behaviour of grounded tidewater glaciers, modelling studies have focused largely on the effects of basal and surface melting. Here, a finite-element model of stresses near the front of a tidewater glacier is used to investigate the effects of frontal melting on calving, independently of the calving criterion used. Applications of the stress model to idealized scenarios reveal that undercutting of the ice front due to frontal melting can drive calving at up to ten times the mean melt rate. Factors which cause increased frontal melt-driven calving include a strong thermal gradient in the ice, and a concentration of frontal melt at the base of the glacier. These properties are typical of both Arctic and Antarctic tidewater glaciers. The finding that frontal melt near the base is a strong driver of calving leads to the conclusion that water temperatures near the bed of the glacier are critically important to the glacier front, and thus the flow of the glacier. These conclusions are robust against changes in the basal boundary condition and the choice of calving criterion, as well as variations in the glacier size or level of crevassing.</t>
  </si>
  <si>
    <t>[O'Leary, M.; Christoffersen, P.] Univ Cambridge, Scott Polar Res Inst, Cambridge CB2 1ER, England; [O'Leary, M.] Univ Michigan, Dept Atmospher Ocean &amp; Space Sci, Ann Arbor, MI 48109 USA</t>
  </si>
  <si>
    <t>University of Cambridge; University of Michigan System; University of Michigan</t>
  </si>
  <si>
    <t>O'Leary, M (corresponding author), Univ Cambridge, Scott Polar Res Inst, Cambridge CB2 1ER, England.</t>
  </si>
  <si>
    <t>olearym@umich.edu</t>
  </si>
  <si>
    <t>Christoffersen, Poul/W-3708-2019</t>
  </si>
  <si>
    <t>Christoffersen, Poul/0000-0003-2643-8724</t>
  </si>
  <si>
    <t>NERC; NASA [NNX08AN59G]; NSF [ARC1064535]; NASA [NNX08AN59G, 97604] Funding Source: Federal RePORTER</t>
  </si>
  <si>
    <t>NERC(UK Research &amp; Innovation (UKRI)Natural Environment Research Council (NERC)); NASA(National Aeronautics &amp; Space Administration (NASA)); NSF(National Science Foundation (NSF)); NASA(National Aeronautics &amp; Space Administration (NASA))</t>
  </si>
  <si>
    <t>This work was supported through a NERC Doctoral Training Grant to M. O'Leary. M. O'Leary was partially supported through NASA grant NNX08AN59G and NSF grant ARC1064535. We are grateful to N. Arnold, D. Benn, J. Bassis and an anonymous reviewer for their comments on this work, which have been very helpful in the development of the manuscript. We also acknowledge the assistance of the editor, O. Gagliardini, whose comments greatly improved this work.</t>
  </si>
  <si>
    <t>10.5194/tc-7-119-2013</t>
  </si>
  <si>
    <t>087YK</t>
  </si>
  <si>
    <t>WOS:000314800400008</t>
  </si>
  <si>
    <t>Roberts, JL; Moy, AD; van Ommen, TD; Curran, MAJ; Worby, AP; Goodwin, ID; Inoue, M</t>
  </si>
  <si>
    <t>Roberts, J. L.; Moy, A. D.; van Ommen, T. D.; Curran, M. A. J.; Worby, A. P.; Goodwin, I. D.; Inoue, M.</t>
  </si>
  <si>
    <t>Borehole temperatures reveal a changed energy budget at Mill Island, East Antarctica, over recent decades</t>
  </si>
  <si>
    <t>PAST 2 MILLENNIA; ICE-SHEET; SURFACE TEMPERATURES; LAST MILLENNIUM; LAW DOME; GREENLAND; CLIMATE; RECONSTRUCTIONS; TRANSITION; CORE</t>
  </si>
  <si>
    <t>A borehole temperature record from the Mill Island (East Antarctica) icecap reveals a large surface warming signal manifested as a 0.75K temperature difference over the approximate 100m depth in the zone of zero annual amplitude below the seasonally varying zone. The temperature profile shows a break in gradient around 49m depth, which we model with inverse numerical simulations, indicating that surface warming started around the austral summer of 1980/81AD +/- 5 yr. This warming of approximately 0.37K per decade is consistent with trends seen in both instrumental and other reconstructions for Antarctica and, therefore, suggests that regional-rather than local-scale processes are largely responsible. Alteration of the surface energy budget arising from changes in radiation balances due to local cloud, the amount of liquid deposition and local air temperatures associated with altered air/sea exchanges also potentially plays a role at this location due to the proximity of the Shackleton Ice Shelf and sea-ice zone.</t>
  </si>
  <si>
    <t>[Roberts, J. L.; Moy, A. D.; van Ommen, T. D.; Curran, M. A. J.] Australian Antarctic Div, Dept Sustainabil Environm Water Populat &amp; Communi, Kingston, Tas 7050, Australia; [Roberts, J. L.; Moy, A. D.; van Ommen, T. D.; Curran, M. A. J.; Inoue, M.] Univ Tasmania, Antarctic Climate &amp; Ecosyst Cooperat Res Ctr, Hobart, Tas 7001, Australia; [Worby, A. P.] CSIRO Marine &amp; Atmospher Res, Hobart, Tas 7000, Australia; [Goodwin, I. D.] Macquarie Univ, Dept Geog &amp; Environm, Marine Climate Risk Grp, N Ryde, NSW 2109, Australia; [Inoue, M.] Univ Tasmania, Inst Marine &amp; Antarctic Studies, Hobart, Tas 7001, Australia</t>
  </si>
  <si>
    <t>Australian Antarctic Division; University of Tasmania; Antarctic Climate &amp; Ecosystems Cooperative Research Centre (ACE CRC); Commonwealth Scientific &amp; Industrial Research Organisation (CSIRO); Macquarie University; University of Tasmania</t>
  </si>
  <si>
    <t>Roberts, JL (corresponding author), Australian Antarctic Div, Dept Sustainabil Environm Water Populat &amp; Communi, Channel Highway, Kingston, Tas 7050, Australia.</t>
  </si>
  <si>
    <t>jason.roberts@aad.gov.au</t>
  </si>
  <si>
    <t>Worby, Anthony P/A-2373-2012; Roberts, Jason L/B-2235-2012; van Ommen, Tas/B-5020-2012</t>
  </si>
  <si>
    <t>Roberts, Jason L/0000-0002-3477-4069; Moy, Andrew/0000-0002-7664-9960; Goodwin, Ian/0000-0001-8682-6409; van Ommen, Tas/0000-0002-2463-1718</t>
  </si>
  <si>
    <t>Australian Antarctic Division [ASAC 1236]; Australian Government's Cooperative Research Centres Programme through the Antarctic Climate and Ecosystems Cooperative Research Centre (ACE CRC)</t>
  </si>
  <si>
    <t>Australian Antarctic Division; Australian Government's Cooperative Research Centres Programme through the Antarctic Climate and Ecosystems Cooperative Research Centre (ACE CRC)(Australian GovernmentDepartment of Industry, Innovation and ScienceCooperative Research Centres (CRC) Programme)</t>
  </si>
  <si>
    <t>The Australian Antarctic Division provided funding and logistical support (ASAC 1236). This work was supported by the Australian Government's Cooperative Research Centres Programme through the Antarctic Climate and Ecosystems Cooperative Research Centre (ACE CRC).</t>
  </si>
  <si>
    <t>10.5194/tc-7-263-2013</t>
  </si>
  <si>
    <t>WOS:000314800400020</t>
  </si>
  <si>
    <t>Coppe, A; Agostini, C; Marino, IAM; Zane, L; Bargelloni, L; Bortoluzzi, S; Patarnello, T</t>
  </si>
  <si>
    <t>Coppe, Alessandro; Agostini, Cecilia; Marino, Ilaria A. M.; Zane, Lorenzo; Bargelloni, Luca; Bortoluzzi, Stefania; Patarnello, Tomaso</t>
  </si>
  <si>
    <t>Genome Evolution in the Cold: Antarctic Icefish Muscle Transcriptome Reveals Selective Duplications Increasing Mitochondrial Function</t>
  </si>
  <si>
    <t>GENOME BIOLOGY AND EVOLUTION</t>
  </si>
  <si>
    <t>deep sequencing; orthology/paralogy relationships; gene duplication; genome evolution; cold adaptation; Channichthyidae</t>
  </si>
  <si>
    <t>OXIDATIVE STRESS; GENE DUPLICATION; ADAPTIVE EVOLUTION; INDUCED APOPTOSIS; FACTOR-B; PROTEIN; ADAPTATION; FISH; EXPRESSION; IDENTIFICATION</t>
  </si>
  <si>
    <t>Antarctic notothenioids radiated over millions of years in subzero waters, evolving peculiar features, such as antifreeze glycoproteins and absence of heat shock response. Icefish, family Channichthyidae, also lack oxygen-binding proteins and display extreme modifications, including high mitochondrial densities in aerobic tissues. A genomic expansion accompanying the evolution of these fish was reported, but paucity of genomic information limits the understanding of notothenioid cold adaptation. We reconstructed and annotated the first skeletal muscle transcriptome of the icefish Chionodraco hamatus providing a new resource for icefish genomics (http://compgen.bio.unipd.it/chamatusbase/, last accessed December 12, 2012). We exploited deep sequencing of this energy-dependent tissue to test the hypothesis of selective duplication of genes involved in mitochondrial function. We developed a bioinformatic approach to univocally assign C. hamatus transcripts to orthology groups extracted from phylogenetic trees of five model species. Chionodraco hamatus duplicates were recorded for each orthology group allowing the identification of duplicated genes specific to the icefish lineage. Significantly more duplicates were found in the icefish when transcriptome data were compared with whole-genome data of model species. Indeed, duplicated genes were significantly enriched in proteins with mitochondrial localization, involved in mitochondrial function and biogenesis. In cold conditions and without oxygen-carrying proteins, energy production is challenging. The combination of high mitochondrial densities and the maintenance of duplicated genes involved in mitochondrial biogenesis and aerobic respiration might confer a selective advantage by improving oxygen diffusion and energy supply to aerobic tissues. Our results provide new insights into the genomic basis of icefish cold adaptation.</t>
  </si>
  <si>
    <t>[Coppe, Alessandro; Bargelloni, Luca; Patarnello, Tomaso] Univ Padua, Agripolis, Dept Comparat Biomed &amp; Food Sci, Padua, Italy; [Agostini, Cecilia; Marino, Ilaria A. M.; Zane, Lorenzo; Bortoluzzi, Stefania] Univ Padua, Dept Biol, Padua, Italy</t>
  </si>
  <si>
    <t>University of Padua; University of Padua</t>
  </si>
  <si>
    <t>Bortoluzzi, S (corresponding author), Univ Padua, Dept Biol, Padua, Italy.</t>
  </si>
  <si>
    <t>stefania.bortoluzzi@unipd.it</t>
  </si>
  <si>
    <t>Zane, Lorenzo/G-6249-2010; Marino, Ilaria/JFK-4053-2023; Bortoluzzi, Stefania/G-8211-2011</t>
  </si>
  <si>
    <t>Zane, Lorenzo/0000-0002-6963-2132; PATARNELLO, Tomaso/0000-0003-1794-5791; Bortoluzzi, Stefania/0000-0001-8240-3070</t>
  </si>
  <si>
    <t>Italian National Program for Antarctic Research (PNRA); University of Padova [GRIC11Z79P, CPDR084151/08]; NSF [0741348]; Directorate For Geosciences; Office of Polar Programs (OPP) [0741348] Funding Source: National Science Foundation</t>
  </si>
  <si>
    <t>Italian National Program for Antarctic Research (PNRA); University of Padova; NSF(National Science Foundation (NSF)); Directorate For Geosciences; Office of Polar Programs (OPP)(National Science Foundation (NSF)NSF - Directorate for Geosciences (GEO))</t>
  </si>
  <si>
    <t>The authors are grateful to Vittorio Varotto (Department of Biology, University of Padova, Padova, Italy) for collecting C. hamatus samples. This work was supported by the Italian National Program for Antarctic Research (PNRA) to T. P., L. B., and L.Z. and by the University of Padova to S. B. A. C. and I. A. M. M. are recipients of post-doc grants from the University of Padova (grant numbers GRIC11Z79P and CPDR084151/08). C. A. is a PhD student in Evolutionary Biology at the University of Padova, with a program partially supported under NSF grant 0741348.</t>
  </si>
  <si>
    <t>1759-6653</t>
  </si>
  <si>
    <t>GENOME BIOL EVOL</t>
  </si>
  <si>
    <t>Genome Biol. Evol.</t>
  </si>
  <si>
    <t>10.1093/gbe/evs108</t>
  </si>
  <si>
    <t>087RA</t>
  </si>
  <si>
    <t>WOS:000314778600004</t>
  </si>
  <si>
    <t>Hidalgo, K; Laparie, M; Bical, R; Larvor, V; Bouchereau, A; Siaussat, D; Renault, D</t>
  </si>
  <si>
    <t>Hidalgo, K.; Laparie, M.; Bical, R.; Larvor, V.; Bouchereau, A.; Siaussat, D.; Renault, D.</t>
  </si>
  <si>
    <t>Metabolic fingerprinting of the responses to salinity in the invasive ground beetle Merizodus soledadinus at the Kerguelen Islands</t>
  </si>
  <si>
    <t>JOURNAL OF INSECT PHYSIOLOGY</t>
  </si>
  <si>
    <t>Alanine; Amino acid; Biological invasions; Body water content; Compatible solutes; Glycine; Osmoregulation; Survival</t>
  </si>
  <si>
    <t>FREE AMINO-ACIDS; CHEMICAL CHAPERONES; TENEBRIONID BEETLE; COMPATIBLE SOLUTES; WATER-BALANCE; SOUTH-GEORGIA; IN-VITRO; OSMOREGULATION; OSMOLYTES; SALT</t>
  </si>
  <si>
    <t>Salinity is an abiotic factor that may impact survival and fitness of terrestrial insects in coastal environments. Meanwhile, some terrestrial arthropods can survive in hypersaline environments, and counterbalance osmotic stress by intra- and extracellular buildups of organic osmolytes. The ground beetle Merizodus soledadinus originates from South America and it is distributed in forests and riparian zones, where salinity levels are considerably low. This species has been introduced at the Kerguelen Islands a century ago, where it colonized coastal areas (tide drift lines), and must thus withstand salinity variations due to tide, spray, and organic matter deposited therein. In the present study, we addressed the physiological plasticity of M. soledadinus to saline conditions, by monitoring body water content and survival in adults experimentally subjected to different salinities. We also investigated possible metabolic adjustments involved at three contrasted salinity levels (0 parts per thousand, 35 parts per thousand, 70 parts per thousand) at 4 and 8 degrees C. We hypothesized that this invasive ground beetle can withstand a broad range of salinity conditions thanks to the plastic accumulation of compatible solutes. The study revealed a progressive drop in body water content in individuals exposed to 35 parts per thousand and 70 parts per thousand, as opposed to the controls. Metabolic fingerprints showed compatible solute (erythritol, alanine, glycine and proline) accumulation at medium and high salinity conditions (35 parts per thousand and 70 parts per thousand). We concluded that the osmo-induced accumulation of amino acids and polyols was likely to modulate the ground beetles' body water balance on medium saline substrates, thus enhancing their survival ability. (C) 2012 Elsevier Ltd. All rights reserved.</t>
  </si>
  <si>
    <t>[Hidalgo, K.; Bical, R.; Larvor, V.; Renault, D.] Univ Rennes 1, UMR CNRS Ecobio 6553, F-35042 Rennes, France; [Laparie, M.] Univ Rennes 1, UMR CNRS 6553, Stn Biol, F-35380 Paimpont, France; [Bouchereau, A.] Univ Rennes 1, UMR INRA IGEPP, F-35042 Rennes, France; [Siaussat, D.] Univ Paris 06, UMR INRA PISC 1272, F-75005 Paris, France</t>
  </si>
  <si>
    <t>Centre National de la Recherche Scientifique (CNRS); Universite de Rennes; Universite de Rennes; INRAE; Universite de Rennes; Sorbonne Universite; INRAE</t>
  </si>
  <si>
    <t>Renault, D (corresponding author), Univ Rennes 1, UMR CNRS Ecobio 6553, Campus Beaulieu,263 Ave Gal Leclerc,CS 74205, F-35042 Rennes, France.</t>
  </si>
  <si>
    <t>RENAULT, David/0000-0003-3644-1759; Hidalgo, Kevin/0000-0001-5923-3130</t>
  </si>
  <si>
    <t>Institut Polaire Francais (IPEV) [136]; CNRS (Zone-Atelier de Recherches sur l'Environnement Antarctique et Subantarctique); Agence Nationale de la Recherche [ANR-07-VULN-004]</t>
  </si>
  <si>
    <t>This research was supported by the Institut Polaire Francais (IPEV, programme 136 coordinated by Marc Lebouvier), the CNRS (Zone-Atelier de Recherches sur l'Environnement Antarctique et Subantarctique), and the Agence Nationale de la Recherche (ANR-07-VULN-004, Vulnerability of native communities to invasive insects and climate change in sub-Antarctic Islands, EVINCE). The authors would like to thank two anonymous referees for their helpful comments on earlier versions of this paper.</t>
  </si>
  <si>
    <t>0022-1910</t>
  </si>
  <si>
    <t>1879-1611</t>
  </si>
  <si>
    <t>J INSECT PHYSIOL</t>
  </si>
  <si>
    <t>J. Insect Physiol.</t>
  </si>
  <si>
    <t>10.1016/j.jinsphys.2012.10.017</t>
  </si>
  <si>
    <t>Entomology; Physiology; Zoology</t>
  </si>
  <si>
    <t>090UC</t>
  </si>
  <si>
    <t>WOS:000315004500011</t>
  </si>
  <si>
    <t>Alderkamp, AC; Mills, MM; van Dijken, GL; Arrigo, KR</t>
  </si>
  <si>
    <t>Alderkamp, Anne-Carlijn; Mills, Matthew M.; van Dijken, Gert L.; Arrigo, Kevin R.</t>
  </si>
  <si>
    <t>Photoacclimation and non-photochemical quenching under in situ irradiance in natural phytoplankton assemblages from the Amundsen Sea, Antarctica</t>
  </si>
  <si>
    <t>Amundsen Sea; Diatoms; Iron; Non-photochemical quenching; Phaeocystis antarctica; Photoacclimation; Photoinhibition; Xanthophyll cycle</t>
  </si>
  <si>
    <t>FRAGILARIOPSIS-CYLINDRUS BACILLARIOPHYCEAE; MELTING GLACIERS FUELS; PHAEOCYSTIS-ANTARCTICA; IRON-LIMITATION; PHOTOSYSTEM-II; CHLOROPHYLL FLUORESCENCE; COMMUNITY STRUCTURE; MARINE DIATOM; ULTRAVIOLET-RADIATION; DIADINOXANTHIN CYCLE</t>
  </si>
  <si>
    <t>Photoacclimation strategies and sensitivity to photoinhibition were determined in natural phytoplankton assemblages during a phytoplankton bloom in the Amundsen Sea (Southern Ocean) in relation to community composition, pigment content, light, and iron (Fe). Non-photochemical quenching (qN) was measured during recovery after surface irradiance exposure (SIE) for 20 min. The qN was separated into slow (qI, photoinhibition through damage of Photosystem II) and fast (qE, xanthophyll cycling) relaxing components. Phytoplankton within the upper mixed layer (UML) showed a higher ratio of photoprotective xanthophyll cycle pigments (diadinoxanthin [DD] + diatoxanthin [DT]) to chlorophyll a (chl a), indicative of acclimation to high light, which resulted in lower photoinhibition after SIE when compared to phytoplankton residing below the UML. Within the UML, we found differences in photoacclimation strategies in assemblages dominated by Antarctic diatoms versus Phaeocystis antarctica (Haptophyta). Diatoms had a higher ratio of (DD + DT)/chl a, and the ratio tracked mean light levels within the UML, whereas this relationship was not apparent in P. antarctica, which had a lower (DD + DT)/chl a ratio. Despite these differences, diatoms and P. antarctica exhibited similar degrees of qN that were dominated by qE with very little qI. Bioassays under high and low Fe concentrations revealed an increase in the (DD + DT)/chl a ratio in Fe-limited populations dominated by diatoms and decreased photoinhibition. In experiments dominated by P. antarctica or with mixed populations, acclimation to low Fe increased the (DD + DT)/chl a ratio in most experiments; however, this did not affect photoinhibition. This study shows that under in situ conditions in the Amundsen Sea (1) phytoplankton photo acclimation efficiently minimizes photoinhibition, (2) photoinhibition does not control the relative abundances of P. antarctica or Antarctic diatoms, and (3) Fe limitation does not increase photo inhibition of either P. antarctica or Antarctic diatoms.</t>
  </si>
  <si>
    <t>[Alderkamp, Anne-Carlijn; Mills, Matthew M.; van Dijken, Gert L.; Arrigo, Kevin R.] Stanford Univ, Dept Environm Earth Syst Sci, Stanford, CA 94019 USA; [Alderkamp, Anne-Carlijn] Univ Groningen, Dept Ocean Ecosyst, Energy &amp; Sustainabil Res Inst, NL-9747 AG Groningen, Netherlands</t>
  </si>
  <si>
    <t>Stanford University; University of Groningen</t>
  </si>
  <si>
    <t>Alderkamp, AC (corresponding author), Stanford Univ, Dept Environm Earth Syst Sci, Stanford, CA 94019 USA.</t>
  </si>
  <si>
    <t>alderkamp@stanford.edu</t>
  </si>
  <si>
    <t>Van Dijken, Gert L/C-5276-2011</t>
  </si>
  <si>
    <t>Arrigo, Kevin/0000-0002-7364-876X; Van Dijken, Gert/0000-0002-9587-6317</t>
  </si>
  <si>
    <t>National Science Foundation DynaLiFe grant as part of the International Polar Year [ANT-0732535]; Netherlands Organization for Scientific Research (NWO), Netherlands AntArctic Programme (NAAP grant) [851.20.041]</t>
  </si>
  <si>
    <t>National Science Foundation DynaLiFe grant as part of the International Polar Year; Netherlands Organization for Scientific Research (NWO), Netherlands AntArctic Programme (NAAP grant)</t>
  </si>
  <si>
    <t>We thank the captain and crew of the RV 'Nathaniel B. Palmer', Raytheon staff, Stan Jacobs, Christopher Payne, Patrick Laan, and Charles-Edouard Thuroczy for their support. Ronald Visser is thanked for HPLC measurements. The manuscript benefited from helpful suggestions from Gemma Kulk, Molly Palmer, Willem van de Poll, Casey Smith, and Robert Strzepek. This project was funded by a National Science Foundation DynaLiFe grant to K. R. A. (ANT-0732535) as part of the International Polar Year, and by the Netherlands Organization for Scientific Research (NWO), Netherlands AntArctic Programme (NAAP grant 851.20.041).</t>
  </si>
  <si>
    <t>10.3354/meps10097</t>
  </si>
  <si>
    <t>089UH</t>
  </si>
  <si>
    <t>WOS:000314935000002</t>
  </si>
  <si>
    <t>Correia, E; Raulin, JP; Kaufmann, P; Bertoni, F; Quevedo, MT</t>
  </si>
  <si>
    <t>Correia, E.; Raulin, J. -P.; Kaufmann, P.; Bertoni, F.; Quevedo, M. T.</t>
  </si>
  <si>
    <t>Inter-hemispheric analysis of daytime low ionosphere behavior from 2007 to 2011</t>
  </si>
  <si>
    <t>JOURNAL OF ATMOSPHERIC AND SOLAR-TERRESTRIAL PHYSICS</t>
  </si>
  <si>
    <t>Ionosphere; VLF propagation; Planetary waves; Atmosphere coupling</t>
  </si>
  <si>
    <t>SUMMER MESOSPHERIC TEMPERATURE; QUASI 16-DAY OSCILLATION; LOWER THERMOSPHERE; PLANETARY-WAVES; D-REGION; SASKATOON 52-DEGREES-N; MIDDLE ATMOSPHERE; VLF PHASE; 107-DEGREES-W; MODULATION</t>
  </si>
  <si>
    <t>The lower ionosphere behavior from 2007 to 2011 is studied using VLF signals propagating over long distances and received at Comandante Ferraz Brazilian Antarctic Station and Atibaia/Brazil. The VLF signals show high day-to-day variations of the mid-day amplitude, which present a clear seasonal behavior occurring predominantly during wintertime in all years. These high VLF amplitude variations show a significant component with 16-day period, which is typical of planetary waves of stratospheric/tropospheric origin. These results reinforced the solar control of the lower ionosphere and the evidence of vertical couplings in the atmosphere-ionosphere system, even during the 24th solar cycle increasing activity. (C) 2012 Elsevier Ltd. All rights reserved.</t>
  </si>
  <si>
    <t>[Correia, E.; Quevedo, M. T.] INPE, BR-12227010 Sao Jose Dos Campos, SP, Brazil; [Correia, E.; Raulin, J. -P.; Kaufmann, P.; Bertoni, F.] Univ Presbiteriana Mackenzie, CRAAM, BR-01302907 Sao Paulo, Brazil</t>
  </si>
  <si>
    <t>Instituto Nacional de Pesquisas Espaciais (INPE); Universidade Presbiteriana Mackenzie</t>
  </si>
  <si>
    <t>Correia, E (corresponding author), Univ Presbiteriana Mackenzie, CRAAM, Rua Consolacao 930,Ed Modesto Carvalhosa 7th Floo, BR-01302907 Sao Paulo, Brazil.</t>
  </si>
  <si>
    <t>Raulin, Jean-Pierre/A-4109-2015; Correia, Emilia/F-6802-2012</t>
  </si>
  <si>
    <t>Raulin, Jean-Pierre/0000-0002-7501-3231; Correia, Emilia/0000-0003-4778-3834</t>
  </si>
  <si>
    <t>CNPq/PROANTAR [proc. 0520186/06-0, 556872/2009-6]; INCT-APA (Instituto Nacional de Ciencia e Tecnologia Antartico de Pesquisas Ambientais, CNPq) [proc. 574018/2008-5]; INCT-APA (Instituto Nacional de Ciencia e Tecnologia Antartico de Pesquisas Ambientais, FAPERJ) [proc. E-16/170.023/2008]; CNPq [proc. 300710/2006-2, proc. 374956/2010-3, proc. 374958/2010-6, proc. 374957/2010-0]</t>
  </si>
  <si>
    <t>CNPq/PROANTAR(Conselho Nacional de Desenvolvimento Cientifico e Tecnologico (CNPQ)); INCT-APA (Instituto Nacional de Ciencia e Tecnologia Antartico de Pesquisas Ambientais, CNPq)(Conselho Nacional de Desenvolvimento Cientifico e Tecnologico (CNPQ)); INCT-APA (Instituto Nacional de Ciencia e Tecnologia Antartico de Pesquisas Ambientais, FAPERJ)(Fundacao Carlos Chagas Filho de Amparo a Pesquisa do Estado do Rio De Janeiro (FAPERJ)); CNPq(Conselho Nacional de Desenvolvimento Cientifico e Tecnologico (CNPQ))</t>
  </si>
  <si>
    <t>This research was supported by the CNPq/PROANTAR (proc. 0520186/06-0 and 556872/2009-6) and partially by INCT-APA (Instituto Nacional de Ciencia e Tecnologia Antartico de Pesquisas Ambientais, CNPq proc. 574018/2008-5 and FAPERJ proc. E-16/170.023/2008). E.C. thanks to CNPq (proc. 300710/2006-2), and to SECIRM and Brazilian Antarctic Program (PROANTAR) for the logistic support at Comandante Ferraz Brazilian Antarctic Station. E.C. also thanks to A.T. Hadano, Y.R. Hadano (CNPq proc. 374956/2010-3), R.L. Falsarella (CNPq proc. 374958/2010-6) and E.L. Bortolossi (CNPq proc. 374957/2010-0) for technical support at EACF and ROI. We also thank the anonymous referees for a careful reading of the text and suggestions that improved the paper.</t>
  </si>
  <si>
    <t>1364-6826</t>
  </si>
  <si>
    <t>1879-1824</t>
  </si>
  <si>
    <t>J ATMOS SOL-TERR PHY</t>
  </si>
  <si>
    <t>J. Atmos. Sol.-Terr. Phys.</t>
  </si>
  <si>
    <t>10.1016/j.jastp.2012.09.006</t>
  </si>
  <si>
    <t>Geochemistry &amp; Geophysics; Meteorology &amp; Atmospheric Sciences</t>
  </si>
  <si>
    <t>085OR</t>
  </si>
  <si>
    <t>WOS:000314624600008</t>
  </si>
  <si>
    <t>Mayewski, PA; Maasch, KA; Dixon, D; Sneed, SB; Oglesby, R; Korotkikh, E; Potocki, M; Grigholm, B; Kreutz, K; Kurbatov, AV; Spaulding, N; Stager, JC; Taylor, KC; Steig, EJ; White, J; Bertler, NAN; Goodwin, I; Simoes, JC; Jaña, R; Kraus, S; Fastook, J</t>
  </si>
  <si>
    <t>Mayewski, P. A.; Maasch, K. A.; Dixon, D.; Sneed, S. B.; Oglesby, R.; Korotkikh, E.; Potocki, M.; Grigholm, B.; Kreutz, K.; Kurbatov, A. V.; Spaulding, N.; Stager, J. C.; Taylor, K. C.; Steig, E. J.; White, J.; Bertler, N. A. N.; Goodwin, I.; Simoes, J. C.; Jana, R.; Kraus, S.; Fastook, J.</t>
  </si>
  <si>
    <t>West Antarctica's sensitivity to natural and human-forced climate change over the Holocene</t>
  </si>
  <si>
    <t>JOURNAL OF QUATERNARY SCIENCE</t>
  </si>
  <si>
    <t>abrupt climate change; Antarctica; anthropogenic activity; atmospheric circulation; ice cores</t>
  </si>
  <si>
    <t>ICE-CORE; ATMOSPHERIC CIRCULATION; SOUTHERN-OCEAN; EAST ANTARCTICA; SIPLE DOME; VARIABILITY; GREENLAND; RECORD; CYCLE; TRANSITION</t>
  </si>
  <si>
    <t>The location and intensity of the austral westerlies strongly influence southern hemisphere precipitation and heat transport with consequences for human society and ecosystems. With future warming, global climate models project increased aridity in southern mid-latitudes related to continued poleward contraction of the austral westerlies. We utilize Antarctic ice cores to investigate past and to set the stage for the prediction of future behaviour of the westerlies. We show that Holocene West Antarctic ice core reconstructions of atmospheric circulation sensitively record naturally forced progressive as well as abrupt changes. We also show that recent poleward migration of the westerlies coincident with increased emission of greenhouse gases and the Antarctic ozone hole has led to unprecedented penetration, compared with &gt;100,000 years ago, of air masses bringing warmth, extra-Antarctic source dust and anthropogenic pollutants into West Antarctica. Copyright (c) 2012 John Wiley &amp; Sons, Ltd.</t>
  </si>
  <si>
    <t>[Mayewski, P. A.; Maasch, K. A.; Dixon, D.; Sneed, S. B.; Korotkikh, E.; Potocki, M.; Grigholm, B.; Kreutz, K.; Kurbatov, A. V.; Spaulding, N.; Stager, J. C.; Fastook, J.] Univ Maine, Climate Change Inst, Orono, ME 04469 USA; [Mayewski, P. A.; Maasch, K. A.; Dixon, D.; Korotkikh, E.; Potocki, M.; Grigholm, B.; Kreutz, K.; Kurbatov, A. V.; Spaulding, N.] Univ Maine, Dept Earth Sci, Orono, ME USA; [Oglesby, R.] Univ Nebraska, Dept Earth &amp; Atmospher Sci, Lincoln, NE USA; [Oglesby, R.] Univ Nebraska, Sch Nat Resources, Lincoln, NE USA; [Stager, J. C.] Paul Smiths Coll, Paul Smiths, NY USA; [Taylor, K. C.] Univ Community Coll Syst Nevada, Desert Res Inst, Reno, NV USA; [Steig, E. J.] Univ Washington, Quaternary Res Ctr, Seattle, WA 98195 USA; [White, J.] Univ Colorado, Inst Arctic &amp; Alpine Res, Boulder, CO 80309 USA; [Bertler, N. A. N.] Victoria Univ, Joint Antarctic Inst, Wellington, New Zealand; [Bertler, N. A. N.] GNS Sci, Wellington, New Zealand; [Goodwin, I.] Macquarie Univ, Dept Environm &amp; Geog, N Ryde, NSW 2109, Australia; [Simoes, J. C.] Univ Fed Rio Grande do Sul, Ctr Polar &amp; Climat, Porto Alegre, RS, Brazil; [Jana, R.] Inst Antartico Chileno INACH, Punta Arenas, Chile; [Kraus, S.] Serv Nacl Geol &amp; Mineria SERNAGEOMIN, Santiago, Chile; [Fastook, J.] Univ Maine, Dept Comp Sci, Orono, ME USA</t>
  </si>
  <si>
    <t>University of Maine System; University of Maine Orono; University of Maine System; University of Maine Orono; University of Nebraska System; University of Nebraska Lincoln; University of Nebraska System; University of Nebraska Lincoln; Nevada System of Higher Education (NSHE); Desert Research Institute NSHE; University of Washington; University of Washington Seattle; University of Colorado System; University of Colorado Boulder; Victoria University Wellington; GNS Science - New Zealand; Macquarie University; Universidade Federal do Rio Grande do Sul; University of Maine System; University of Maine Orono</t>
  </si>
  <si>
    <t>Mayewski, PA (corresponding author), Univ Maine, Climate Change Inst, Orono, ME 04469 USA.</t>
  </si>
  <si>
    <t>paul.mayewski@maine.edu</t>
  </si>
  <si>
    <t>Fastook, James L./J-1465-2019; Simoes, Jefferson Cardia/D-7232-2013; Bertler, Nancy A N/F-3967-2011; Mayewski, Paul Andrew/HRD-6969-2023; White, James W.C./A-7845-2009; Maasch, Kirk/JMQ-8426-2023; Jaña, Ricardo/AAR-1225-2020; Taylor, Kendrick/A-3469-2016; /G-9088-2015</t>
  </si>
  <si>
    <t>Fastook, James L./0000-0003-3900-671X; Simoes, Jefferson Cardia/0000-0001-5555-3401; Jaña, Ricardo/0000-0003-3319-1168; Kraus, Stefan/0000-0001-5017-9940; Maasch, Kirk Allen/0000-0002-8658-8030; Kurbatov, Andrei/0000-0002-9819-9251; Goodwin, Ian/0000-0001-8682-6409; Spaulding, Nicole/0000-0001-5159-3078; Taylor, Kendrick/0000-0001-8535-1261; /0000-0002-8191-5549; Bertler, Nancy/0000-0001-6028-4891</t>
  </si>
  <si>
    <t>National Science Foundation Office of Polar Programs [0096305, 9316564, 0096299, 0424589, 0439589, 063740, 063650, 0837883]; Brazilian National Council for Scientific and Technological Development part of the Brazilian Antarctic Program (PROANTAR); Chilean Antarctic Institute (INACH); Fundacion CEQUA; Polar Ice Coring Office (University of Alaska Fairbanks); Ice Core Drilling Services (University of Wisconsin Madison); 109th Air National Guard (Scotia, New York); Chilean Air Force (FACH); Raytheon Polar Services; National Ice Core Laboratory (NICL); Directorate For Geosciences; Division Of Earth Sciences [0822922] Funding Source: National Science Foundation; Directorate For Geosciences; Division Of Earth Sciences [1027960] Funding Source: National Science Foundation; Directorate For Geosciences; Division Of Polar Programs [0944191] Funding Source: National Science Foundation; Directorate For Geosciences; Office of Polar Programs (OPP) [1042883, 0096305, 0837883] Funding Source: National Science Foundation; Directorate For Geosciences; Office of Polar Programs (OPP) [0424589, 0096299, 0439589] Funding Source: National Science Foundation; Office of Polar Programs; Office Of The Director [9316564] Funding Source: National Science Foundation</t>
  </si>
  <si>
    <t>National Science Foundation Office of Polar Programs(National Science Foundation (NSF)NSF - Directorate for Geosciences (GEO)); Brazilian National Council for Scientific and Technological Development part of the Brazilian Antarctic Program (PROANTAR); Chilean Antarctic Institute (INACH); Fundacion CEQUA(Comision Nacional de Investigacion Cientifica y Tecnologica (CONICYT)CONICYT Regional/CEQUA); Polar Ice Coring Office (University of Alaska Fairbanks); Ice Core Drilling Services (University of Wisconsin Madison); 109th Air National Guard (Scotia, New York); Chilean Air Force (FACH); Raytheon Polar Services; National Ice Core Laboratory (NICL); Directorate For Geosciences; Division Of Earth Sciences(National Science Foundation (NSF)NSF - Directorate for Geosciences (GEO)); Directorate For Geosciences; Division Of Earth Sciences(National Science Foundation (NSF)NSF - Directorate for Geosciences (GEO)); Directorate For Geosciences; Division Of Polar Programs(National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 Office of Polar Programs; Office Of The Director(National Science Foundation (NSF)NSF - Directorate for Geosciences (GEO)NSF - Office of the Director (OD))</t>
  </si>
  <si>
    <t>This research was supported by National Science Foundation Office of Polar Programs grants (0096305, 9316564, 0096299, 0424589, 0439589, 063740, 063650 and 0837883) and Brazilian National Council for Scientific and Technological Development part of the Brazilian Antarctic Program (PROANTAR), and the Chilean Antarctic Institute (INACH) and Fundacion CEQUA. We gratefully acknowledge support from: the Polar Ice Coring Office (University of Alaska Fairbanks), Ice Core Drilling Services (University of Wisconsin Madison), the 109th Air National Guard (Scotia, New York), Chilean Air Force (FACH), Raytheon Polar Services, the National Ice Core Laboratory (NICL), analytical contributions from the Climate Change Research Center (University of New Hampshire) and E. A. Meyerson (Climate Change Institute), ice core drilling by M. Wumkes (Glacier Data), M. Gerasimov and M. Waskiewicz (Ice Core Drilling Services and the Polar Ice Coring Office), and our GISP2, Siple Dome, Taylor Dome and ITASE colleagues. GISP2, Siple Dome, Taylor Dome and ITASE are archived at National Climatic Data Center (NCDC).</t>
  </si>
  <si>
    <t>0267-8179</t>
  </si>
  <si>
    <t>1099-1417</t>
  </si>
  <si>
    <t>J QUATERNARY SCI</t>
  </si>
  <si>
    <t>J. Quat. Sci.</t>
  </si>
  <si>
    <t>10.1002/jqs.2593</t>
  </si>
  <si>
    <t>084EU</t>
  </si>
  <si>
    <t>WOS:000314521100006</t>
  </si>
  <si>
    <t>Dimitrova, S; Pavlova, K; Lukanov, L; Korotkova, E; Petrova, E; Zagorchev, P; Kuncheva, M</t>
  </si>
  <si>
    <t>Dimitrova, Stela; Pavlova, Kostantsa; Lukanov, Ludmil; Korotkova, Elena; Petrova, Ekaterina; Zagorchev, Plamen; Kuncheva, Margarita</t>
  </si>
  <si>
    <t>Production of Metabolites with Antioxidant and Emulsifying Properties by Antarctic Strain Sporobolomyces salmonicolor AL1</t>
  </si>
  <si>
    <t>APPLIED BIOCHEMISTRY AND BIOTECHNOLOGY</t>
  </si>
  <si>
    <t>S. salmonicolor AL(1); Carotenoids; Coenzyme Q(10); Ergosterol; Antioxidant activity; Exopolysaccharide</t>
  </si>
  <si>
    <t>BETA-CAROTENE; MOUSE SKIN; EXOPOLYSACCHARIDE; TORULARHODIN; YEAST; POWER</t>
  </si>
  <si>
    <t>The Sporobolomyces salmonicolor AL(1) Antarctic strain was cultivated and two bioproducts were obtained: exopolysaccharide and biomass. The biologically active substances ergosterol, torularhodin, torulene, beta-carotene and CoQ(10) were extracted from the biomass and were quantified as follows: ergosterol 5.2 +/- 0.2 mg/g, torularhodin 458.3 +/- 24.5 mu g/g, torulene 273.7 +/- 14.5 mu g/g, beta-carotene 129.2 +/- 7.3 mu g/g and coenzyme Q(10) (CoQ(10)) 236.1 +/- 12.1 mu g/g. Their antioxidant activity was estimated according to the cathode voltammetry method. The most pronounced antioxidant activity (according to trolox) was exhibited by beta-carotene 3.78, followed by CoQ(10) 3.60, both of them being the main contributors to the total extract activity of 3.19. The biologically active metabolites in combination with exoglucomannan as emulsifier were used for the creation of model emulsion systems characterised by great stability. The absorption of UVA rays by the model emulsions was studied.</t>
  </si>
  <si>
    <t>[Dimitrova, Stela; Lukanov, Ludmil] Med Univ, Dept Chem &amp; Biochem, Plovdiv 4002, Bulgaria; [Zagorchev, Plamen] Med Univ, Dept Phys &amp; Biophys, Plovdiv 4002, Bulgaria; [Pavlova, Kostantsa] Bulgarian Acad Sci, Inst Microbiol, Lab Appl Biotechnol, Plovdiv 4000, Bulgaria; [Korotkova, Elena; Petrova, Ekaterina] Tomsk Polytech Univ, Tomsk, Russia; [Kuncheva, Margarita] Univ Food Technol, Plovdiv 4002, Bulgaria</t>
  </si>
  <si>
    <t>Medical University Plovdiv; Medical University Plovdiv; Bulgarian Academy of Sciences; Medical University Plovdiv; Tomsk Polytechnic University; University of Food Technology - Bulgaria</t>
  </si>
  <si>
    <t>Dimitrova, S (corresponding author), Med Univ, Dept Chem &amp; Biochem, 15A V Aprilov Blvd, Plovdiv 4002, Bulgaria.</t>
  </si>
  <si>
    <t>szd@abv.bg</t>
  </si>
  <si>
    <t>Zagorchev, Plamen/0000-0001-9780-0538; Dimitrova, Stela/0000-0001-5831-2574</t>
  </si>
  <si>
    <t>Scientific Research National Fund [DTK 02/46]</t>
  </si>
  <si>
    <t>Scientific Research National Fund</t>
  </si>
  <si>
    <t>The study was supported by Grant DTK 02/46 from the Scientific Research National Fund.</t>
  </si>
  <si>
    <t>0273-2289</t>
  </si>
  <si>
    <t>1559-0291</t>
  </si>
  <si>
    <t>APPL BIOCHEM BIOTECH</t>
  </si>
  <si>
    <t>Appl. Biochem. Biotechnol.</t>
  </si>
  <si>
    <t>10.1007/s12010-012-9983-2</t>
  </si>
  <si>
    <t>Biochemistry &amp; Molecular Biology; Biotechnology &amp; Applied Microbiology</t>
  </si>
  <si>
    <t>077JF</t>
  </si>
  <si>
    <t>WOS:000314023100027</t>
  </si>
  <si>
    <t>Alexander, TJ; Gladstone, W</t>
  </si>
  <si>
    <t>Alexander, Timothy J.; Gladstone, William</t>
  </si>
  <si>
    <t>Assessing the effectiveness of a long-standing rocky intertidal protected area and its contribution to the regional conservation of species, habitats and assemblages</t>
  </si>
  <si>
    <t>AQUATIC CONSERVATION-MARINE AND FRESHWATER ECOSYSTEMS</t>
  </si>
  <si>
    <t>intertidal; reef; conservation evaluation; protected areas; invertebrates; fishing; recreation</t>
  </si>
  <si>
    <t>NEW-SOUTH-WALES; MARINE RESERVE; HUMAN PRESSURE; CENTRAL CHILE; POPULATIONS; SELECTION; LIMPET; COMMUNITY; PREDATOR; PATTERNS</t>
  </si>
  <si>
    <t>The acceptance of reserves as a useful management strategy relies on evidence of their effectiveness in preserving stocks of harvested species and conserving biodiversity. A history of ad hoc decisions in terrestrial and marine protected area planning has meant that many of these areas are contributing inefficiently to conservation goals. The conservation value of existing protected areas should be assessed when planning the placement of additional areas in a reserve network. This study tested (1) the effectiveness of protection for intertidal molluscs of a marine reserve (Bouddi Marine Extension, NSW, Australia) established in 1971, and (2) the contribution of the protected area to the conservation of regional species, assemblages, and habitats. The shell length and population density of one harvested (Cellana tramoserica), and three non-harvested species (Bembicium nanum, Morula marginalba, Nerita atramentosa) of intertidal molluscs were examined in the protected area and two reference locations over two seasons. The heavily collected limpet C. tramoserica was significantly larger in the protected area and was the only species to exhibit a significant difference. No species significantly differed in population density between the protected area and reference locations. Temporally replicated surveys of macro-molluscs at 21 locations over 75?km of coastline identified that the existing protected area included 50% of species, two of five assemblage types and 19 of 20 intertidal rocky shore habitats surveyed in the study region. Reservation of a further three rocky reefs would protect a large proportion of species (71%), a representative of each assemblage and all habitat types. Despite originally being selected in the absence of information on regional biodiversity, the protected area is today an effective starting point for expansion to a regional network of intertidal protected areas. Copyright (C) 2012 John Wiley &amp; Sons, Ltd.</t>
  </si>
  <si>
    <t>[Alexander, Timothy J.; Gladstone, William] Univ Newcastle, Sch Environm &amp; Life Sci, Ourimbah, NSW 2258, Australia; [Alexander, Timothy J.] Univ Tasmania, Inst Marine &amp; Antarctic Studies, Hobart, Tas 7001, Australia; [Gladstone, William] Univ Technol Sydney, Sch Environm, Broadway, NSW 2007, Australia</t>
  </si>
  <si>
    <t>University of Newcastle; University of Tasmania; University of Technology Sydney</t>
  </si>
  <si>
    <t>Alexander, TJ (corresponding author), Univ Tasmania, Inst Marine &amp; Antarctic Studies, GPO Box 252,Private Bay 49, Hobart, Tas 7001, Australia.</t>
  </si>
  <si>
    <t>Gladstone, William/0000-0003-4517-4605</t>
  </si>
  <si>
    <t>1052-7613</t>
  </si>
  <si>
    <t>1099-0755</t>
  </si>
  <si>
    <t>AQUAT CONSERV</t>
  </si>
  <si>
    <t>Aquat. Conserv.-Mar. Freshw. Ecosyst.</t>
  </si>
  <si>
    <t>10.1002/aqc.2284</t>
  </si>
  <si>
    <t>Environmental Sciences; Marine &amp; Freshwater Biology; Water Resources</t>
  </si>
  <si>
    <t>Environmental Sciences &amp; Ecology; Marine &amp; Freshwater Biology; Water Resources</t>
  </si>
  <si>
    <t>076UU</t>
  </si>
  <si>
    <t>WOS:000313984800010</t>
  </si>
  <si>
    <t>Borrione, I; Schlitzer, R</t>
  </si>
  <si>
    <t>Borrione, I.; Schlitzer, R.</t>
  </si>
  <si>
    <t>Distribution and recurrence of phytoplankton blooms around South Georgia, Southern Ocean</t>
  </si>
  <si>
    <t>NATURAL IRON-FERTILIZATION; MICROPLANKTON COMMUNITY STRUCTURE; ANTARCTIC CIRCUMPOLAR CURRENT; SCOTIA SEA IMPLICATIONS; KERGUELEN PLATEAU; CARBON EXPORT; DISSOLVED IRON; HIGH-NUTRIENT; CHLOROPHYLL; BIOMASS</t>
  </si>
  <si>
    <t>South Georgia phytoplankton blooms are amongst the largest of the Southern Ocean and are associated with a rich ecosystem and strong atmospheric carbon drawdown. Both aspects depend on the intensity of blooms, but also on their regularity. Here we use data from 12 yr of SeaWiFS (Sea-viewing Wide Field-of-view Sensor) ocean colour imagery and calculate the frequency of bloom occurrence (FBO) to re-examine spatial and temporal bloom distributions. We find that upstream of the island and outside the borders of the Georgia Basin, blooms occurred in less than 4 out of the 12 yr (FBO &lt; 4). In contrast, FBO was mostly greater than 8 downstream of the island, i.e., to the north and northwest, and in places equal to 12, indicating that blooms occurred every year. The typical bloom area, defined as the region where blooms occurred in at least 8 out of the 12 yr, covers the entire Georgia Basin and the northern shelf of the island. The time series of surface chlorophyll a (Chl a) concentrations averaged over the typical bloom area shows that phytoplankton blooms occurred in every year between September 1997 and September 2010, and that Chl a values followed a clear seasonal cycle, with concentration peaks around December followed in many years by a second peak during late austral summer or early autumn, suggesting a bimodal bloom pattern. The bloom regularity we describe here is in contrast with results of Park et al. (2010) who used a significantly different study area including regions that almost never exhibit bloom conditions.</t>
  </si>
  <si>
    <t>[Borrione, I.; Schlitzer, R.] Alfred Wegener Inst Polar &amp; Marine Res, D-7568 Bremerhaven, Germany</t>
  </si>
  <si>
    <t>Borrione, I (corresponding author), Alfred Wegener Inst Polar &amp; Marine Res, Columbusstr, D-7568 Bremerhaven, Germany.</t>
  </si>
  <si>
    <t>ines.borrione@awi.de</t>
  </si>
  <si>
    <t>borrione, Ines/0000-0002-7694-3780</t>
  </si>
  <si>
    <t>Earth System Science Research School at the Alfred Wegener Institute for Polar and Marine Research; EU FP7 project CARBOCHANGE [264879]</t>
  </si>
  <si>
    <t>Earth System Science Research School at the Alfred Wegener Institute for Polar and Marine Research; EU FP7 project CARBOCHANGE(European Union (EU))</t>
  </si>
  <si>
    <t>The authors thank P. Assmy, O. Aumont, C. Klass, V. Strass, M. R. v. d. Loeff and C. Volker for valuable discussions. Particular thanks go to Victor Smetacek for sharing his insight into the ecology and dynamics of phytoplankton blooms in the Southern Ocean. M. P. Jouandet and the anonymous reviewer are also acknowledged, as their comments greatly improved the technical and scientific quality of the present manuscript. Financial support was provided by the Earth System Science Research School at the Alfred Wegener Institute for Polar and Marine Research and the EU FP7 project CARBOCHANGE under grant agreement no. 264879.</t>
  </si>
  <si>
    <t>10.5194/bg-10-217-2013</t>
  </si>
  <si>
    <t>079ME</t>
  </si>
  <si>
    <t>WOS:000314173700014</t>
  </si>
  <si>
    <t>Lukianova, R; Kozlovsky, A</t>
  </si>
  <si>
    <t>Lukianova, R.; Kozlovsky, A.</t>
  </si>
  <si>
    <t>Dynamics of polar boundary of the auroral oval derived from the IMAGE satellite data</t>
  </si>
  <si>
    <t>COSMIC RESEARCH</t>
  </si>
  <si>
    <t>INTERPLANETARY MAGNETIC-FIELD; PARTICLE-PRECIPITATION BOUNDARIES; NIGHTSIDE IONOSPHERE; ALIGNED CURRENTS; LINE BOUNDARY; CAP BOUNDARY; SUBSTORM; DMSP; MAGNETOSPHERE; MORPHOLOGY</t>
  </si>
  <si>
    <t>Based on a new database on positions of the auroral oval boundaries including measurements made by the IMAGE satellite in 2000-2002 with correct determination of the glow boundaries, statistical estimations of the latitudinal position of the polar cap boundary (PCB) are obtained depending on the IMF B (y) and B (z) , and the PCB evolution during a magnetic storm is analyzed. At zero IMF in the noon (midnight) sector, PCB is located approximately at 80A degrees (76A degrees) CGMLat. The PCB displacement along the noon-midnight meridian is controlled by the IMF B (z) , and in the noon (midnight) sector it is equal to 0.45A degrees (0.15A degrees) CGMLat when B (z) changes by 1 nT. The PCB displacement along the dawn-dusk meridian depends on the IMF B (y) , and it equals 0.1A degrees CGMLat when B (y) changes by 1 nT. Accordingly, the north polar cap as a whole is shifted to the dawn (dusk) side at B (y) &gt; 0 (B (y) &lt; 0). After northward turn of the IMF during the storm's recovery phase, the PCB on the dayside is shifted to the north practically without time delay. The night boundary requires 25 h or more in order to be shifted to the pole to a latitude corresponding to B (z) &gt; 0. DOI: 10.1134/S0010952513010061</t>
  </si>
  <si>
    <t>[Lukianova, R.] Arctic &amp; Antarctic Res Inst, St Petersburg 199397, Russia; [Lukianova, R.] Russian Acad Sci, Space Res Inst, Moscow 117997, Russia; [Kozlovsky, A.] Univ Oulu, Sodankyla Geophys Observ, Oulu, Finland</t>
  </si>
  <si>
    <t>Arctic &amp; Antarctic Research Institute; Russian Academy of Sciences; Space Research Institute of the Russian Academy of Sciences; University of Oulu</t>
  </si>
  <si>
    <t>Lukianova, R (corresponding author), Arctic &amp; Antarctic Res Inst, Ul Beringa 38, St Petersburg 199397, Russia.</t>
  </si>
  <si>
    <t>renata@aari.nw.ru; alexander.kozlovsky@oulu.fi</t>
  </si>
  <si>
    <t>Lukianova, Renata/K-3293-2012</t>
  </si>
  <si>
    <t>Lukianova, Renata/0000-0003-2343-9174; Kozlovsky, Alexander/0000-0003-1468-7600</t>
  </si>
  <si>
    <t>Academy of Finland [260478]; Academy of Finland (AKA) [260478] Funding Source: Academy of Finland (AKA)</t>
  </si>
  <si>
    <t>This work was supported by the Academy of Finland (grant no. 260478). The authors would like to thank the group of researchers from the British Antarctic Survey, which created the database of positions of the auroral oval boundaries by the IMAGE satellite measurements and made it available in http://www.antarctica.ac.uk/bas_research/our_research/az/magnetic_reconnection/auroral_boundary_data.html. The data on IMF and Dst index are obtained from the Goddard Center website (http://omniweb.gsfc.nasa.gov).</t>
  </si>
  <si>
    <t>0010-9525</t>
  </si>
  <si>
    <t>1608-3075</t>
  </si>
  <si>
    <t>COSMIC RES+</t>
  </si>
  <si>
    <t>Cosmic Res.</t>
  </si>
  <si>
    <t>10.1134/S0010952513010061</t>
  </si>
  <si>
    <t>Engineering, Aerospace; Astronomy &amp; Astrophysics</t>
  </si>
  <si>
    <t>Engineering; Astronomy &amp; Astrophysics</t>
  </si>
  <si>
    <t>081CX</t>
  </si>
  <si>
    <t>WOS:000314295100006</t>
  </si>
  <si>
    <t>Onana, VD; Kurtz, NT; Farrell, SL; Koenig, LS; Studinger, M; Harbeck, JP</t>
  </si>
  <si>
    <t>Onana, Vincent-De-Paul; Kurtz, Nathan T.; Farrell, Sinead Louise; Koenig, Lora S.; Studinger, Michael; Harbeck, Jeremy P.</t>
  </si>
  <si>
    <t>A Sea-Ice Lead Detection Algorithm for Use With High-Resolution Airborne Visible Imagery</t>
  </si>
  <si>
    <t>Affine time-frequency distributions; Antarctic; Arctic; high-resolution airborne visible imagery; lead concentration; sea ice; sea-ice leads</t>
  </si>
  <si>
    <t>LASER ALTIMETER MEASUREMENTS; IMPROVED CLOUD DETECTION; GOES SCENES; ROUGHNESS; EXCHANGE; RADAR; OCEAN; WATER</t>
  </si>
  <si>
    <t>The detection of leads, or cracks, in sea ice is critical for the derivation of sea-ice freeboard from altimetric measurements of sea-ice elevation. We present an approach for lead detection in sea ice using high-resolution visible imagery from airborne platforms. We develop a new algorithm, i.e., the sea-ice lead detection algorithm using minimal signal (SILDAMS), that detects clouds, extracts leads, and classifies ice types within leads from airborne visible imagery. Cloud detection is based on an assessment of local variances of pixel brightness across image scenes and where available coincident altimetric measurements are used to confirm suspected cloudy scenes. The lead extraction step computes affine time-frequency distributions (minimal signal) for the Red, Green, and Blue channels of each image. The transformed outputs are combined to take advantage of three channels simultaneously. Finally, lead pixel geolocations are extracted using a set of uniform thresholds for ice typing (including open water, thin ice, and gray ice) within leads along each flight line. SILDAMS was tested using data from the Digital Mapping System (DMS). DMS digital photographs represent the highest resolution (approximate to 10 cm) visible imagery available over sea ice and were collected during NASA Operation IceBridge sea-ice flights in the Antarctic and the Arctic in 2009 and 2010, respectively. We demonstrate that SILDAMS has a high lead detection capability of 99%.</t>
  </si>
  <si>
    <t>[Onana, Vincent-De-Paul; Kurtz, Nathan T.; Farrell, Sinead Louise; Koenig, Lora S.; Studinger, Michael; Harbeck, Jeremy P.] NASA, Cryospher Sci Branch, Goddard Space Flight Ctr, Greenbelt, MD 20771 USA; [Onana, Vincent-De-Paul; Harbeck, Jeremy P.] ADNET Syst Inc, SESDA2, Lanham, MD 20706 USA; [Kurtz, Nathan T.] Morgan State Univ, Baltimore, MD 21251 USA; [Farrell, Sinead Louise] Univ Maryland, Earth Syst Sci Interdisciplinary Ctr, College Pk, MD 20740 USA</t>
  </si>
  <si>
    <t>National Aeronautics &amp; Space Administration (NASA); NASA Goddard Space Flight Center; Morgan State University; University System of Maryland; University of Maryland College Park</t>
  </si>
  <si>
    <t>Onana, VD (corresponding author), NASA, Cryospher Sci Branch, Goddard Space Flight Ctr, Code 615, Greenbelt, MD 20771 USA.</t>
  </si>
  <si>
    <t>vincentdepaul.onana@nasa.gov; Nathan.t.kurtz@nasa.gov; sineadf@umd.edu; Lora.s.koenig@nasa.gov; michael.studinger@nasa.gov; jeremy.p.harbeck@nasa.gov</t>
  </si>
  <si>
    <t>Kurtz, Nathan T/N-8745-2014; Farrell, Sinead/F-5586-2010</t>
  </si>
  <si>
    <t>Studinger, Michael/0000-0003-1265-4741; Farrell, Sinead/0000-0003-3222-2751</t>
  </si>
  <si>
    <t>10.1109/TGRS.2012.2202666</t>
  </si>
  <si>
    <t>076NR</t>
  </si>
  <si>
    <t>WOS:000313963700007</t>
  </si>
  <si>
    <t>Galin, N; Wingham, DJ; Cullen, R; Fornari, M; Smith, WHF; Abdalla, S</t>
  </si>
  <si>
    <t>Galin, Natalia; Wingham, Duncan J.; Cullen, Robert; Fornari, Marco; Smith, Walter H. F.; Abdalla, Saleh</t>
  </si>
  <si>
    <t>Calibration of the CryoSat-2 Interferometer and Measurement of Across-Track Ocean Slope</t>
  </si>
  <si>
    <t>Calibration; CryoSat-2; interferometry; radar altimetry</t>
  </si>
  <si>
    <t>ALTIMETER; TOPOGRAPHY; SURFACE</t>
  </si>
  <si>
    <t>This paper describes the calibration of the CryoSat-2 interferometer, whose principal purpose is to accurately measure the height of the Antarctic and Greenland ice sheets. A sequence of CryoSat-2 data acquisitions over the tropical and midlatitude oceans were obtained between June and September 2010, from the SIRAL A and redundant SIRAL B radars operating in their SARIN mode, during a sequence of satellite rolls between -0.6 degrees and 0.4 degrees. Using the arrival angle of the echo relative to the interferometer baseline, the attitude of the satellite determined by the star trackers, and estimates of the ocean surface across-track slope from the EGM08 geoid, we determined the errors in the interferometer estimate of surface slope as functions of the roll angle and ocean surface waveheight. These were found to be in close agreement with the theoretical description. The scale factor of the interferometric measurement of angle was determined to be 0.973 +/- 0.002. We estimate the accuracy of the across-track slope measurement of the interferometer by applying this scale factor to the measured phase. In applying this scale factor to the measurements, the across-track slope of the marine geoid was obtained with an accuracy of 26 mu rad at 10 km and 10 mu rad at 1000 km. We conclude that the instrument performance considerably exceeds that needed for the accurate determination of height over the sloping surfaces of the continental ice sheets. The results also demonstrate that CryoSat-2 provides the first observations of the instantaneous vector gradient of the ocean surface, and that the normal-incidence interferometric configuration has a greater potential for the measurement of the ocean across-track slope than has been previously recognized.</t>
  </si>
  <si>
    <t>[Galin, Natalia; Wingham, Duncan J.] UCL, Ctr Polar Observat &amp; Modelling, Dept Earth Sci, London WC1E 6BT, England; [Fornari, Marco] Reah Syst Sa, New Tech Ctr, B-1348 Louvain, Belgium; [Smith, Walter H. F.] Natl Ocean &amp; Atmospher Adm, Silver Spring, MD 20910 USA; [Abdalla, Saleh] ECMWF, Res Dept, Reading RG2 9AX, Berks, England</t>
  </si>
  <si>
    <t>University of London; University College London; National Oceanic Atmospheric Admin (NOAA) - USA; European Centre for Medium-Range Weather Forecasts (ECMWF)</t>
  </si>
  <si>
    <t>Galin, N (corresponding author), UCL, Ctr Polar Observat &amp; Modelling, Dept Earth Sci, Mortimer St, London WC1E 6BT, England.</t>
  </si>
  <si>
    <t>n.galin@ucl.ac.uk; djw@cpom.ucl.ac.uk; Robert.Cullen@esa.int; marco.fornari@cryosat.esa.int; walter.hf.smith@noaa.gov; abdalla@ecmwf.int</t>
  </si>
  <si>
    <t>Smith, Walter H F/AAM-6681-2020</t>
  </si>
  <si>
    <t>Smith, Walter H F/0000-0002-8814-015X; Abdalla, Saleh/0000-0002-4871-1720</t>
  </si>
  <si>
    <t>NCEO, part of the U.K. Natural Environment Research Council</t>
  </si>
  <si>
    <t>Manuscript received October 16, 2011; revised April 6, 2012; accepted May 11, 2012. Date of publication June 28, 2012; date of current version December 19, 2012. This work was supported in part by NCEO, part of the U.K. Natural Environment Research Council.</t>
  </si>
  <si>
    <t>10.1109/TGRS.2012.2200298</t>
  </si>
  <si>
    <t>WOS:000313963700008</t>
  </si>
  <si>
    <t>Pinkerton, MH; Forman, J; Bury, SJ; Brown, J; Horn, P; O'Driscoll, RL</t>
  </si>
  <si>
    <t>Pinkerton, M. H.; Forman, J.; Bury, S. J.; Brown, J.; Horn, P.; O'Driscoll, R. L.</t>
  </si>
  <si>
    <t>Diet and trophic niche of Antarctic silverfish Pleuragramma antarcticum in the Ross Sea, Antarctica</t>
  </si>
  <si>
    <t>JOURNAL OF FISH BIOLOGY</t>
  </si>
  <si>
    <t>Southern Ocean; stable isotope; stomach content analysis; trophic level</t>
  </si>
  <si>
    <t>FOOD-WEB; STOMACH CONTENTS; FEEDING ECOLOGY; MCMURDO SOUND; WEDDELL SEA; JUVENILE NOTOTHENIOIDS; PLANKTON DELTA-C-13; ISOTOPIC NICHES; STABLE-ISOTOPES; MARINE PLANKTON</t>
  </si>
  <si>
    <t>The diet of Antarctic silverfish Pleuragramma antarcticum was evaluated by examining stomach contents of specimens collected in the Ross Sea (71 degrees 77 degrees S; 165 degrees 180 degrees E) in January to March 2008. Pleuragramma antarcticum (50236 mm standard length, LS) and prey items were analysed for stable-isotopic composition of carbon and nitrogen. According to index of relative importance (IRI), which incorporates frequency of occurrence, mass and number of prey items, the most important prey items were copepods (81%IRI over all specimens), predominantly Metridia gerlachei and Paraeuchaeta sp., with krill and fishes having low IRI (2.2 and 5.6%IRI overall). According to mass of prey (M) in stomachs, however, fishes (P. antarcticum and myctophids) and krill dominated overall diet (48 and 22%M, respectively), with copepods being a relatively minor constituent of overall diet by mass (9.9%M). Piscivory by P. antarcticum occurred mainly in the extreme south-west of the region and near the continental slope. Krill identified to species level in P. antarcticum stomachs were predominantly Euphausia superba (14.1%M) with some Euphausia crystallophorias (4.8%M). Both DistLM modelling (PRIMER-permanova+) on stomach contents (by IRI) and stepwise generalized linear modelling on stable isotopes showed that LS and location were significant predictors of P. antarcticum diet. Postlarval P. antarcticum (5089 mm LS) consumed exclusively copepods. Juvenile P. antarcticum (90151 mm LS) consumed predominantly krill and copepods by mass (46 and 30%M, respectively). Small adult P. antarcticum (152178 mm LS) consumed krill, fishes and copepods (37, 36 and 15%M, respectively). Large adult P. antarcticum (179236 mm LS) consumed predominantly fishes and krill (55 and 17%M, respectively), especially in the north (near the Ross Sea slope) and in the SW Ross Sea. Amphipods were occasionally important prey items for P. antarcticum (western Ross Sea, 39%M). General concordance between stomach contents and trophic level of P. antarcticum and prey based on d15N was demonstrated. Pleuragramma antarcticum trophic level was estimated as 3.7 (postlarval fish) and 4.1 (fish aged 3+ years).</t>
  </si>
  <si>
    <t>[Pinkerton, M. H.; Forman, J.; Bury, S. J.; Brown, J.; Horn, P.; O'Driscoll, R. L.] Natl Inst Water &amp; Atmospher Res Ltd, Wellington 6241, New Zealand</t>
  </si>
  <si>
    <t>Pinkerton, MH (corresponding author), Natl Inst Water &amp; Atmospher Res Ltd, Private Bag 14901, Wellington 6241, New Zealand.</t>
  </si>
  <si>
    <t>Bury, Sarah/JLN-0810-2023</t>
  </si>
  <si>
    <t>Horn, Peter/0000-0003-4163-5064</t>
  </si>
  <si>
    <t>New Zealand's International Polar Year Census of Antarctic Marine Life project (Ministry of Fisheries) [IPY200701]; Ministry of Science and Innovation [C01X1001]</t>
  </si>
  <si>
    <t>New Zealand's International Polar Year Census of Antarctic Marine Life project (Ministry of Fisheries); Ministry of Science and Innovation(Spanish Government)</t>
  </si>
  <si>
    <t>Funding for this work was provided through the New Zealand's International Polar Year Census of Antarctic Marine Life project (Ministry of Fisheries project IPY200701 Objective 10) and the Ministry of Science and Innovation project C01X1001 (Protecting Ross Sea Ecosystems). Assistance from the officers and crew of the R. V. Tangaroa, M. Fenwick, G. Olsen, J. Grieve, S. Hanchet, M. Williams and M. Dunn (all NIWA) and B. Sharp (MPI) is acknowledged. Helpful advice from the associate editor and two anonymous reviewers for the Journal of Fish Biology is gratefully acknowledged.</t>
  </si>
  <si>
    <t>0022-1112</t>
  </si>
  <si>
    <t>1095-8649</t>
  </si>
  <si>
    <t>J FISH BIOL</t>
  </si>
  <si>
    <t>J. Fish Biol.</t>
  </si>
  <si>
    <t>10.1111/j.1095-8649.2012.03476.x</t>
  </si>
  <si>
    <t>074IV</t>
  </si>
  <si>
    <t>WOS:000313807000011</t>
  </si>
  <si>
    <t>Renaudie, J; Lazarus, DB</t>
  </si>
  <si>
    <t>Renaudie, Johan; Lazarus, David B.</t>
  </si>
  <si>
    <t>New species of Neogene radiolarians from the Southern Ocean - part II</t>
  </si>
  <si>
    <t>JOURNAL OF MICROPALAEONTOLOGY</t>
  </si>
  <si>
    <t>Radiolaria; Polycystinea; Antarctic; Cenozoic; Taxonomy</t>
  </si>
  <si>
    <t>CLASSIFICATION; COLLECTIONS; ATLANTIC</t>
  </si>
  <si>
    <t>Antarctic Neogene radiolarians are well preserved and offer great potential for biostratigraphical, palaeooceanographical and evolutionary studies. Most of the species, however, have not yet been fully documented. In this paper, the second of a planned series, we describe 21 new species of Antarctic Neogene radiolarians: six spumellarians (Actinomma eldredgei, Actinomma cocles, Anomalacantha? jeapica, Lonchosphaera? suzukii, Pentactinosphaera codonia and Sethodiscus? pravus) and fifteen nassellarians (Antarctissa evanida, Botryopera chippewa, Botryopera? daleki, Clathrocorys? sugiyamai, Clathromitra lemi, Clathromitra? fulgureanubes, Enneaphormis? sp., Lamprocyrtis? datureacornis, Lophocyrtis pallantae, Lithomelissa? kozoi, Phormospyris loliguncula, Platybursa harpoi, Saccospyris victoria, Protoscenium pantarhei and Trisulcus halipleumon). Most of these species are fairly rare but some can be locally common, and most have restricted stratigraphical ranges within the Miocene or Early Pliocene. J. Micropalaeontol. 32(1): 59-86, January 2013.</t>
  </si>
  <si>
    <t>[Renaudie, Johan; Lazarus, David B.] Humboldt Univ, Museum Nat Kunde, Leibniz Inst Evolut &amp; Biodiversitatsforsch, D-10115 Berlin, Germany</t>
  </si>
  <si>
    <t>Humboldt University of Berlin; Leibniz Institut fur Evolutions und Biodiversitatsforschung</t>
  </si>
  <si>
    <t>Renaudie, J (corresponding author), Humboldt Univ, Museum Nat Kunde, Leibniz Inst Evolut &amp; Biodiversitatsforsch, Invalidenstr 43, D-10115 Berlin, Germany.</t>
  </si>
  <si>
    <t>johan.renaudie@mfn-berlin.de</t>
  </si>
  <si>
    <t>Renaudie, Johan/D-9077-2012</t>
  </si>
  <si>
    <t>Renaudie, Johan/0000-0002-9107-1984</t>
  </si>
  <si>
    <t>DFG (German Science Foundation) [LA1191/8-1, LA1191/8-2]</t>
  </si>
  <si>
    <t>DFG (German Science Foundation)(German Research Foundation (DFG))</t>
  </si>
  <si>
    <t>The authors would like to thank Annika Sanfilippo, Kjell R. Bjorklund and F. John Gregory for their constructive reviews; and IODP for providing the samples. This work was done in the context of a project supported by DFG (German Science Foundation) grant LA1191/8-1 and -2.</t>
  </si>
  <si>
    <t>GEOLOGICAL SOC PUBL HOUSE</t>
  </si>
  <si>
    <t>UNIT 7, BRASSMILL ENTERPRISE CENTRE, BRASSMILL LANE, BATH BA1 3JN, AVON, ENGLAND</t>
  </si>
  <si>
    <t>0262-821X</t>
  </si>
  <si>
    <t>J MICROPALAEONTOL</t>
  </si>
  <si>
    <t>J. Micropalaentol.</t>
  </si>
  <si>
    <t>10.1144/jmpaleo2011-025</t>
  </si>
  <si>
    <t>080AF</t>
  </si>
  <si>
    <t>WOS:000314212900002</t>
  </si>
  <si>
    <t>St-Laurent, P; Klinck, JM; Dinniman, MS</t>
  </si>
  <si>
    <t>St-Laurent, Pierre; Klinck, John M.; Dinniman, Michael S.</t>
  </si>
  <si>
    <t>On the Role of Coastal Troughs in the Circulation of Warm Circumpolar Deep Water on Antarctic Shelves</t>
  </si>
  <si>
    <t>PINE ISLAND GLACIER; CROSS-SHELF; EXCHANGE; TRANSPORT; GREENLAND; INFLOW; MODEL</t>
  </si>
  <si>
    <t>Oceanic exchanges across the continental shelves of Antarctica play an important role in biological systems and the mass balance of ice sheets. The focus of this study is on the mechanisms responsible for the circulation of warm Circumpolar Deep Water (CDW) within troughs running perpendicular to the continental shelf. This is examined using process-oriented numerical experiments with an eddy-resolving (1 km) 3D ocean model that includes a static and thermodynamically active ice shelf. Three mechanisms that create a significant onshore flow within the trough are identified: 1) a deep onshore flow driven by the melt of the ice shelf, 2) interaction between the longshore mean flow and the trough, and 3) interaction between a Rossby wave along the shelf break and the trough. In each case the onshore flow is sufficient to maintain the warm temperatures underneath the ice shelf and basal melt rates of O(1 m yr(-1)). The third mechanism in particular reproduces several features revealed by moorings from Marguerite Trough (Bellingshausen Sea): the temperature maximum at middepth, a stronger intrusion on the downstream edge of the trough, and the appearance of warm anticyclonic anomalies every week. Sensitivity experiments highlight the need to properly resolve the small baroclinic radii of these regions (5 km on the shelf)-simulations at 3-km resolution cannot reproduce mechanism 3 and the associated heat transport.</t>
  </si>
  <si>
    <t>[St-Laurent, Pierre; Klinck, John M.; Dinniman, Michael S.] Ctr Coastal Phys Oceanog, Norfolk, VA 23529 USA</t>
  </si>
  <si>
    <t>St-Laurent, P (corresponding author), Ctr Coastal Phys Oceanog, 4111 Monarch Way, Norfolk, VA 23529 USA.</t>
  </si>
  <si>
    <t>pierre@ccpo.odu.edu</t>
  </si>
  <si>
    <t>Dinniman, Michael/0000-0001-7519-9278; St-Laurent, Pierre/0000-0002-1700-9509; Klinck, John/0000-0003-4312-5201</t>
  </si>
  <si>
    <t>National Science Foundation [OCE-0927797]</t>
  </si>
  <si>
    <t>This research was supported by the National Science Foundation under Grant OCE-0927797. Three anonymous reviewers provided helpful comments that substantially improved the manuscript.</t>
  </si>
  <si>
    <t>10.1175/JPO-D-11-0237.1</t>
  </si>
  <si>
    <t>079OF</t>
  </si>
  <si>
    <t>WOS:000314179300004</t>
  </si>
  <si>
    <t>Kaup, E; Tammiksaar, E</t>
  </si>
  <si>
    <t>Kaup, Enn; Tammiksaar, Erki</t>
  </si>
  <si>
    <t>Estonia and Antarctica</t>
  </si>
  <si>
    <t>POLAR RECORD</t>
  </si>
  <si>
    <t>SCHIRMACHER OASIS; HILLS; LAKES</t>
  </si>
  <si>
    <t>The Russian South Pole expedition carried out in 1819-1821 was an early milestone in the scientific exploration of the Antarctic. The expedition took place under the command of the Baltic German Fabian Gottlieb von Bellingshausen. Bellingshausen came from the Island of Saaremaa in Estonia. The Russian empire, and followed by the Soviet Union, did not attach much importance to Bellingshausen's expedition. It was only after World War II as the question of the Antarctic received close attention that the Bellingshausen expedition received political significance in the Soviet Union. The fact that the expedition really took place was used by the Soviet Union to claim rights to the Antarctic and also to argue for its participation in Antarctic exploration (see Tammiksaar 2007; Bulkeley 2011). In the early stages of exploration of the continent, Estonians were given the opportunity to carry out investigations there. The first Estonian research programme in the Antarctic, on noctilucent clouds, was elaborated by the astronomer Charles Villmann. Altogether some tens of Estonians have visited the southern continent performing investigations in earth sciences, atmospheric physics, hydrology and ecology of surface waters and the human influence on them. They have also carried out isotope studies of the ice sheet to reconstruct environmental conditions in the past.</t>
  </si>
  <si>
    <t>[Kaup, Enn] Tallinn Univ Technol, Inst Geol, EE-19086 Tallinn, Estonia; [Tammiksaar, Erki] Estonian Univ Life Sci, Ctr Sci Studies, EE-51005 Tartu, Estonia</t>
  </si>
  <si>
    <t>Tallinn University of Technology; Estonian University of Life Sciences</t>
  </si>
  <si>
    <t>Kaup, E (corresponding author), Tallinn Univ Technol, Inst Geol, Ehitajate Tee 5, EE-19086 Tallinn, Estonia.</t>
  </si>
  <si>
    <t>erki.tammiksaar@emu.ee</t>
  </si>
  <si>
    <t>Tammiksaar, Erki/H-3465-2016</t>
  </si>
  <si>
    <t>Estonian Science Foundation [7381]; Estonian Ministry of Education [SF0180049s09, SF0320080s07]</t>
  </si>
  <si>
    <t>Estonian Science Foundation; Estonian Ministry of Education</t>
  </si>
  <si>
    <t>The former Soviet Antarctic Expedition, Australian National Antarctic Research Expeditions and Indian Scientific Expedition to Antarctica and their members are thanked for logistical support and cooperation during expeditions. The authors gratefully acknowledge constructive criticism provided by an anonymous reviewer and by R. Bulkeley. This article was supported by Estonian Science Foundation grant No 7381 (ET) and Estonian Ministry of Education grants No SF0180049s09 (ET) and SF0320080s07 (EK).</t>
  </si>
  <si>
    <t>0032-2474</t>
  </si>
  <si>
    <t>1475-3057</t>
  </si>
  <si>
    <t>POLAR REC</t>
  </si>
  <si>
    <t>POLAR REC.</t>
  </si>
  <si>
    <t>10.1017/S0032247411000234</t>
  </si>
  <si>
    <t>Ecology; Environmental Sciences</t>
  </si>
  <si>
    <t>077GC</t>
  </si>
  <si>
    <t>WOS:000314014900001</t>
  </si>
  <si>
    <t>Bulkeley, R</t>
  </si>
  <si>
    <t>Bulkeley, Rip</t>
  </si>
  <si>
    <t>Bellingshausen's first accounts of his Antarctic voyage of 1819-1821</t>
  </si>
  <si>
    <t>In 1949 a reassessment of the Imperial Russian Navy's Antarctic expedition of 1819-1821 was promulgated in the Soviet Union. The contention was that Russian seamen had made the first discovery of the mainland of Antarctica, two or three days before the northern tip of the Antarctic Peninsula was sighted by a British expedition, under William Smith and Edward Bransfield, sent to take formal possession of the South Shetland Islands. The new Soviet line apparently required that an important passage in a report which Captain Bellingshausen had sent from Australia in 1820 should, as far as possible, be overlooked or downplayed. Nineteenth century editions of the report and its covering letter are translated, the contemporary ice vocabulary in which they were phrased is explained, and the practice of discounting parts of them in the past and continuing to ignore those passages today is discussed.</t>
  </si>
  <si>
    <t>Bulkeley, R (corresponding author), 38 Lonsdale Rd, Oxford OX2 7EW, England.</t>
  </si>
  <si>
    <t>rip@igy50.net</t>
  </si>
  <si>
    <t>10.1017/S0032247411000544</t>
  </si>
  <si>
    <t>WOS:000314014900002</t>
  </si>
  <si>
    <t>The understanding of scurvy during the heroic age of Antarctic exploration</t>
  </si>
  <si>
    <t>SHIP-BERI-BERI; EXPERIMENTAL-INQUIRY</t>
  </si>
  <si>
    <t>At the start of the heroic age of Antarctic exploration there was great confusion concerning the cause of scurvy. It was known that it was related, in some way, to food but it was uncertain as to how, and there were two main theories. The first was that it was caused by a deficiency of fruit and vegetables and the other that it was caused by a toxic material in tinned foods. In addition, older theories that it was caused by dirt and damp still carried weight and Almroth Wright had proposed that scurvy was caused by too much acid in the blood. An additional confusion was that vitamin C deficiency was often combined with other vitamin deficiencies and so other diseases might be labelled as scurvy. The discovery of vitamins occurred over the same period but, as with all new scientific concepts, the knowledge that scurvy was caused by a vitamin deficiency took time to be universally accepted. It was generally accepted by about 1920, although some people did not accept it until vitamin C had been isolated in 1932.</t>
  </si>
  <si>
    <t>Derriford Hosp, Plymouth PL6 8DH, Devon, England</t>
  </si>
  <si>
    <t>Derriford Hospital</t>
  </si>
  <si>
    <t>Guly, H (corresponding author), Derriford Hosp, Plymouth PL6 8DH, Devon, England.</t>
  </si>
  <si>
    <t>Wellcome Trust</t>
  </si>
  <si>
    <t>Wellcome Trust(Wellcome Trust)</t>
  </si>
  <si>
    <t>This research was funded by the Wellcome Trust which gave me a research grant to study medicine during the heroic age of Antarctic Exploration.</t>
  </si>
  <si>
    <t>10.1017/S0032247411000428</t>
  </si>
  <si>
    <t>WOS:000314014900003</t>
  </si>
  <si>
    <t>Hicks, S; Storey, B; Smith, PM</t>
  </si>
  <si>
    <t>Hicks, Stephen; Storey, Bryan; Smith, Philippa Mein</t>
  </si>
  <si>
    <t>Against all odds: the birth of the Commonwealth Trans-Antarctic Expedition, 1955-1958</t>
  </si>
  <si>
    <t>When the Commonwealth Trans-Antarctic Expedition 1955-1958 advance party sailed from the Millwall Docks in November 1955, bound for the Weddell Sea, their departure was the product of five years of intensive effort on the part of Vivian Fuchs to achieve the first overland crossing of the Antarctic continent. This paper investigates the many obstacles that had to be overcome leading up to Theron sailing and explains the manner in which they were overcome by the Fuchs-Wordie-Clifford triumvirate. The British Foreign Office was particularly opposed to the expedition with the office's focus on sovereignty rather than science while an alternative proposal from Duncan Carse raised a unique set of difficulties. The withdrawal from involvement by the Scott Polar Research Institute Director, Colin Bertram, indicated further disaffection. Most important, if political and financial goals were to be met, was the need for participation by several Commonwealth countries of which New Zealand was the essential partner. Fortunately, the vigorous efforts of a few Antarctic enthusiasts in New Zealand were successful in moving their government to assert its long dormant position in the Ross Dependency. New Zealand's commitment turned the tide of commonwealth apathy towards the TAE. Although the TAE preceded the IGY, events, including the dominating IGY presence of the United States, caused the two projects to become tightly interwoven. For these reasons the years leading up to the departure of Theron were as intriguing as the crossing journey itself.</t>
  </si>
  <si>
    <t>[Hicks, Stephen; Smith, Philippa Mein] Univ Canterbury, Sch Humanities, Christchurch 8140, New Zealand</t>
  </si>
  <si>
    <t>Hicks, S (corresponding author), Univ Canterbury, Sch Humanities, Private Bag 4800, Christchurch 8140, New Zealand.</t>
  </si>
  <si>
    <t>hickss@xtra.co.nz</t>
  </si>
  <si>
    <t>Smith, Philippa L Mein/J-7216-2014; Smith, Philippa Mein/AAR-9262-2020</t>
  </si>
  <si>
    <t>Smith, Philippa L Mein/0000-0001-5755-6040;</t>
  </si>
  <si>
    <t>10.1017/S0032247411000660</t>
  </si>
  <si>
    <t>WOS:000314014900006</t>
  </si>
  <si>
    <t>Cohen, L; Dean, S; Renwick, J</t>
  </si>
  <si>
    <t>Cohen, Lana; Dean, Sam; Renwick, James</t>
  </si>
  <si>
    <t>Synoptic Weather Types for the Ross Sea Region, Antarctica</t>
  </si>
  <si>
    <t>NINO-SOUTHERN-OSCILLATION; ANNULAR MODE; SEMIANNUAL OSCILLATION; TEMPORAL VARIABILITY; MESOSCALE CYCLONES; SPATIAL-PATTERNS; CLIMATE; HEMISPHERE; ICE; PRECIPITATION</t>
  </si>
  <si>
    <t>Synoptic classifications over the Southern Ocean in the Ross Sea region of Antarctica (50 degrees S-Antarctic coast, 150 degrees E-90 degrees W) have been derived from NCEP reanalysis data (1979-2011), producing a set of six synoptic types for the region. These types describe realistic synoptic conditions for the region and represent the moisture-bearing low pressure systems that circulate around Antarctica. The types are described as follows: low Bellingshausen/Amundsen (L-BA), low (L), zonal (Z), low Ross (L-R), ridge (R), and low Amundsen (L-A). Seasonal frequencies of the synoptic types reflect the seasonal zonal shift of the Amundsen Sea low (ASL) and also correlate well with the Southern Oscillation index (SOI) and the southern annular mode (SAM). Variability in the occurrences of the synoptic types L-R and L-BA indicate a shifting of the position of the ASL farther east (west) toward (away from) the Antarctic Peninsula during La Nina (El Nino) and positive (negative) SAM conditions. A joint linear regression of the SOI and SAM indices show the strongest correlations with the types L-BA and L-R in the spring and quantifies the joint forcing effect of these climate cycles on synoptic variability in the region. As a demonstration of how synoptic classification provides links between large-scale atmospheric circulation and local climate parameters, the synoptic types are related to precipitation and temperature at Roosevelt Island, an ice core site on the Ross Ice Shelf (80 degrees S, 160 degrees W). The synoptic types provide quantification of distinct precipitation and temperature regimes at this site, which allows for more fundamental understanding of the precipitation source regions and transport pathways that drive the variability in snow and ice proxies.</t>
  </si>
  <si>
    <t>[Cohen, Lana] Victoria Univ, Antarct Res Ctr, Wellington 6140, New Zealand; [Dean, Sam; Renwick, James] Natl Inst Water &amp; Atmospher Res, Wellington, New Zealand</t>
  </si>
  <si>
    <t>Cohen, L (corresponding author), Victoria Univ, Antarct Res Ctr, POB 600, Wellington 6140, New Zealand.</t>
  </si>
  <si>
    <t>Dean, Samuel/0000-0001-6338-4601; Renwick, James/0000-0002-9141-2486</t>
  </si>
  <si>
    <t>University of Wisconsin-Madison Automatic Weather Station Program; New Zealand Ministry of Science and Innovation</t>
  </si>
  <si>
    <t>The authors greatly appreciate the support of the University of Wisconsin-Madison Automatic Weather Station Program and Antarctic Meteorological Research Center for the AWS datasets and Matthew Lazzara in particular for information provided on the Antarctic AWS datasets. We also appreciate use of NCEP reanalysis data provided by the NOAA/OAR/ESRL PSD, Boulder, Colorado. Two of the authors (SD and JR) were part funded through core funding from the New Zealand Ministry of Science and Innovation.</t>
  </si>
  <si>
    <t>45 BEACON ST, BOSTON, MA 02108-3693, UNITED STATES</t>
  </si>
  <si>
    <t>10.1175/JCLI-D-11-00690.1</t>
  </si>
  <si>
    <t>073JX</t>
  </si>
  <si>
    <t>WOS:000313740400019</t>
  </si>
  <si>
    <t>Yang, XS; Rosati, A; Zhang, SQ; Delworth, TL; Gudgel, RG; Zhang, R; Vecchi, G; Anderson, W; Chang, YS; DelSole, T; Dixon, K; Msadek, R; Stern, WF; Wittenberg, A; Zeng, FR</t>
  </si>
  <si>
    <t>Yang, Xiaosong; Rosati, Anthony; Zhang, Shaoqing; Delworth, Thomas L.; Gudgel, Rich G.; Zhang, Rong; Vecchi, Gabriel; Anderson, Whit; Chang, You-Soon; DelSole, Timothy; Dixon, Keith; Msadek, Rym; Stern, William F.; Wittenberg, Andrew; Zeng, Fanrong</t>
  </si>
  <si>
    <t>A Predictable AMO-Like Pattern in the GFDL Fully Coupled Ensemble Initialization and Decadal Forecasting System</t>
  </si>
  <si>
    <t>SEA-SURFACE TEMPERATURE; NORTH-ATLANTIC; DATA ASSIMILATION; CLIMATE-CHANGE; REANALYSIS; RAINFALL; GREENLAND</t>
  </si>
  <si>
    <t>The decadal predictability of sea surface temperature (SST) and 2-m air temperature (T2m) in the Geophysical Fluid Dynamics Laboratory (GFDL) decadal hindcasts, which are part of the Fifth Coupled Model Intercomparison Project experiments, has been investigated using an average predictability time (APT) analysis. Comparison of retrospective forecasts initialized using the GFDL Ensemble Coupled Data Assimilation system with uninitialized historical forcing simulations using the same model allows identification of the internal multidecadal pattern (IMP) for SST and T2m. The IMP of SST is characterized by an inter-hemisphere dipole, with warm anomalies centered in the North Atlantic subpolar gyre region and North Pacific subpolar gyre region, and cold anomalies centered in the Antarctic Circumpolar Current region. The IMP of T2m is characterized by a general bipolar seesaw, with warm anomalies centered in Greenland and cold anomalies centered in Antarctica. The retrospective prediction skill of the initialized system, verified against independent observational datasets, indicates that the IMP of SST may be predictable up to 4 (10) yr lead time at 95% (90%) significance level, and the IMP of T2m may be predictable up to 2 (10) yr at the 95% (90%) significance level. The initialization of multidecadal variations of northward oceanic heat transport in the North Atlantic significantly improves the predictive skill of the IMP. The dominant roles of oceanic internal dynamics in decadal prediction are further elucidated by fixed-forcing experiments in which radiative forcing is returned abruptly to 1961 values. These results point toward the possibility of meaningful decadal climate outlooks using dynamical coupled models if they are appropriately initialized from a sustained climate observing system.</t>
  </si>
  <si>
    <t>[Yang, Xiaosong; Rosati, Anthony; Zhang, Shaoqing; Delworth, Thomas L.; Gudgel, Rich G.; Zhang, Rong; Vecchi, Gabriel; Anderson, Whit; Chang, You-Soon; Dixon, Keith; Msadek, Rym; Stern, William F.; Wittenberg, Andrew; Zeng, Fanrong] NOAA, Geophys Fluid Dynam Lab, Princeton, NJ 08540 USA; [Yang, Xiaosong; Chang, You-Soon; Msadek, Rym] Univ Corp Atmospheric Res, Boulder, CO USA; [DelSole, Timothy] George Mason Univ, Fairfax, VA 22030 USA; [DelSole, Timothy] Ctr Ocean Land Atmosphere Studies, Calverton, MD USA</t>
  </si>
  <si>
    <t>National Oceanic Atmospheric Admin (NOAA) - USA; National Center Atmospheric Research (NCAR) - USA; George Mason University</t>
  </si>
  <si>
    <t>Yang, XS (corresponding author), NOAA, Geophys Fluid Dynam Lab, 201 Forrestal Rd, Princeton, NJ 08540 USA.</t>
  </si>
  <si>
    <t>xiaosong.yang@noaa.gov</t>
  </si>
  <si>
    <t>DelSole, Timothy/ABE-2478-2020; Wittenberg, Andrew T/G-9619-2013; Stern, William/W-9763-2019; Yang, Xiaosong/C-7260-2009; Zhang, Rong/D-9767-2014; Msadek, Rym/C-7752-2014; Zhang, Shaoqing/X-3124-2019; Vecchi, Gabriel/A-2413-2008; Dixon, Keith/L-7120-2015; Delworth, Thomas/C-5191-2014</t>
  </si>
  <si>
    <t>DelSole, Timothy/0000-0003-2041-3024; Wittenberg, Andrew T/0000-0003-1680-8963; Zhang, Rong/0000-0002-8493-6556; Vecchi, Gabriel/0000-0002-5085-224X; Dixon, Keith/0000-0003-3044-326X; Delworth, Thomas/0000-0003-4865-5391; Chang, You-Soon/0000-0002-8625-1876</t>
  </si>
  <si>
    <t>Visiting Scientist Program at the National Oceanic and Atmospheric Administration's Geophysical Fluid Dynamics Laboratory</t>
  </si>
  <si>
    <t>We thank Isaac Held, Takeshi Doi for helpful reviews of an earlier draft, and three anonymous reviewers for constructive comments that helped to improve the manuscript. This research was supported by the Visiting Scientist Program at the National Oceanic and Atmospheric Administration's Geophysical Fluid Dynamics Laboratory, administered by the University Corporation for Atmospheric Research.</t>
  </si>
  <si>
    <t>10.1175/JCLI-D-12-00231.1</t>
  </si>
  <si>
    <t>WOS:000313740400020</t>
  </si>
  <si>
    <t>Frossard, L; Rieder, HE; Ribatet, M; Staehelin, J; Maeder, JA; Di Rocco, S; Davison, AC; Peter, T</t>
  </si>
  <si>
    <t>Frossard, L.; Rieder, H. E.; Ribatet, M.; Staehelin, J.; Maeder, J. A.; Di Rocco, S.; Davison, A. C.; Peter, T.</t>
  </si>
  <si>
    <t>On the relationship between total ozone and atmospheric dynamics and chemistry at mid-latitudes - Part 1: Statistical models and spatial fingerprints of atmospheric dynamics and chemistry</t>
  </si>
  <si>
    <t>NORTH-ATLANTIC OSCILLATION; HALF-YEARLY OSCILLATIONS; STRATOSPHERIC OZONE; ANTARCTIC OZONE; EXTREME PRECIPITATION; LATITUDES; MIDDLE; DEPLETION; PATTERNS; EVENTS</t>
  </si>
  <si>
    <t>We use statistical models for mean and extreme values of total column ozone to analyze fingerprints of atmospheric dynamics and chemistry on long-term ozone changes at northern and southern mid-latitudes on grid cell basis. At each grid cell, the r-largest order statistics method is used for the analysis of extreme events in low and high total ozone (termed ELOs and EHOs, respectively), and an autoregressive moving average (ARMA) model is used for the corresponding mean value analysis. In order to describe the dynamical and chemical state of the atmosphere, the statistical models include important atmospheric covariates: the solar cycle, the Quasi-Biennial Oscillation (QBO), ozone depleting substances (ODS) in terms of equivalent effective stratospheric chlorine (EESC), the North Atlantic Oscillation (NAO), the Antarctic Oscillation (AAO), the El Nino/Southern Oscillation (ENSO), and aerosol load after the volcanic eruptions of El Chichon and Mt. Pinatubo. The influence of the individual covariates on mean and extreme levels in total column ozone is derived on a grid cell basis. The results show that fingerprints, i.e., significant influence, of dynamical and chemical features are captured in both the bulk and the tails of the statistical distribution of ozone, respectively described by mean values and EHOs/ELOs. While results for the solar cycle, QBO, and EESC are in good agreement with findings of earlier studies, unprecedented spatial fingerprints are retrieved for the dynamical covariates. Column ozone is enhanced over Labrador/Greenland, the North Atlantic sector and over the Norwegian Sea, but is reduced over Europe, Russia and the Eastern United States during the positive NAO phase, and vice-versa during the negative phase. The NAO's southern counterpart, the AAO, strongly influences column ozone at lower southern mid-latitudes, including the southern parts of South America and the Antarctic Peninsula, and the central southern mid-latitudes. Results for both NAO and AAO confirm the importance of atmospheric dynamics for ozone variability and changes from local/regional to global scales.</t>
  </si>
  <si>
    <t>[Frossard, L.; Ribatet, M.; Davison, A. C.] EPF Lausanne, Math Inst Anal &amp; Applicat, Lausanne, Switzerland; [Rieder, H. E.; Staehelin, J.; Maeder, J. A.; Di Rocco, S.; Peter, T.] Swiss Fed Inst Technol, Inst Atmospher &amp; Climate Sci, Zurich, Switzerland; [Di Rocco, S.] Univ Zurich, Dept Geog, Zurich, Switzerland</t>
  </si>
  <si>
    <t>Swiss Federal Institutes of Technology Domain; Ecole Polytechnique Federale de Lausanne; Swiss Federal Institutes of Technology Domain; ETH Zurich; University of Zurich</t>
  </si>
  <si>
    <t>Frossard, L (corresponding author), EPF Lausanne, Math Inst Anal &amp; Applicat, Lausanne, Switzerland.</t>
  </si>
  <si>
    <t>linda.frossard@epfl.ch; hr2302@columbia.edu</t>
  </si>
  <si>
    <t>Peter, Thomas/B-2529-2018; Rieder, Harald/Y-8951-2019</t>
  </si>
  <si>
    <t>Peter, Thomas/0000-0002-7218-7156; Rieder, Harald/0000-0003-2705-0801; Ribatet, Mathieu/0000-0003-0231-6001</t>
  </si>
  <si>
    <t>Competence Centre for the Environment and Sustainability (CCES) within the ETH-domain in Switzerland within the project EXTREMES; Swiss National Science Foundation [PBEZP2-134426]; Swiss National Science Foundation (SNF) [PBEZP2-134426] Funding Source: Swiss National Science Foundation (SNF)</t>
  </si>
  <si>
    <t>Competence Centre for the Environment and Sustainability (CCES) within the ETH-domain in Switzerland within the project EXTREMES; Swiss National Science Foundation(Swiss National Science Foundation (SNSF)); Swiss National Science Foundation (SNF)(Swiss National Science Foundation (SNSF))</t>
  </si>
  <si>
    <t>H. E. R., L. F., M. R., J. S., and A. C. D. acknowledge funding by the Competence Centre for the Environment and Sustainability (CCES) within the ETH-domain in Switzerland within the project EXTREMES: Spatial extremes and environmental sustainability: statistical methods and applications in geophysics and the environment. H. E. R. acknowledges also funding of the Swiss National Science Foundation through the Fellowship Grant PBEZP2-134426.</t>
  </si>
  <si>
    <t>10.5194/acp-13-147-2013</t>
  </si>
  <si>
    <t>070NA</t>
  </si>
  <si>
    <t>WOS:000313513700010</t>
  </si>
  <si>
    <t>Rieder, HE; Frossard, L; Ribatet, M; Staehelin, J; Maeder, JA; Di Rocco, S; Davison, AC; Peter, T; Weihs, P; Holawe, F</t>
  </si>
  <si>
    <t>Rieder, H. E.; Frossard, L.; Ribatet, M.; Staehelin, J.; Maeder, J. A.; Di Rocco, S.; Davison, A. C.; Peter, T.; Weihs, P.; Holawe, F.</t>
  </si>
  <si>
    <t>On the relationship between total ozone and atmospheric dynamics and chemistry at mid-latitudes - Part 2: The effects of the El Nino/Southern Oscillation, volcanic eruptions and contributions of atmospheric dynamics and chemistry to long-term total ozone changes</t>
  </si>
  <si>
    <t>STRATOSPHERIC EP FLUX; NORTHERN-HEMISPHERE; PINATUBO AEROSOLS; EXTREME EVENTS; HIGH-LATITUDES; CLIMATE; DEPLETION; TEMPERATURE; VARIABILITY; TROPOSPHERE</t>
  </si>
  <si>
    <t>We present the first spatial analysis of fingerprints of the El Nino/Southern Oscillation (ENSO) and atmospheric aerosol load after major volcanic eruptions (El Chichon and Mt. Pinatubo) in extreme low and high (termed ELOs and EHOs, respectively) and mean values of total ozone for the northern and southern mid-latitudes (defined as the region between 30 degrees and 60 degrees north and south, respectively). Significant influence on ozone extremes was found for the warm ENSO phase in both hemispheres during spring, especially towards low latitudes, indicating the enhanced ozone transport from the tropics to the extra-tropics. Further, the results confirm findings of recent work on the connection between the ENSO phase and the strength and extent of the southern ozone collar. For the volcanic eruptions the analysis confirms findings of earlier studies for the northern mid-latitudes and gives new insights for the Southern Hemisphere. The results provide evidence that the negative effect of the eruption of El Chichon might be partly compensated by a strong warm ENSO phase in 1982-1983 at southern mid-latitudes. The strong west-east gradient in the coefficient estimates for the Mt. Pinatubo eruption and the analysis of the relationship between the AAO and ENSO phase, the extent and the position of the southern ozone collar and the polar vortex structure provide clear evidence for a dynamical  masking of the volcanic signal at southern mid-latitudes. The paper also analyses the contribution of atmospheric dynamics and chemistry to long-term total ozone changes. Here, quite heterogeneous results have been found on spatial scales. In general the results show that EESC and the 11-yr solar cycle can be identified as major contributors to long-term ozone changes. However, a strong contribution of dynamical features (El Nino/Southern Oscillation (ENSO), North Atlantic Oscillation (NAO), Antarctic Oscillation (AAO), Quasi-Biennial Oscillation (QBO)) to ozone variability and trends is found at a regional level. For the QBO (at 30 and 50 hPa), strong influence on total ozone variability and trends is found over large parts of the northern and southern mid-latitudes, especially towards equatorial latitudes. Strong influence of ENSO is found over the Northern and Southern Pacific, Central Europe and central southern mid-latitudes. For the NAO, strong influence on column ozone is found over Labrador/Greenland, the Eastern United States, the Euro-Atlantic Sector, and Central Europe. For the NAO's southern counterpart, the AAO, strong influence on ozone variability and long-term changes is found at lower southern mid-latitudes, including the southern parts of South America and the Antarctic Peninsula, and central southern mid-latitudes.</t>
  </si>
  <si>
    <t>[Rieder, H. E.; Staehelin, J.; Maeder, J. A.; Di Rocco, S.; Peter, T.] Swiss Fed Inst Technol, Inst Atmospher &amp; Climate Sci, Zurich, Switzerland; [Frossard, L.; Ribatet, M.; Davison, A. C.] EPF Lausanne, Math Inst Anal &amp; Applicat, Lausanne, Switzerland; [Di Rocco, S.] Univ Zurich, Dept Geog, Zurich, Switzerland; [Weihs, P.] Univ Nat Resources &amp; Life Sci BOKU, Inst Meteorol, Vienna, Austria; [Holawe, F.] Univ Vienna, Dept Geog &amp; Reg Res, Vienna, Austria</t>
  </si>
  <si>
    <t>Swiss Federal Institutes of Technology Domain; ETH Zurich; Swiss Federal Institutes of Technology Domain; Ecole Polytechnique Federale de Lausanne; University of Zurich; BOKU University; University of Vienna</t>
  </si>
  <si>
    <t>Rieder, HE (corresponding author), Columbia Univ, Lamont Doherty Earth Observ, New York, NY 10027 USA.</t>
  </si>
  <si>
    <t>hr2302@columbia.edu</t>
  </si>
  <si>
    <t>Rieder, Harald/Y-8951-2019; Peter, Thomas/B-2529-2018; Philipp, Weihs/AAF-9027-2019</t>
  </si>
  <si>
    <t>Rieder, Harald/0000-0003-2705-0801; Peter, Thomas/0000-0002-7218-7156; Philipp, Weihs/0000-0001-7452-0330; Ribatet, Mathieu/0000-0003-0231-6001</t>
  </si>
  <si>
    <t>10.5194/acp-13-165-2013</t>
  </si>
  <si>
    <t>WOS:000313513700011</t>
  </si>
  <si>
    <t>Shramik, P; Rahul, M; Suhas, S; Sahina, G</t>
  </si>
  <si>
    <t>Shramik, Patil; Rahul, Mohan; Suhas, Shetye; Sahina, Gazi</t>
  </si>
  <si>
    <t>Phytoplankton abundance and community structure in the Antarctic polar frontal region during austral summer of 2009</t>
  </si>
  <si>
    <t>CHINESE JOURNAL OF OCEANOLOGY AND LIMNOLOGY</t>
  </si>
  <si>
    <t>Southern Ocean; polar front; diatom; ciliate; dinoflagellate</t>
  </si>
  <si>
    <t>EASTERN INDIAN SECTOR; SOUTHERN-OCEAN; ATLANTIC SECTOR; CIRCUMPOLAR CURRENT; GRAZING IMPACT; PACIFIC SECTOR; DIATOM BLOOM; IRON; DYNAMICS; BIOMASS</t>
  </si>
  <si>
    <t>The Antarctic polar front region in the Southern Ocean is known to be most productive. We studied the phytoplankton community structure in the Indian sector at this frontal location during late austral summer (February, 2009) onboard R/V Akademic Boris Petrov. We used the phytoplankton and microheterotrophs abundance, as also the associated physico-chemical parameters to explain the low phytoplankton abundance in the study region. This study emphasizes the shift of phytoplankton, from large (&gt; 10 mu m) to small (&lt; 10 mu m) size. The phytoplankton abundance appears to be controlled by physical parameters and by nutrient concentrations and also by the microheterotrophs (ciliates and dinoflagellates) which exert a strong grazing pressure. This probably reduces small (&lt; 10 mu m) and large (&gt; 10 mu m) phytoplankton abundance during the late austral summer. This study highlights the highly productive polar front nevertheless becomes a region of low phytoplankton abundance, due to community shifts towards pico-phytoplankton (&lt; 10 mu m) during late austral summer.</t>
  </si>
  <si>
    <t>[Shramik, Patil; Rahul, Mohan; Suhas, Shetye; Sahina, Gazi] Natl Ctr Antarctic &amp; Ocean Res, Vasco Da Gama 403804, Goa, India</t>
  </si>
  <si>
    <t>Rahul, M (corresponding author), Natl Ctr Antarctic &amp; Ocean Res, Vasco Da Gama 403804, Goa, India.</t>
  </si>
  <si>
    <t>rahulmohangupta@gmail.com</t>
  </si>
  <si>
    <t>Patil, Shramik/0000-0001-8937-1403</t>
  </si>
  <si>
    <t>Ministry of Earth Science (MoES), New Delhi, India; National Centre for Antarctic and Ocean Research (NCAOR) [36/2012]</t>
  </si>
  <si>
    <t>Ministry of Earth Science (MoES), New Delhi, India; National Centre for Antarctic and Ocean Research (NCAOR)</t>
  </si>
  <si>
    <t>Supported by the Ministry of Earth Science (MoES), New Delhi, India and is one of the ongoing projects in National Centre for Antarctic and Ocean Research (NCAOR) (No. 36/2012)</t>
  </si>
  <si>
    <t>0254-4059</t>
  </si>
  <si>
    <t>1993-5005</t>
  </si>
  <si>
    <t>CHIN J OCEANOL LIMN</t>
  </si>
  <si>
    <t>Chin. J. Oceanol. Limnol.</t>
  </si>
  <si>
    <t>10.1007/s00343-013-1309-x</t>
  </si>
  <si>
    <t>072FG</t>
  </si>
  <si>
    <t>WOS:000313654000003</t>
  </si>
  <si>
    <t>Vázquez, GE; Grejner-Brzezinska, DA</t>
  </si>
  <si>
    <t>Esteban Vazquez B, G.; Grejner-Brzezinska, Dorota A.</t>
  </si>
  <si>
    <t>GPS-PWV estimation and validation with radiosonde data and numerical weather prediction model in Antarctica</t>
  </si>
  <si>
    <t>GPS SOLUTIONS</t>
  </si>
  <si>
    <t>GPS; PWV; Radiosonde; AMPS; TAMDEF; Antarctica</t>
  </si>
  <si>
    <t>WATER-VAPOR; WET DELAYS; METEOROLOGY; RADIOMETER</t>
  </si>
  <si>
    <t>Three permanent GPS tracking stations in the trans Antarctic mountain deformation (TAMDEF) network were used to estimate precipitable water vapor (PWV) using measurement series covering the period of 2002-2005. TAMDEF is a National Science Foundation funded joint project between The Ohio State University and the United States Geological Survey. The TAMDEF sites with the longest GPS data spans considered in this research are Franklin Island East (FIE0), the International GNSS Service site McMurdo (MCM4), and Cape Roberts (ROB1). For the experiment, PWV was extracted from the ionosphere-free double-difference carrier phase observations, processed using the adjustment of GPS ephemerides (PAGES) software. The GPS data were processed with a 30 s sampling rate, 15-degree cutoff angle, and precise GPS orbits disseminated by IGS. The time-varying part of the zenith wet delay is estimated using the Marini mapping function, while the constant part is evaluated using the corresponding Marini tropospheric model. Previous studies using TAMDEF data for PWV estimation show that the Marini mapping function performs the best among the models offered by PAGES. The data reduction to compute the zenith wet delay follows the step piecewise linear strategy, which is subsequently transformed to PWV. The resulting GPS-based PWV is compared to the radiosonde observations and to values obtained from the Antarctic mesoscale prediction system (AMPS). This comparison revealed a consistent bias of 1.7 mm between the GPS solution and the radiosonde and AMPS reference values.</t>
  </si>
  <si>
    <t>[Esteban Vazquez B, G.] Autonomous Univ Sinaloa, Sch Earth Sci, Culiacan 80170, Sinaloa, Mexico; [Grejner-Brzezinska, Dorota A.] Ohio State Univ, Satellite Positioning &amp; Inertial Nav SPIN Lab, Columbus, OH 43210 USA</t>
  </si>
  <si>
    <t>Universidad Autonoma de Sinaloa; University System of Ohio; Ohio State University</t>
  </si>
  <si>
    <t>Vázquez, GE (corresponding author), Autonomous Univ Sinaloa, Sch Earth Sci, 1841 Oceano Pacifico, Culiacan 80170, Sinaloa, Mexico.</t>
  </si>
  <si>
    <t>gvazquez@uas.uasnet.mx</t>
  </si>
  <si>
    <t>Vazquez, Esteban/0000-0002-8456-537X</t>
  </si>
  <si>
    <t>National Science Foundation</t>
  </si>
  <si>
    <t>The authors would like to thank Dr. Matthew A. Lazzara and Shelley L. Knuth from the Space Science and Engineering Center, University of Wisconsin-Madison, for providing the radiosonde PWV data series for McMurdo. Thanks to Dr. Mark Schenewerk for his valuable comments on dealing with troposphere in PAGES. Special thanks go to Dr. Terry Wilson and Mike Willis from the School of Earth Sciences at OSU and the United States Geological Survey Antarctic Mapping group for providing the TAMDEF data. This research was supported by a National Science Foundation grant.</t>
  </si>
  <si>
    <t>1080-5370</t>
  </si>
  <si>
    <t>1521-1886</t>
  </si>
  <si>
    <t>GPS SOLUT</t>
  </si>
  <si>
    <t>GPS Solut.</t>
  </si>
  <si>
    <t>10.1007/s10291-012-0258-8</t>
  </si>
  <si>
    <t>064DA</t>
  </si>
  <si>
    <t>WOS:000313049900003</t>
  </si>
  <si>
    <t>Kouznetsov, R; Tisler, P; Palo, T; Vihma, T</t>
  </si>
  <si>
    <t>Kouznetsov, Rostislav; Tisler, Priit; Palo, Timo; Vihma, Timo</t>
  </si>
  <si>
    <t>Evidence of Very Shallow Summertime Katabatic Flows in Dronning Maud Land, Antarctica</t>
  </si>
  <si>
    <t>SODAR</t>
  </si>
  <si>
    <t>The three-axis Latan-3'' Doppler sodar was operated near the Finnish Antarctic station Aboa in Dronning Maud Land (73.04 degrees S, 13.40 degrees W) in the austral summer of 2010/11. The measuring site is located at a practically flat, slightly sloped (about 1%) surface of the glacier. The sodar was operated in multiple-frequency parallel mode with 20-800-m sounding range, 20-m vertical resolution, and 10-s temporal resolution. To reveal the wind and temperature profiles below the sounding range as well as turbulent fluxes at 2 and 10 m, the data from a 10-m meteorological mast were used. During the measurements, the atmospheric boundary layer was within the sounding range of the sodar most of the time. Despite a large variety of observed sodar echo patterns and wind speed profiles, several cases of clear steady katabatic flows were observed. Practically all of them were easterly, whereas the uphill direction is southern. The thickness of the katabatic flow varied from a few tens to several hundreds of meters; the wind speed maximum could be as low as 5 m. Thin katabatic flows had lower wind speed and much stronger temperature gradients (up to 1 K m(-1)) but had smaller surface heat flux than did the thicker ones.</t>
  </si>
  <si>
    <t>[Kouznetsov, Rostislav; Tisler, Priit; Palo, Timo; Vihma, Timo] Finnish Meteorol Inst, FI-00101 Helsinki, Finland; [Kouznetsov, Rostislav] AM Obukhov Inst Atmospher Phys, Moscow, Russia; [Palo, Timo] Univ Tartu, EE-50090 Tartu, Estonia</t>
  </si>
  <si>
    <t>Finnish Meteorological Institute; Russian Academy of Sciences; Obukhov Institute of Atmospheric Physics of Russian Academy of Sciences; University of Tartu</t>
  </si>
  <si>
    <t>Kouznetsov, R (corresponding author), Finnish Meteorol Inst, PL 503, FI-00101 Helsinki, Finland.</t>
  </si>
  <si>
    <t>rostislav.kouznetsov@fmi.fi</t>
  </si>
  <si>
    <t>Vihma, Timo/ABC-9771-2020; Kouznetsov, Rostislav/ABD-3737-2020</t>
  </si>
  <si>
    <t>Kouznetsov, Rostislav/0000-0001-5140-0037</t>
  </si>
  <si>
    <t>EC FP7 Project ERC PBL-PMES [227915]; Academy of Finland through projects AMICO [128533, 263918]; ASTREX [3141]</t>
  </si>
  <si>
    <t>EC FP7 Project ERC PBL-PMES; Academy of Finland through projects AMICO; ASTREX</t>
  </si>
  <si>
    <t>We are grateful to the staff of the Finnish Antarctic Research Program for managing and assistance in the field work. This study has been supported by the EC FP7 Project ERC PBL-PMES (227915), and by the Academy of Finland through projects AMICO (Contracts 128533 and 263918) and ASTREX (Contract 3141).</t>
  </si>
  <si>
    <t>10.1175/JAMC-D-12-0218.1</t>
  </si>
  <si>
    <t>071BH</t>
  </si>
  <si>
    <t>WOS:000313559900012</t>
  </si>
  <si>
    <t>Shivaji, S; Begum, Z; Rao, SSSN; Reddy, PVVV; Manasa, P; Sailaja, B; Prathiba, MS; Thamban, M; Krishnan, KP; Singh, SM; Srinivas, TNR</t>
  </si>
  <si>
    <t>Shivaji, Sisinthy; Begum, Zareena; Rao, Singireesu Soma Shiva Nageswara; Reddy, Puram V. Vishnu Vardhan; Manasa, Poorna; Sailaja, Buddi; Prathiba, Mambatta S.; Thamban, Meloth; Krishnan, Kottekkatu P.; Singh, Shiv M.; Srinivas, Tanuku N. R.</t>
  </si>
  <si>
    <t>Antarctic ice core samples: culturable bacterial diversity</t>
  </si>
  <si>
    <t>RESEARCH IN MICROBIOLOGY</t>
  </si>
  <si>
    <t>16S rRNA gene; Actinobacteria; Bacteroidetes; Firmicutes; Proteobacteria; Phenotypic characteristics; Extracellular enzymatic activities; Fatty acid profiles</t>
  </si>
  <si>
    <t>GLACIER ICE; SP-NOV.; PHYSIOLOGICAL DIVERSITY; LAKE VOSTOK; MICROORGANISMS; ENZYMES; WINTER</t>
  </si>
  <si>
    <t>Culturable bacterial abundance at 11 different depths of a 50.26 m ice core from the Tallaksenvarden Nunatak, Antarctica, varied from 0.02 to 5.8 x 10(3) CPU ml(-1) of the melt water. A total of 138 bacterial strains were recovered from the 11 different depths of the ice core. Based on 16S rRNA gene sequence analyses, the 138 isolates could be categorized into 25 phylotypes belonging to phyla Actinobacteria, Bacteroidetes, Firmicutes and Proteobacteria. All isolates had 16S rRNA sequences similar to previously determined sequences (97.2-100%). No correlation was observed in the distribution of the isolates at the various depths either at the phylum, genus or species level. The 25 phylotypes varied in growth temperature range, tolerance to NaCl, growth pH range and ability to produce eight different extracellular enzymes at either 4 or 18 degrees C. Iso-, anteiso-, unsaturated and saturated fatty acids together constituted a significant proportion of the total fatty acid composition. (C) 2012 Institut Pasteur. Published by Elsevier Masson SAS. All rights reserved.</t>
  </si>
  <si>
    <t>[Shivaji, Sisinthy; Begum, Zareena; Rao, Singireesu Soma Shiva Nageswara; Reddy, Puram V. Vishnu Vardhan; Manasa, Poorna; Sailaja, Buddi; Prathiba, Mambatta S.; Srinivas, Tanuku N. R.] Ctr Cellular &amp; Mol Biol, Hyderabad 500007, Andhra Pradesh, India; [Thamban, Meloth; Krishnan, Kottekkatu P.; Singh, Shiv M.] Natl Ctr Antarctic &amp; Ocean Res, Vasco Da Gama, Goa, India</t>
  </si>
  <si>
    <t>Council of Scientific &amp; Industrial Research (CSIR) - India; CSIR - Centre for Cellular &amp; Molecular Biology (CCMB); Ministry of Earth Sciences (MoES) - India; National Centre for Polar and Ocean Research (NCPOR)</t>
  </si>
  <si>
    <t>shivas@ccmb.res.in; zareena@ccmb.res.in; shivagenetech@gmail.com; pvishnu@ccmb.res.in; manasa@ccmb.res.in; bsailaja@ccmb.res.in; msprati@ccmb.res.in; meloth@ncaor.org; krishnan@ncaor.org; smsingh@ncaor.org; tnrlsri@gmail.com</t>
  </si>
  <si>
    <t>TANUKU, SRINIVAS N R/F-1029-2013; P, Krishnan K/ABF-8783-2020</t>
  </si>
  <si>
    <t>, K. P. Krishnan/0000-0003-1101-657X; Bhamidimarri, Poorna Manasa/0000-0002-7418-0492; Thamban, Meloth/0000-0003-3379-8189; shivaji, sisinthy/0000-0003-0376-4658</t>
  </si>
  <si>
    <t>Council of Scientific and Industrial Research; NCAOR, Ministry of Earth Sciences, Government of India; CSIR, Government of India</t>
  </si>
  <si>
    <t>Council of Scientific and Industrial Research(Council of Scientific &amp; Industrial Research (CSIR) - IndiaSpanish Government); NCAOR, Ministry of Earth Sciences, Government of India; CSIR, Government of India(Council of Scientific &amp; Industrial Research (CSIR) - India)</t>
  </si>
  <si>
    <t>We would like to thank the Council of Scientific and Industrial Research and NCAOR, Ministry of Earth Sciences, Government of India, for financial support to SS. TNRS acknowledges the CSIR, Government of India for the award of a Research Associateship.</t>
  </si>
  <si>
    <t>0923-2508</t>
  </si>
  <si>
    <t>1769-7123</t>
  </si>
  <si>
    <t>RES MICROBIOL</t>
  </si>
  <si>
    <t>Res. Microbiol.</t>
  </si>
  <si>
    <t>10.1016/j.resmic.2012.09.001</t>
  </si>
  <si>
    <t>070VU</t>
  </si>
  <si>
    <t>WOS:000313542400011</t>
  </si>
  <si>
    <t>Bullard, JE</t>
  </si>
  <si>
    <t>Bullard, Joanna E.</t>
  </si>
  <si>
    <t>Contemporary glacigenic inputs to the dust cycle</t>
  </si>
  <si>
    <t>EARTH SURFACE PROCESSES AND LANDFORMS</t>
  </si>
  <si>
    <t>glacierised landscape; dust cycle; ice retreat; dust deposition</t>
  </si>
  <si>
    <t>GREENLAND ICE-SHEET; SUSPENDED SEDIMENT DYNAMICS; SOUTHERN-VICTORIA-LAND; MCMURDO DRY VALLEYS; HIGH-ARCTIC GLACIER; AEOLIAN DUST; WIND EROSION; DESERT DUST; PRIMARY SUCCESSION; EOLIAN SEDIMENT</t>
  </si>
  <si>
    <t>The importance of glacigenic dust in the Earth's system during glacial periods is widely acknowledged. Under contemporary conditions, the world's largest dust sources are in low-lying, hot, arid regions and this is where most aeolian research is focused. However the processes of dust production and emissions are still operating in cold climate regions, particularly in proglacial areas. This paper assesses current understanding of the relationship between glacierised landscapes and dust emissions and inputs to the global dust cycle. It focuses on how elements in the glacial and aeolian geomorphic sub-systems interact to determine the magnitude, frequency and timing of aeolian dust emissions, and on feedback mechanisms between the systems. Where they have been measured, dust emission intensity and deposition rates in glacierised catchments are very high, in some cases far exceeding those in lower latitudes, however, few studies span long time scales. The impact of future glacier retreat on the balance between sediment supply, availability and aeolian transport capacity and implications for glacigenic dust emissions is also considered. This balance depends on relative spatial and temporal changes in meltwater suspended sediment concentration and wind strengths, which promote dust emissions, and patterns and rates of soil development and vegetation succession on recently-deglaciated terrain which protect sediments from deflation. Retreat of the Antarctic ice sheet could mean that in future glacigenic contributions to the dust cycle exceed those of non-glacigenic sources in the southern hemisphere. Copyright (c) 2012 John Wiley &amp; Sons, Ltd.</t>
  </si>
  <si>
    <t>Univ Loughborough, Dept Geog, Loughborough LE11 3TU, Leics, England</t>
  </si>
  <si>
    <t>Loughborough University</t>
  </si>
  <si>
    <t>Bullard, JE (corresponding author), Univ Loughborough, Dept Geog, Loughborough LE11 3TU, Leics, England.</t>
  </si>
  <si>
    <t>j.e.bullard@lboro.ac.uk</t>
  </si>
  <si>
    <t>0197-9337</t>
  </si>
  <si>
    <t>1096-9837</t>
  </si>
  <si>
    <t>EARTH SURF PROC LAND</t>
  </si>
  <si>
    <t>Earth Surf. Process. Landf.</t>
  </si>
  <si>
    <t>10.1002/esp.3315</t>
  </si>
  <si>
    <t>066YA</t>
  </si>
  <si>
    <t>WOS:000313257000007</t>
  </si>
  <si>
    <t>Zacny, K; Paulsen, G; Szczesiak, M; Craft, J; Chu, P; McKay, C; Glass, B; Davila, A; Marinova, M; Pollard, W; Jackson, W</t>
  </si>
  <si>
    <t>Zacny, K.; Paulsen, G.; Szczesiak, M.; Craft, J.; Chu, P.; McKay, C.; Glass, B.; Davila, A.; Marinova, M.; Pollard, W.; Jackson, W.</t>
  </si>
  <si>
    <t>LunarVader: Development and Testing of Lunar Drill in Vacuum Chamber and in Lunar Analog Site of Antarctica</t>
  </si>
  <si>
    <t>JOURNAL OF AEROSPACE ENGINEERING</t>
  </si>
  <si>
    <t>Drilling; Sampling; Moon; Lunar drilling; Lunar drill; Subsurface exploration; Rotary-percussive; Hammer drill; Percussive drill; Planetary exploration</t>
  </si>
  <si>
    <t>EXPLORATION; WATER</t>
  </si>
  <si>
    <t>Future exploration of the Moon will require access to the subsurface and acquisition of samples for scientific analysis and ground truthing of water-ice and mineral reserves for in situ resource utilization purposes. The LunarVader drill described in this paper is a 1-m class drill and cuttings acquisition system enabling subsurface exploration of the Moon. The drill employs rotary-percussive action, which reduces the weight on bit and energy consumption. This drilling approach has been successfully used by previous lunarmissions, such as the Soviet Luna 16, 20, and 24, and United States Apollo 15, 16, and 17. These missions and drilling systems are described in detail. The passive sample acquisition system of the LunarVader drill delivers cuttings directly into a sample cup or an instrument inlet port. The drill was tested in a vacuum chamber and penetrated various formations, such as a water-saturated lunar soil simulant (JSC-1A) at-80 degrees C, water-ice, and rocks to a depth of 1m. The system was also field tested in the lunar analog site on Ross Island, Antarctica, where it successfully penetrated to 1-m depth and acquired icy samples into a sample cup. During the chamber and field testing, the LunarVader demonstrated drilling at the 1-1-100-100 level; that is, it penetrated 1 m in approximately 1 h with roughly 100-W power and less than 100-N weight on bit. This corresponds to a total drilling energy of approximately 100 Whr. The drill system achieved high enough technology readiness to be considered as a viable option for future lunarmissions, such as the South Pole-Aitken Basin Sample Return and Geophysical Network missions recently recommended by the Decadal Survey of the National Research Council, and commercial missions, such as Google Lunar X-Prize missions. DOI: 10.1061/(ASCE)AS.1943-5525.0000212. (C) 2013 American Society of Civil Engineers.</t>
  </si>
  <si>
    <t>[Zacny, K.] Honeybee Robot, Explorat Technol, Pasadena, CA 91103 USA; [Chu, P.] Honeybee Robot, Houston, TX 77058 USA; [McKay, C.; Glass, B.; Davila, A.; Marinova, M.] NASA, Ames Res Ctr, Moffett Field, CA 94040 USA; [Pollard, W.] McGill Univ, Dept Geog, Montreal, PQ H3A 2K6, Canada; [Jackson, W.] Texas Tech Univ, Lubbock, TX 79409 USA</t>
  </si>
  <si>
    <t>National Aeronautics &amp; Space Administration (NASA); NASA Ames Research Center; McGill University; Texas Tech University System; Texas Tech University</t>
  </si>
  <si>
    <t>Zacny, K (corresponding author), Honeybee Robot, Explorat Technol, 398 W Washington Blvd,Ste 200, Pasadena, CA 91103 USA.</t>
  </si>
  <si>
    <t>zacny@honeybeerobotics.com</t>
  </si>
  <si>
    <t>Jackson, William/B-8999-2009; Davila, Alfonso F/A-2198-2013</t>
  </si>
  <si>
    <t>Jackson, William/0000-0003-4232-4364; McKay, Christopher/0000-0002-6243-1362</t>
  </si>
  <si>
    <t>United States Antarctic Program, National Science Foundation Office of Polar Programs</t>
  </si>
  <si>
    <t>The research reported in this paper was conducted by Honeybee Robotics under various contracts with the National Aeronautics and Space Administration, including Astrobiology Science and Technology for Exploring Planets and the Small Business Innovative Research program. Testing in Antarctica was supported by the United States Antarctic Program as part of the National Science Foundation Office of Polar Programs.</t>
  </si>
  <si>
    <t>ASCE-AMER SOC CIVIL ENGINEERS</t>
  </si>
  <si>
    <t>RESTON</t>
  </si>
  <si>
    <t>1801 ALEXANDER BELL DR, RESTON, VA 20191-4400 USA</t>
  </si>
  <si>
    <t>0893-1321</t>
  </si>
  <si>
    <t>1943-5525</t>
  </si>
  <si>
    <t>J AEROSPACE ENG</t>
  </si>
  <si>
    <t>J. Aerosp. Eng.</t>
  </si>
  <si>
    <t>10.1061/(ASCE)AS.1943-5525.0000212</t>
  </si>
  <si>
    <t>Engineering, Aerospace; Engineering, Civil</t>
  </si>
  <si>
    <t>069NW</t>
  </si>
  <si>
    <t>WOS:000313444300009</t>
  </si>
  <si>
    <t>Predator-prey interactions between the South Polar skua Catharacta maccormicki and Antarctic tern Sterna vittata</t>
  </si>
  <si>
    <t>JOURNAL OF AVIAN BIOLOGY</t>
  </si>
  <si>
    <t>DIFFERENTIAL PREDATION; COLONY; COLONIALITY; BEHAVIOR; SUCCESS; PETRELS; SEABIRD; SELECT; ISLAND; BIRDS</t>
  </si>
  <si>
    <t>Antarctic terns have to co-exist in a limited space with their major nest predator, the skuas. We conducted artificial nest experiments to evaluate the roles of parental activity, nest location and nest and egg crypsis in this simple predatorprey system. Predation on artificial (inactive) nests was higher in traditional nesting sites than in sites previously not occupied by terns, which suggests that skuas memorized past tern breeding sites. Predation on artificial nests in inactive colonies was higher than in active (defended) colonies. Parental defense reduced predation in colonies to the level observed in artificial nests placed away from colonies. This suggests that communal defense can balance the costs of attracting predators to active colonies. Within colonies, predation was marginally higher on experimental eggs put in real nests than on bare ground. Although it seems that the presence of a nest is costly in terms of increased predation, reductions in nest size might be constrained by the need for protective nest structures and/or balanced by opposing selection on nest size. Predation did not differ markedly between artificial (quail) and real tern eggs. A simultaneous prey choice experiment showed that the observed predation rates reflected egg/nest detectability, rather than discrimination of egg types. In summary, nesting terns probably cannot avoid being detected, and they cannot defend their nest by attending them. Yet, by temporarily leaving the nest, they can defend it through communal predator mobbing, and at the same time, they can benefit from crypsis of unattended nest and eggs.</t>
  </si>
  <si>
    <t>[Weidinger, Karel; Pavel, Vaclav] Palacky Univ, Fac Sci, Dept Zool, CZ-77146 Olomouc, Czech Republic; [Weidinger, Karel; Pavel, Vaclav] Palacky Univ, Fac Sci, Ornithol Lab, CZ-77146 Olomouc, Czech Republic</t>
  </si>
  <si>
    <t>Weidinger, K (corresponding author), Palacky Univ, Fac Sci, Dept Zool, Tr Svobody 26, CZ-77146 Olomouc, Czech Republic.</t>
  </si>
  <si>
    <t>This study was supported by the Czech Geological Survey and by grants from the Ministry of Education (MSM 6198959212) and Ministry of Environment (VaV SP II 1a9/23/07) of the Czech Republic. The work in Antarctica was conducted under permission from the Ministry of Environment; all field procedures comply with the current laws of the Czech Republic. We would like to thank the crew members of the Johan Gregor Mendel Station for their support and M. Krist for comments on the manuscript.</t>
  </si>
  <si>
    <t>0908-8857</t>
  </si>
  <si>
    <t>1600-048X</t>
  </si>
  <si>
    <t>J AVIAN BIOL</t>
  </si>
  <si>
    <t>J. Avian Biol.</t>
  </si>
  <si>
    <t>10.1111/j.1600-048X.2012.05731.x</t>
  </si>
  <si>
    <t>063IO</t>
  </si>
  <si>
    <t>WOS:000312990100011</t>
  </si>
  <si>
    <t>Smith, AM; Mokhber-Shahin, L; Simon, KJ</t>
  </si>
  <si>
    <t>Smith, A. M.; Mokhber-Shahin, L.; Simon, K. J.</t>
  </si>
  <si>
    <t>A new capability for ANTARES: 7Be by AMS for ice samples</t>
  </si>
  <si>
    <t>NUCLEAR INSTRUMENTS &amp; METHODS IN PHYSICS RESEARCH SECTION B-BEAM INTERACTIONS WITH MATERIALS AND ATOMS</t>
  </si>
  <si>
    <t>12th International Conference on Accelerator Mass Spectrometry (AMS)</t>
  </si>
  <si>
    <t>MAR 20-25, 2011</t>
  </si>
  <si>
    <t>GNS Sci, Wellington, NEW ZEALAND</t>
  </si>
  <si>
    <t>GNS Sci</t>
  </si>
  <si>
    <t>Cosmogenic beryllium; Be-7; Beryllium-7; Be-7; Be-10; Beryllium-10; Be-10; AMS; Accelerator mass spectrometry; Antarctica; Solar variability; Transport; Deposition</t>
  </si>
  <si>
    <t>SOLAR-ACTIVITY; LAW DOME</t>
  </si>
  <si>
    <t>ANSTO, in collaboration with the Australian Antarctic Division (AAD) and the Antarctic Climate and Ecosystems Cooperative Research Centre (ACE CRC), has an on-going program of Be-10 (t(1/2) = 1.39 x 10(6) a) concentration measurement in firn and ice at Law Dome, Antarctica. In recent years snow pit samples have also been measured for Be-7 (t(1/2) = 53.28 d) concentration as this isotope has the potential to give further insight into the transport and deposition of cosmogenic beryllium to Law Dome and so improve the use of Be-10 as a proxy for solar activity. Early Be-7 measurements were made by gamma-ray spectrometry (GRS) with typical counting times of 3 days. In 2010, we developed the capability for Be-7/Be-9 measurement on the 10 MV ANTARES (Australian National Tandem Accelerator for Applied Research) accelerator using carbon foil post-stripping of Be-7(3+) to Be-7(4+) to eliminate the Li-7 isobar. We describe the method and explain the advantages of using accelerator mass spectrometry (AMS) over GRS for Be-7 analysis. Crown Copyright (C) 2012 Published by Elsevier B.V. All rights reserved.</t>
  </si>
  <si>
    <t>[Smith, A. M.; Mokhber-Shahin, L.; Simon, K. J.] Australian Nucl Sci &amp; Technol Org, Kirrawee, NSW 2232, Australia</t>
  </si>
  <si>
    <t>Australian Nuclear Science &amp; Technology Organisation</t>
  </si>
  <si>
    <t>Smith, AM (corresponding author), Australian Nucl Sci &amp; Technol Org, Locked Bag 2001, Kirrawee, NSW 2232, Australia.</t>
  </si>
  <si>
    <t>ams@ansto.gov.au</t>
  </si>
  <si>
    <t>, Andrew/HLX-8550-2023</t>
  </si>
  <si>
    <t>Simon, Krista/0000-0003-4443-4305; Smith, Andrew/0000-0002-9193-2617</t>
  </si>
  <si>
    <t>0168-583X</t>
  </si>
  <si>
    <t>1872-9584</t>
  </si>
  <si>
    <t>NUCL INSTRUM METH B</t>
  </si>
  <si>
    <t>Nucl. Instrum. Methods Phys. Res. Sect. B-Beam Interact. Mater. Atoms</t>
  </si>
  <si>
    <t>10.1016/j.nimb.2012.08.055</t>
  </si>
  <si>
    <t>Instruments &amp; Instrumentation; Nuclear Science &amp; Technology; Physics, Atomic, Molecular &amp; Chemical; Physics, Nuclear</t>
  </si>
  <si>
    <t>Instruments &amp; Instrumentation; Nuclear Science &amp; Technology; Physics</t>
  </si>
  <si>
    <t>066QC</t>
  </si>
  <si>
    <t>WOS:000313234300012</t>
  </si>
  <si>
    <t>Woodruff, TE; Welten, KC; Caffee, MW; Nishiizumi, K</t>
  </si>
  <si>
    <t>Woodruff, Thomas E.; Welten, Kees C.; Caffee, Marc W.; Nishiizumi, Kunihiko</t>
  </si>
  <si>
    <t>Interlaboratory comparison of 10Be concentrations in two ice cores from Central West Antarctica</t>
  </si>
  <si>
    <t>Cosmogenic radionuclides; Be-10; Accelerator mass spectrometry; Ice cores</t>
  </si>
  <si>
    <t>CHRONOLOGY</t>
  </si>
  <si>
    <t>To improve sample processing efficiency for cosmogenic radionuclide measurements in samples from the West Antarctic Ice Sheet Divide core, two chemical lines, one at Purdue University and one at the University of California, Berkeley, are being used. Sections from two shallow ice cores from West Antarctica were processed at each lab, while all Be-10 accelerator mass spectrometry measurements were performed at PRIME Lab, Purdue University. Duplicate samples gave Be-10 results that are identical to within the AMS measurement uncertainties of 2-3%. (C) 2012 Elsevier B.V. All rights reserved.</t>
  </si>
  <si>
    <t>[Woodruff, Thomas E.; Caffee, Marc W.] Purdue Univ, PRIME Lab, W Lafayette, IN 47907 USA; [Welten, Kees C.; Nishiizumi, Kunihiko] Univ Calif Berkeley, Space Sci Lab, Berkeley, CA 94720 USA</t>
  </si>
  <si>
    <t>Purdue University System; Purdue University; University of California System; University of California Berkeley</t>
  </si>
  <si>
    <t>Woodruff, TE (corresponding author), Purdue Univ, Purdue Rare Isotope Measurement Lab, 525 Northwestern Ave, W Lafayette, IN 47907 USA.</t>
  </si>
  <si>
    <t>woodruft@purdue.edu</t>
  </si>
  <si>
    <t>Welten, Kees/0000-0001-8577-6753</t>
  </si>
  <si>
    <t>Office of Polar Programs (OPP); Directorate For Geosciences [0839042, 0839137] Funding Source: National Science Foundation</t>
  </si>
  <si>
    <t>Office of Polar Programs (OPP); Directorate For Geosciences(National Science Foundation (NSF)NSF - Directorate for Geosciences (GEO))</t>
  </si>
  <si>
    <t>10.1016/j.nimb.2012.08.033</t>
  </si>
  <si>
    <t>WOS:000313234300015</t>
  </si>
  <si>
    <t>Simon, KJ; Pedro, JB; Smith, AM; Child, DP; Fink, D</t>
  </si>
  <si>
    <t>Simon, K. J.; Pedro, J. B.; Smith, A. M.; Child, D. P.; Fink, D.</t>
  </si>
  <si>
    <t>Reprocessing of 10B-contaminated 10Be AMS targets</t>
  </si>
  <si>
    <t>Beryllium-10; Be-10; Be-10; B-10; B-10; Boron-10; Boron; Sample preparation; Reprocess; Contamination; Accelerator mass spectrometry; AMS</t>
  </si>
  <si>
    <t>Be-10 accelerator mass spectrometry (AMS) is an increasingly important tool in studies ranging from exposure age dating and palaeo-geomagnetism to the impact of solar variability on the Earth's climate. High levels of boron in BeO AMS targets can adversely impact the quality of Be-10 measurements through interference from the isobar B-10. Numerous methods in chemical sample preparation and AMS measurement have been employed in order to reduce the impact of excessive boron rates. We present details of a method developed to chemically reprocess a set of forty boron-contaminated BeO targets derived from modern Antarctic ice. Previously, the excessive boron levels in these samples, as measured in an argon-filled absorber cell preceding the ionisation detector, had precluded routine AMS measurement. The procedure involved removing the BeO + Nb mixture from the target holders and dissolving the BeO in hot concentrated H2SO4. The solution was then heated with HF to remove the boron as volatile BF3 before re-precipitating as Be(OH)(2) and calcining to BeO. This was again mixed with niobium and pressed into fresh target holders. Following reprocessing, the samples gave boron rates reduced by 10-100x, which were sufficiently low and similar to previous successful batches of ice core, snow and associated blank samples, thus allowing a successful Be-10 measurement in the absence of any boron correction. Overall recovery of the BeO for this process averaged 40%. Extensive testing of relevant processing equipment and reagents failed to determine the source of the boron. As a precautionary measure, a similar H2SO4 + HF step has been subsequently added to the standard ice processing method. Crown Copyright (c) 2012 Published by Elsevier B.V. All rights reserved.</t>
  </si>
  <si>
    <t>[Simon, K. J.; Smith, A. M.; Child, D. P.; Fink, D.] Australian Nucl Sci &amp; Technol Org, Kirrawee, NSW 2232, Australia; [Pedro, J. B.] Inst Marine &amp; Antarctic Studies, Hobart, Tas 7001, Australia; [Pedro, J. B.] Antarctic Climate &amp; Ecosyst Cooperat Res Ctr, Hobart, Tas 7001, Australia</t>
  </si>
  <si>
    <t>Australian Nuclear Science &amp; Technology Organisation; University of Tasmania; Antarctic Climate &amp; Ecosystems Cooperative Research Centre (ACE CRC)</t>
  </si>
  <si>
    <t>Simon, KJ (corresponding author), Australian Nucl Sci &amp; Technol Org, Locked Bag 2001, Kirrawee, NSW 2232, Australia.</t>
  </si>
  <si>
    <t>ksz@ansto.gov.au</t>
  </si>
  <si>
    <t>Pedro, Joel/M-5632-2014; , Andrew/HLX-8550-2023; Pedro, Joel Benjamin/L-8918-2019; fink, David/A-9518-2012</t>
  </si>
  <si>
    <t>Pedro, Joel/0000-0002-0728-2712; Pedro, Joel Benjamin/0000-0002-0728-2712; fink, David/0000-0001-7156-4602; Simon, Krista/0000-0003-4443-4305; Smith, Andrew/0000-0002-9193-2617</t>
  </si>
  <si>
    <t>10.1016/j.nimb.2012.07.013</t>
  </si>
  <si>
    <t>WOS:000313234300041</t>
  </si>
  <si>
    <t>Hui, FM; Cheng, X; Liu, Y; Zhang, YM; Ye, YF; Wang, XW; Li, Z; Wang, K; Zhan, ZF; Guo, JH; Huang, HB; Li, XH; Guo, ZQ; Gong, P</t>
  </si>
  <si>
    <t>Hui FengMing; Cheng Xiao; Liu Yan; Zhang YanMei; Ye YuFang; Wang XianWei; Li Zhan; Wang Kun; Zhan ZhiFei; Guo JianHong; Huang HuaBing; Li XiuHong; Guo ZiQi; Gong Peng</t>
  </si>
  <si>
    <t>An improved Landsat Image Mosaic of Antarctica</t>
  </si>
  <si>
    <t>SCIENCE CHINA-EARTH SCIENCES</t>
  </si>
  <si>
    <t>Landsat; Antarctica; ice sheet; mosaic; remote sensingdd</t>
  </si>
  <si>
    <t>BIDIRECTIONAL REFLECTANCE</t>
  </si>
  <si>
    <t>A revised Landsat Image Mosaic of Antarctica (LIMA) is presented, using the 1073 multi-band scenes of the original Land-sat-7 ETM+ LIMA image collection available at the United States Geological Survey (USGS: http://lima.usgs.gov/). Three improvements have been applied during the data processing: (1) DN saturation is adjusted by adopting a linear regression, which has a lower root mean square error than the ratio regression used by LIMA; (2) solar elevation angle is calculated using pixel-level latitude/longitude and the acquisition time and date of the central pixel of the scene, improving slightly upon the bilinear interpolation of the solar elevation angles of scene corners applied in LIMA; and (3) two additional image bands, Band 5 and Band 7, are sharpened using the panchromatic band (Band 8) and a Gram-Schmidt Spectral Sharpening algorithm to more easily distinguish snow, cloud and exposed rocks. The final planetary reflectance product is stored in 16-bit bands to preserve the full radiometric content of the scenes. A comparative statistical analysis among 12 sample regions indicates that the new mosaic has enhanced visual qualities, information entropy, and information content for land cover classification relative to LIMA.</t>
  </si>
  <si>
    <t>[Hui FengMing; Cheng Xiao; Liu Yan; Wang XianWei; Wang Kun; Zhan ZhiFei; Guo JianHong; Huang HuaBing; Li XiuHong; Guo ZiQi; Gong Peng] Beijing Normal Univ, State Key Lab Remote Sensing Sci, Beijing 100875, Peoples R China; [Hui FengMing; Cheng Xiao; Liu Yan; Wang XianWei; Wang Kun; Zhan ZhiFei; Guo JianHong; Huang HuaBing; Li XiuHong; Guo ZiQi; Gong Peng] Chinese Acad Sci, Inst Remote Sensing Applicat, Beijing 100875, Peoples R China; [Hui FengMing; Cheng Xiao; Liu Yan; Wang Kun; Zhan ZhiFei; Li XiuHong] Beijing Normal Univ, Coll Global Change &amp; Earth Syst Sci, Beijing 100875, Peoples R China; [Zhang YanMei] China Earthquake Adm, Inst Earthquake Sci, Beijing 100036, Peoples R China; [Ye YuFang] Univ Bremen, Inst Environm Phys, D-28359 Bremen, Germany; [Li Zhan] Boston Univ, Dept Geog &amp; Environm, Boston, MA 02215 USA</t>
  </si>
  <si>
    <t>Beijing Normal University; Chinese Academy of Sciences; Beijing Normal University; China Earthquake Administration; University of Bremen; Boston University</t>
  </si>
  <si>
    <t>Cheng, X (corresponding author), Beijing Normal Univ, State Key Lab Remote Sensing Sci, Beijing 100875, Peoples R China.</t>
  </si>
  <si>
    <t>xcheng@bnu.edu.cn</t>
  </si>
  <si>
    <t>Liu, Yansui/L-7289-2019; Ye, Yufang/AAN-9304-2021; Huang, huabing/JHT-7278-2023; LIU, Yansui/T-6954-2019; Li, Zhan/HKM-4393-2023; Gong, Peng/AAM-1516-2021</t>
  </si>
  <si>
    <t>Liu, Yansui/0000-0001-6636-7313; Ye, Yufang/0000-0001-6520-3851; Huang, huabing/0000-0001-6253-8437; Li, Zhan/0000-0001-6307-5200; Gong, Peng/0000-0003-1513-3765</t>
  </si>
  <si>
    <t>Chinese Arctic and Antarctic Administration; National Basic Research Program of China [2012CB957704]; National High-tech R&amp;D Program of China [2008AA121702, 2008AA09Z117]; National Natural Science Foundation of China [41106157, 41176163]; Open Fund of State Key Laboratory of Remote Sensing Science [OFSLRSS201005]</t>
  </si>
  <si>
    <t>Chinese Arctic and Antarctic Administration; National Basic Research Program of China(National Basic Research Program of China); National High-tech R&amp;D Program of China(National High Technology Research and Development Program of China); National Natural Science Foundation of China(National Natural Science Foundation of China (NSFC)); Open Fund of State Key Laboratory of Remote Sensing Science</t>
  </si>
  <si>
    <t>This work was supported by Chinese Arctic and Antarctic Administration, National Basic Research Program of China (Grant No. 2012CB957704), National High-tech R&amp;D Program of China (Grant Nos. 2008AA121702 and 2008AA09Z117), National Natural Science Foundation of China (Grant Nos. 41106157 and 41176163) and Open Fund of State Key Laboratory of Remote Sensing Science (Grant No. OFSLRSS201005). We are grateful to Dr. Zhaohui Chi from Texas A&amp;M University and Haitao Li from University of Alberta for their careful review of this manuscript.</t>
  </si>
  <si>
    <t>1674-7313</t>
  </si>
  <si>
    <t>1869-1897</t>
  </si>
  <si>
    <t>SCI CHINA EARTH SCI</t>
  </si>
  <si>
    <t>Sci. China-Earth Sci.</t>
  </si>
  <si>
    <t>10.1007/s11430-012-4481-5</t>
  </si>
  <si>
    <t>070HU</t>
  </si>
  <si>
    <t>WOS:000313498000001</t>
  </si>
  <si>
    <t>Liu, SB; Chen, XL; He, HL; Zhang, XY; Xie, BB; Yu, Y; Chen, B; Zhou, BC; Zhang, YZ</t>
  </si>
  <si>
    <t>Liu, Sheng-Bo; Chen, Xiu-Lan; He, Hai-Lun; Zhang, Xi-Ying; Xie, Bin-Bin; Yu, Yong; Chen, Bo; Zhou, Bai-Cheng; Zhang, Yu-Zhong</t>
  </si>
  <si>
    <t>Structure and Ecological Roles of a Novel Exopolysaccharide from the Arctic Sea Ice Bacterium Pseudoalteromonas sp Strain SM20310</t>
  </si>
  <si>
    <t>APPLIED AND ENVIRONMENTAL MICROBIOLOGY</t>
  </si>
  <si>
    <t>HYDROTHERMAL VENT; ANTARCTIC BACTERIUM; OCEAN; SUBSTANCES; DIVERSITY</t>
  </si>
  <si>
    <t>The structure and ecological roles of the exopolysaccharides (EPSs) from sea ice microorganisms are poorly studied. Here we show that strain SM20310, with an EPS production of 567 mg liter(-1), was screened from 110 Arctic sea ice isolates and identified as a Pseudoalteromonas strain. The EPS secreted by SM20310 was purified, and its structural characteristics were studied. The predominant repeating unit of this EPS is a highly complicated alpha-mannan with a molecular mass greater than 2 x 10(6) Da. The backbone of the EPS consists of 2-alpha-, 6-alpha-mannosyl residues, in which a considerable part of the 6-alpha-mannosyl residues are branched at the 2 position with either single t-mannosyl residues or two mannosyl residues. The structure of the described EPS is different from the structures of EPSs secreted by other marine bacteria. Analysis of the ecological roles of the identified EPS showed that the EPS could significantly enhance the high-salinity tolerance of SM20310 and improve the survival of SM20310 after freeze-thaw cycles. These results suggest that the EPS secreted by strain SM20310 enables the strain to adapt to the sea ice environment, which is characterized by low temperature, high salinity, and repeated freeze-thaw cycles. In addition to its functions in strain SM20310, this EPS also significantly improved the tolerance of Escherichia coli to freeze-thaw cycles, suggesting that it may have a universal impact on microorganism cryoprotection.</t>
  </si>
  <si>
    <t>[Liu, Sheng-Bo; Chen, Xiu-Lan; He, Hai-Lun; Zhang, Xi-Ying; Xie, Bin-Bin; Zhou, Bai-Cheng; Zhang, Yu-Zhong] Shandong Univ, State Key Lab Microbial Technol, Marine Biotechnol Res Ctr, Jinan 250100, Peoples R China; [Yu, Yong; Chen, Bo] Polar Res Inst China, SOA Key Lab Polar Sci, Shanghai, Peoples R China</t>
  </si>
  <si>
    <t>Shandong University; Polar Research Institute of China</t>
  </si>
  <si>
    <t>Zhang, YZ (corresponding author), Shandong Univ, State Key Lab Microbial Technol, Marine Biotechnol Res Ctr, Jinan 250100, Peoples R China.</t>
  </si>
  <si>
    <t>zhangyz@sdu.edu.cn</t>
  </si>
  <si>
    <t>Wang, zijun/JNS-5435-2023; Zhang, Xi/HJH-1211-2023; Yan, Miaochen/JLL-5061-2023</t>
  </si>
  <si>
    <t>Zhang, Yu-Zhong/0000-0002-2017-1005</t>
  </si>
  <si>
    <t>National Natural Science Foundation of China [31025001, 41106161, 41176130, 31170055]; Hi-Tech Research and Development program of China [2011AA090703, 2012AA091605, 2012AA092103]; Natural Science Foundation of Shandong Province, China [JQ200910, ZR2009DZ002]; Foundation for Young Excellent Scientists in Shandong Province, China [BS2010SW015]</t>
  </si>
  <si>
    <t>National Natural Science Foundation of China(National Natural Science Foundation of China (NSFC)); Hi-Tech Research and Development program of China(National High Technology Research and Development Program of China); Natural Science Foundation of Shandong Province, China(Natural Science Foundation of Shandong Province); Foundation for Young Excellent Scientists in Shandong Province, China</t>
  </si>
  <si>
    <t>The work was supported by National Natural Science Foundation of China (grants 31025001, 41106161, 41176130, and 31170055), the Hi-Tech Research and Development program of China (grants 2011AA090703, 2012AA091605, and 2012AA092103), the Natural Science Foundation of Shandong Province, China (grants JQ200910 and ZR2009DZ002), and the Foundation for Young Excellent Scientists in Shandong Province, China (grant BS2010SW015).</t>
  </si>
  <si>
    <t>AMER SOC MICROBIOLOGY</t>
  </si>
  <si>
    <t>1752 N ST NW, WASHINGTON, DC 20036-2904 USA</t>
  </si>
  <si>
    <t>0099-2240</t>
  </si>
  <si>
    <t>1098-5336</t>
  </si>
  <si>
    <t>APPL ENVIRON MICROB</t>
  </si>
  <si>
    <t>Appl. Environ. Microbiol.</t>
  </si>
  <si>
    <t>10.1128/AEM.01801-12</t>
  </si>
  <si>
    <t>062PK</t>
  </si>
  <si>
    <t>WOS:000312931600025</t>
  </si>
  <si>
    <t>Vieira, FCB; Pereira, AB; Bayer, C; Schünemann, AL; Victoria, FD; de Albuquerque, MP; de Oliveira, CS</t>
  </si>
  <si>
    <t>Beber Vieira, Frederico Costa; Pereira, Antonio Batista; Bayer, Cimelio; Schuenemann, Adriano Luis; Victoria, Filipe de Carvalho; de Albuquerque, Margeli Pereira; de Oliveira, Cassio Strassburger</t>
  </si>
  <si>
    <t>In situ methane and nitrous oxide fluxes in soil from a transect in Hennequin Point, King George Island, Antarctic</t>
  </si>
  <si>
    <t>CHEMOSPHERE</t>
  </si>
  <si>
    <t>Methane; Nitrous oxide; Skua colonies; Vegetal cover; Moss</t>
  </si>
  <si>
    <t>ADMIRALTY BAY; PENGUIN GUANO; EMISSIONS; TUNDRA; OXIDATION; CARBON; DECOMPOSITION; ECOSYSTEMS; CRYOSOLS; SNOWPACK</t>
  </si>
  <si>
    <t>The study aimed at to determine the magnitude of the methane (CH4) and nitrous oxide (N2O) flux rates in soils at Hennequin Point, King George Island, Antarctic, under different slope positions, vegetal covers and presence of skuas, as well as to evaluate the main soil and climate factors that are involved with the flux of such gases. In situ gas sampling (closed chamber method) was performed in four sites along a transect involving a skua nesting field in a moraine with 5% and 100% of surface covered by vegetal, and two poor-drained soils in the toeslope (a bare alluvium soil and a poor-drained moss field with 100% soil cover). Flux rates ranged from -0.86 +/- 0.45 to 2.75 +/- 1.52 mu g N2O-N m(-2) h(-1) and -12.26 +/- 3.05 to 1.42 +/- 1.31 mu g CH4-C m(-2) h(-1). The soil totally covered by vegetal in the skua field had the largest CH4 influx rates. However, this benefic effect was counterbalanced by the greatest N2O efflux rates from this soil, resulting in the largest contribution to the global warming potential among the soils evaluated. Flux rates were closely related to soil temperature, but no significant relation was observed with mineral N contents and water-filled pore space. In turn, accumulated CH4 and N2O emissions were closely related to the total N and total organic C stocks in the soil. Net CH4 influx predominated even in the poor-drained soils, suggesting that the coarse soil texture avoided critical anaerobic conditions. No significant changes in flux rates were observed for sampling time along the day. (C) 2012 Elsevier Ltd. All rights reserved.</t>
  </si>
  <si>
    <t>[Beber Vieira, Frederico Costa; Pereira, Antonio Batista; Schuenemann, Adriano Luis; Victoria, Filipe de Carvalho; de Albuquerque, Margeli Pereira; de Oliveira, Cassio Strassburger] Univ Fed Pampa, INCT APA, BR-97300000 Sao Gabriel, RS, Brazil; [Bayer, Cimelio] Univ Fed Rio Grande do Sul, Dept Solos, BR-91540000 Porto Alegre, RS, Brazil</t>
  </si>
  <si>
    <t>Universidade Federal do Pampa; Universidade Federal do Rio Grande do Sul</t>
  </si>
  <si>
    <t>Vieira, FCB (corresponding author), Univ Fed Pampa, INCT APA, Campus Sao Gabriel,Ave Antonio Trilha 1847, BR-97300000 Sao Gabriel, RS, Brazil.</t>
  </si>
  <si>
    <t>fredericovieira@unipampa.edu.br</t>
  </si>
  <si>
    <t>Victoria, Filipe C/E-1890-2012; Victoria, Filipe/F-6066-2013; Pereira, Antonio/AAD-5703-2019; Pereira, Antonio B/I-8201-2014; Vieira, Frederico Costa Beber/A-9728-2014; Bayer, Cimélio B/O-9385-2015; Schünemann, Adriano Luis/AAN-1224-2020</t>
  </si>
  <si>
    <t>Victoria, Filipe/0000-0002-8580-1813; Pereira, Antonio B/0000-0003-0368-4594; Schünemann, Adriano Luis/0000-0001-7227-7074; Vieira, Frederico/0000-0001-5565-7593</t>
  </si>
  <si>
    <t>Brazilian Antarctic Program through the Brazilian Council for Scientific and Technologic Development (CNPq); Foundation of Research Support in Rio de Janeiro (FAPERJ); Foundation of Research Support in Rio Grande do Sul (FAPERGS), Ministry of Environment-MMA; Ministry of Science and Technology-MCT; CIRM through the National Institute of Science and Technology-Antarctic Environmental Research (INCT-APA)</t>
  </si>
  <si>
    <t>Brazilian Antarctic Program through the Brazilian Council for Scientific and Technologic Development (CNPq)(Conselho Nacional de Desenvolvimento Cientifico e Tecnologico (CNPQ)); Foundation of Research Support in Rio de Janeiro (FAPERJ)(Fundacao Carlos Chagas Filho de Amparo a Pesquisa do Estado do Rio De Janeiro (FAPERJ)); Foundation of Research Support in Rio Grande do Sul (FAPERGS), Ministry of Environment-MMA; Ministry of Science and Technology-MCT; CIRM through the National Institute of Science and Technology-Antarctic Environmental Research (INCT-APA)</t>
  </si>
  <si>
    <t>This work was supported by the Brazilian Antarctic Program through the Brazilian Council for Scientific and Technologic Development (CNPq), Foundation of Research Support in Rio de Janeiro (FAPERJ), Foundation of Research Support in Rio Grande do Sul (FAPERGS), Ministry of Environment-MMA, Ministry of Science and Technology-MCT and CIRM, through the National Institute of Science and Technology-Antarctic Environmental Research (INCT-APA). Authors are very thankful to Jair Putzke and Michely Tomazi for their assistance in sampling and analyzing the gas samples, respectively.</t>
  </si>
  <si>
    <t>0045-6535</t>
  </si>
  <si>
    <t>1879-1298</t>
  </si>
  <si>
    <t>Chemosphere</t>
  </si>
  <si>
    <t>10.1016/j.chemosphere.2012.08.013</t>
  </si>
  <si>
    <t>058FA</t>
  </si>
  <si>
    <t>WOS:000312618300049</t>
  </si>
  <si>
    <t>Hashim, NHF; Bharudin, I; Nguong, DLS; Higa, S; Abu Bakar, FD; Nathan, S; Rabu, A; Kawahara, H; Illias, RM; Najimudin, N; Mahadi, NM; Murad, AMA</t>
  </si>
  <si>
    <t>Hashim, Noor Haza Fazlin; Bharudin, Izwan; Nguong, Douglas Law Sie; Higa, Sakura; Abu Bakar, Farah Diba; Nathan, Sheila; Rabu, Amir; Kawahara, Hidehisa; Illias, Rosli Md; Najimudin, Nazalan; Mahadi, Nor Muhammad; Murad, Abdul Munir Abdul</t>
  </si>
  <si>
    <t>Characterization of Afp1, an antifreeze protein from the psychrophilic yeast Glaciozyma antarctica PI12</t>
  </si>
  <si>
    <t>EXTREMOPHILES</t>
  </si>
  <si>
    <t>Glaciozyma antarctica PI12; Psychrophilic yeast; Antifreeze protein; Thermal hysteresis; Recrystallization inhibition</t>
  </si>
  <si>
    <t>ICE-BINDING PROTEIN; GROWTH; GLYCOPROTEINS; EXPRESSION; NUCLEATION; PEPTIDES; CLONING; FAMILY; GENE</t>
  </si>
  <si>
    <t>The psychrophilic yeast Glaciozyma antarctica demonstrated high antifreeze activity in its culture filtrate. The culture filtrate exhibited both thermal hysteresis (TH) and ice recrystallization inhibition (RI) properties. The TH of 0.1 A degrees C was comparable to that previously reported for bacteria and fungi. A genome sequence survey of the G. antarctica genome identified a novel antifreeze protein gene. The cDNA encoded a 177 amino acid protein with 30 % similarity to a fungal antifreeze protein from Typhula ishikariensis. The expression levels of AFP1 were quantified via real time-quantitative polymerase chain reaction (RT-qPCR), and the highest expression levels were detected within 6 h of growth at -12 A degrees C. The cDNA of the antifreeze protein was cloned into an Escherichia coli expression system. Expression of recombinant Afp1 in E. coli resulted in the formation of inclusion bodies that were subsequently denatured by treatment with urea and allowed to refold in vitro. Activity assays of the recombinant Afp1 confirmed the antifreeze protein properties with a high TH value of 0.08 A degrees C.</t>
  </si>
  <si>
    <t>[Hashim, Noor Haza Fazlin; Bharudin, Izwan; Nguong, Douglas Law Sie; Abu Bakar, Farah Diba; Nathan, Sheila; Rabu, Amir; Murad, Abdul Munir Abdul] Univ Kebangsaan Malaysia, Fac Sci &amp; Technol, Sch Biosci &amp; Biotechnol, Bangi 43600, Selangor, Malaysia; [Higa, Sakura; Kawahara, Hidehisa] Kansai Univ, Dept Life Sci &amp; Biotechnol, Suita, Osaka 5648680, Japan; [Nathan, Sheila; Mahadi, Nor Muhammad] Malaysia Genome Inst, Kajang 43000, Selangor, Malaysia; [Illias, Rosli Md] Univ Teknol Malaysia, Fac Chem &amp; Nat Resources Engn, Dept Bioproc Engn, Skudai 81310, Johor, Malaysia; [Najimudin, Nazalan] Univ Sains Malaysia, Sch Biol Sci, George Town 11800, Malaysia</t>
  </si>
  <si>
    <t>Universiti Kebangsaan Malaysia; Kansai University; Universiti Teknologi Malaysia; Universiti Sains Malaysia</t>
  </si>
  <si>
    <t>Murad, AMA (corresponding author), Univ Kebangsaan Malaysia, Fac Sci &amp; Technol, Sch Biosci &amp; Biotechnol, Bangi 43600, Selangor, Malaysia.</t>
  </si>
  <si>
    <t>hazafazlin@gmail.com; munir@ukm.my</t>
  </si>
  <si>
    <t>Nathan, Sheila/C-1182-2011; Murad, Abdul/CAG-9324-2022; Law, Douglas/E-2449-2019; Abdul Murad, Abdul Munir/L-8575-2017; Najimudin, Nazalan/B-2952-2011</t>
  </si>
  <si>
    <t>Nathan, Sheila/0000-0002-2132-2346; Law, Douglas/0000-0002-7824-3542; Abdul Murad, Abdul Munir/0000-0001-6402-7198; Bharudin, Izwan/0000-0002-8908-4786; Hashim, Noor Haza Fazlin/0000-0002-6385-6469</t>
  </si>
  <si>
    <t>Ministry of Science, Technology and Innovation (MOSTI), Malaysia [UKM-MGI-NBD-0015-2007, 07-05-MGI-GMB014]; Australian Antarctic Division; Malaysian Antarctic Research Programme (MARP) of the Academy of Science, Malaysia</t>
  </si>
  <si>
    <t>Ministry of Science, Technology and Innovation (MOSTI), Malaysia(Ministry of Energy, Science, Technology, Environment and Climate Change (MESTECC), Malaysia); Australian Antarctic Division; Malaysian Antarctic Research Programme (MARP) of the Academy of Science, Malaysia</t>
  </si>
  <si>
    <t>This research was funded by the Ministry of Science, Technology and Innovation (MOSTI), Malaysia under the research grants UKM-MGI-NBD-0015-2007 and 07-05-MGI-GMB014. We acknowledge support given by the Australian Antarctic Division and the Malaysian Antarctic Research Programme (MARP) of the Academy of Science, Malaysia.</t>
  </si>
  <si>
    <t>SPRINGER JAPAN KK</t>
  </si>
  <si>
    <t>SHIROYAMA TRUST TOWER 5F, 4-3-1 TORANOMON, MINATO-KU, TOKYO, 105-6005, JAPAN</t>
  </si>
  <si>
    <t>1431-0651</t>
  </si>
  <si>
    <t>1433-4909</t>
  </si>
  <si>
    <t>Extremophiles</t>
  </si>
  <si>
    <t>10.1007/s00792-012-0494-4</t>
  </si>
  <si>
    <t>060LK</t>
  </si>
  <si>
    <t>WOS:000312779200006</t>
  </si>
  <si>
    <t>Veevers, JJ; Saeed, A</t>
  </si>
  <si>
    <t>Veevers, J. J.; Saeed, A.</t>
  </si>
  <si>
    <t>Age and composition of Antarctic sub-glacial bedrock reflected by detrital zircons, erratics, and recycled microfossils in the Ellsworth Land-Antarctic Peninsula-Weddell Sea-Dronning Maud Land sector (240°E-0°-015°E)</t>
  </si>
  <si>
    <t>GONDWANA RESEARCH</t>
  </si>
  <si>
    <t>Detrital zircons; U-Pb ages; Hf-isotopes; Erratics; Recycled microfossils; Ice-covered Antarctica</t>
  </si>
  <si>
    <t>MARIE-BYRD-LAND; U-PB GEOCHRONOLOGY; ARCHAEOCYATHAN LIMESTONE BLOCKS; PRINCE-CHARLES MOUNTAINS; HOST-ROCK AFFINITY; KING GEORGE ISLAND; T-DM AGES; EAST ANTARCTICA; WEST ANTARCTICA; GRENVILLE-AGE</t>
  </si>
  <si>
    <t>The age and composition of the 14 x 10(6) km(2) of Antarctica's surface obscured by ice is unknown except for some dated detrital minerals and erratics. In remedy, we present four new analyses (U-Pb age, T-DM(C), epsilon Hf, and rock type) of detrital zircons from Neogene turbidites as proxies of Antarctic bedrock, and review published proxies: detrital hornblendes analysed for Ar-Ar age and bulk Sm-Nd isotopes: Pb isotope compositions of detrital K-feldspars: erratics and dropstones that reflect age and composition: and recycled microfossils that reflect age and facies. This work deals with the 240 degrees E-0 degrees-015 degrees E sector, and complements Veevers and Saeed's (2011) analysis of the 70 degrees E-240 degrees E sector. Each sample is located in its ice-drainage basin for backtracking to the potential provenance. Gaps in age between sample and upslope exposure are specifically attributable to the provenance. The major provenance of detritus west of the Antarctic Peninsula (AP) is West Antarctica, and of detritus east of the AP East Antarctica. We confirm that the Central Antarctic provenance about a core of the Gamburtsev Subglacial Mountains (GSM) and the Vostok Subglacial Highlands (VSH) contains a basement that includes igneous (mafic granitoids) and metamorphic rocks with peak U-Pb ages of 0.65-0.50, 1.20-0.9, 2.1-1.9, 2.8-2.6, and 3.35-3.30 Ga, T-DM(C) of 3.6-1.3 Ga, and mainly negative epsilon Hf. The potential provenance of zircons of 650-500 Ma age with T-DM(C) ages of 1.55 Ga, and of zircons of 1200-900 Ma age with positive epsilon Hf lies beneath the ice in East Antarctica south and southeast of Dronning Maud Land within the Antarctic part of the East African-Antarctic Orogen. Zircons with the additional ages of 1.7-1.4 Ga, 2.1-1.9 Ga, and 3.35-3.00 Ga have a potential provenance in the GSM. (c) 2012 International Association for Gondwana Research. Published by Elsevier B.V. All rights reserved.</t>
  </si>
  <si>
    <t>[Veevers, J. J.; Saeed, A.] Macquarie Univ, GEMOC ARC Natl Key Ctr, Dept Earth &amp; Planetary Sci, Sydney, NSW 2109, Australia</t>
  </si>
  <si>
    <t>Macquarie University</t>
  </si>
  <si>
    <t>Veevers, JJ (corresponding author), Macquarie Univ, GEMOC ARC Natl Key Ctr, Dept Earth &amp; Planetary Sci, Sydney, NSW 2109, Australia.</t>
  </si>
  <si>
    <t>john.veevers@mq.edu.au</t>
  </si>
  <si>
    <t>GAU, geochemist/H-1985-2016</t>
  </si>
  <si>
    <t>ARC [DP0344841]; Macquarie University; DEST Systemic Infrastructure Grants; ARC LIEF; NCRIS; Australian Research Council [DP0344841] Funding Source: Australian Research Council</t>
  </si>
  <si>
    <t>ARC(Australian Research Council); Macquarie University; DEST Systemic Infrastructure Grants(Australian GovernmentDepartment of Industry, Innovation and Science); ARC LIEF(Australian Research Council); NCRIS(Australian GovernmentDepartment of Industry, Innovation and Science); Australian Research Council(Australian Research Council)</t>
  </si>
  <si>
    <t>We thank M.J. Flowerdew, P.E. O'Brien, and E. M. Truswell for help with references, A.V. Golynsky and P.E. O'Brien for bedrock elevation data, and M.J. Flowerdew for supplying Excel files of analyses of detrital zircons from West Antarctica. Samples of DSDP and ODP cores were provided from the repositories of the IODP. We are indebted to M.J. Flowerdew, G.L. Leitchenkov, and P.G. Quilty for their insightful reviews. This study is supported by ARC DP0344841 and grants from Macquarie University. The analytical data were obtained by the use of instrumentation funded by DEST Systemic Infrastructure Grants, ARC LIEF, NCRIS, industry partners, and Macquarie University. This is contribution 825 from the Australian Research Council National Key Centre for the Geochemical Evolution and Metallogeny of Continents (http://www.gemoc.mq.edu.au).</t>
  </si>
  <si>
    <t>1342-937X</t>
  </si>
  <si>
    <t>1878-0571</t>
  </si>
  <si>
    <t>GONDWANA RES</t>
  </si>
  <si>
    <t>Gondwana Res.</t>
  </si>
  <si>
    <t>10.1016/j.gr.2012.05.010</t>
  </si>
  <si>
    <t>060AC</t>
  </si>
  <si>
    <t>WOS:000312746000020</t>
  </si>
  <si>
    <t>Smith, JN; Ressler, PH; Warren, JD</t>
  </si>
  <si>
    <t>Smith, Joy N.; Ressler, Patrick H.; Warren, Joseph D.</t>
  </si>
  <si>
    <t>A distorted wave Born approximation target strength model for Bering Sea euphausiids</t>
  </si>
  <si>
    <t>ICES JOURNAL OF MARINE SCIENCE</t>
  </si>
  <si>
    <t>distorted wave Born approximation (DWBA); euphausiids; target strength (TS)</t>
  </si>
  <si>
    <t>ANTARCTIC KRILL; SOUND-SCATTERING; FINITE-LENGTH; ACOUSTIC-SCATTERING; IMPROVED PARAMETERIZATION; PRIBILOF ISLANDS; FLUID CYLINDERS; 120 KHZ; ZOOPLANKTON; ORIENTATION</t>
  </si>
  <si>
    <t>Acoustic surveys monitor euphausiid populations in the Bering Sea because of their importance as prey for walleye pollock and other organisms. Various scattering models exist to convert acoustic backscatter data to estimates of euphausiid numerical density or biomass, but a target strength (TS) model specific to Bering Sea euphausiids has not been available. This study parameterized a distorted wave Born approximation (DWBA) scattering model using physical (length and body shape) and material (density contrast, g, and sound speed contrast, h) properties measured from live euphausiids. All model parameters (length, shape, material properties, orientation) were evaluated for their effect on predicted TS. A polynomial function was used to describe animal shape and produced smaller TS estimates compared to a taper function, as is traditionally used in DWBA scattering models of euphausiids. Animal length was positively correlated with TS, but variations in other parameters (including material properties and orientation) also produced large changes in TS. Large differences in TS between estimates calculated using measured versus literature material property values caused large variations in acoustic estimates of euphausiid numerical densities (animals m 23) which emphasizes the importance of collecting site-specific g and h measurements when possible.</t>
  </si>
  <si>
    <t>[Smith, Joy N.; Warren, Joseph D.] SUNY Stony Brook, Sch Marine &amp; Atmospher Sci, Southampton, NY 11968 USA; [Ressler, Patrick H.] NOAA, Natl Marine Fisheries Serv, Alaska Fisheries Sci Ctr, Resource Assessment &amp; Conservat Engn Div, Seattle, WA 98115 USA</t>
  </si>
  <si>
    <t>State University of New York (SUNY) System; State University of New York (SUNY) Stony Brook; National Oceanic Atmospheric Admin (NOAA) - USA</t>
  </si>
  <si>
    <t>Warren, JD (corresponding author), SUNY Stony Brook, Sch Marine &amp; Atmospher Sci, 239 Montauk Hwy, Southampton, NY 11968 USA.</t>
  </si>
  <si>
    <t>joe.warren@stonybrook.edu</t>
  </si>
  <si>
    <t>Warren, Joseph/Y-4078-2019</t>
  </si>
  <si>
    <t>Alaska Fisheries Science Center, National Marine Fisheries Service, NOAA; North Pacific Research Board's Bering Sea Integrated Ecosystem Research Program</t>
  </si>
  <si>
    <t>This project was supported by the Alaska Fisheries Science Center, National Marine Fisheries Service, NOAA, and the North Pacific Research Board's Bering Sea Integrated Ecosystem Research Program. The captain, crew, and scientists aboard the NOAA ship Oscar Dyson provided excellent logistical support and sampling assistance. Abigail McCarthy helped us greatly with the set up and maintenance of the on board aquaria as well as with the trawl sampling operations. The comments of Dezhang Chu, Kresimir Williams, and several anonymous reviewers helped improve this manuscript. This is NPRB publication number 352 and BEST-BSIERP publication number 64. The findings and conclusions in the paper are those of the authors and do not necessarily represent the views of the National Marine Fisheries Service.</t>
  </si>
  <si>
    <t>1054-3139</t>
  </si>
  <si>
    <t>ICES J MAR SCI</t>
  </si>
  <si>
    <t>ICES J. Mar. Sci.</t>
  </si>
  <si>
    <t>10.1093/icesjms/fss140</t>
  </si>
  <si>
    <t>Fisheries; Marine &amp; Freshwater Biology; Oceanography</t>
  </si>
  <si>
    <t>058OX</t>
  </si>
  <si>
    <t>WOS:000312644500018</t>
  </si>
  <si>
    <t>Cobcroft, JM; Battaglene, SC</t>
  </si>
  <si>
    <t>Cobcroft, J. M.; Battaglene, S. C.</t>
  </si>
  <si>
    <t>Ultraviolet irradiation is an effective alternative to ozonation as a sea water treatment to prevent Kudoa neurophila (Myxozoa: Myxosporea) infection of striped trumpeter, Latris lineata (Forster)</t>
  </si>
  <si>
    <t>JOURNAL OF FISH DISEASES</t>
  </si>
  <si>
    <t>Australia; hydro-optic UV disinfection; infection; Kudoa neurophila; myxozoa; ozone; treatments; water treatment</t>
  </si>
  <si>
    <t>MYXOBOLUS-CEREBRALIS; UV-IRRADIATION; WHIRLING DISEASE; FISH; BACTERIAL; SEAWATER; LARVAE; AQUACULTURE; HATCHERY; MULTIVALVULIDA</t>
  </si>
  <si>
    <t>Myxozoan parasites are known pathogens of cultured finfish. Kudoa neurophila n. comb. (Grossel, Dykova, Handlinger &amp; Munday) has historically infected hatchery-produced striped trumpeter, Latris lineata (Forster in Bloch and Schneider), a candidate species for seacage aquaculture in Australia. We examined the efficacy of four water treatment methods to prevent K. neurophila infection in post-larval (paperfish) and juvenile striped trumpeter. Treatments included dose-controlled ultraviolet irradiation [hydro-optic disinfection (HOD)], ozone with conventional UV (ozone), mechanical filtration at 25 mu m and then foam fractionation (primary filtration), and 50-mu m-filtered sea water (control). In post-larvae (initially 10.3 +/- 2.7 g, mean +/- SD, 259 days post-hatching, dph), the infection prevalence (PCR test) after 51 days was 93 +/- 12% in the control, 100 +/- 0% in primary filtration and 0 +/- 0% in both ozone and HOD. Likewise, in juveniles (initially 114 +/- 18 g, 428 dph), prevalence was 100 +/- 0% in the control and primary filtration treatments with no infection detected in ozone and HOD. Concurrently, there was a 50100% reduction in heterotrophic bacteria and 100% reduction in presumptive Vibrio sp. in sea water HOD and ozone treatments. HOD with a dose of =44 mJ cm-2 UV was as effective as ozonation at &gt;700 mV ORP for 10 min, in preventing K. neurophila infection.</t>
  </si>
  <si>
    <t>[Cobcroft, J. M.; Battaglene, S. C.] Univ Tasmania, Fisheries Aquaculture &amp; Coasts Ctr, Inst Marine &amp; Antarctic Studies, Hobart, Tas 7001, Australia</t>
  </si>
  <si>
    <t>Cobcroft, JM (corresponding author), Univ Tasmania, Fisheries Aquaculture &amp; Coasts Ctr, Inst Marine &amp; Antarctic Studies, Private Bag 49, Hobart, Tas 7001, Australia.</t>
  </si>
  <si>
    <t>jenny.cobcroft@utas.edu.au</t>
  </si>
  <si>
    <t>Cobcroft, Jennifer/E-3331-2013; Battaglene, Stephen C/H-9683-2014</t>
  </si>
  <si>
    <t>Cobcroft, Jennifer/0000-0002-2398-9267;</t>
  </si>
  <si>
    <t>Australian Research Council [LP0882042]; Australian Research Council [LP0882042] Funding Source: Australian Research Council</t>
  </si>
  <si>
    <t>Australian Research Council(Australian Research Council); Australian Research Council(Australian Research Council)</t>
  </si>
  <si>
    <t>We thank the striped trumpeter technical team and students of the IMAS, FACC, particularly Melanie Andrews, Alan Beech, Ross Goldsmid, Tanaz Jungalwalla, Reham Negm, Anna Overweter and Bill Wilkinson, for assistance with husbandry and sampling. Staff of Atlantium, Israel, and Eimco Water Technologies, Australia, commissioned the HOD and provided technical support. Staff of the Tasmanian Government, Fish Health Unit, are thanked for the parasite detection analyses. Catriona Macleod and Sophie Hall-Aspland and two anonymous referees provided helpful comments to improve the manuscript. This study received funding support from the Australian Research Council (LP0882042) and formed part of the IMAS Research Programme to develop new species for aquaculture, employing funds invested by the University of Tasmania and the Tasmanian Government.</t>
  </si>
  <si>
    <t>0140-7775</t>
  </si>
  <si>
    <t>J FISH DIS</t>
  </si>
  <si>
    <t>J. Fish Dis.</t>
  </si>
  <si>
    <t>10.1111/j.1365-2761.2012.01413.x</t>
  </si>
  <si>
    <t>Fisheries; Marine &amp; Freshwater Biology; Veterinary Sciences</t>
  </si>
  <si>
    <t>058QG</t>
  </si>
  <si>
    <t>WOS:000312648100006</t>
  </si>
  <si>
    <t>Rodríguez, E; Orejas, C; López-González, PJ; Gili, JM</t>
  </si>
  <si>
    <t>Rodriguez, E.; Orejas, C.; Lopez-Gonzalez, P. J.; Gili, J. M.</t>
  </si>
  <si>
    <t>Reproduction in the externally brooding sea anemone Epiactis georgiana in the Antarctic Peninsula and the Weddell Sea</t>
  </si>
  <si>
    <t>BODY-SIZE; ASEXUAL REPRODUCTION; LARVAL DEVELOPMENT; MATING SYSTEMS; ADULT SIZE; ACTINIARIA; GROWTH; POPULATION; ANTHOZOA; BIOLOGY</t>
  </si>
  <si>
    <t>External parental care is uncommon among actiniarians but common in Epiactis species. Here, several aspects of reproduction are analyzed for of one of them, Epiactis georgiana. Samples were collected in December, January, February, March, and April in the Antarctic Peninsula and the eastern Weddell Sea, during 1998, 2000, 2002, and 2003. Most sexually mature individuals of E. georgiana are male or female, but some are hermaphrodites. This is the first report of hermaphroditism in E. georgiana, which is the third species of the genus with this sexual pattern. The results suggest that oogenesis starts in December and that at least two generations of oocytes overlap; a third generation is often brooded externally. Putative fertilization is likely internal, and larvae and/or embryos are externally brooded on the distal part of the adult column until an advanced developmental stage. Apparently E. georgiana reproduces seasonally, probably releasing the embryos/larvae in the last months of the austral spring (December). Inter-individual variability was observed in gametogenesis. In addition, specimens from the Antarctic Peninsula were larger than those from the Weddell Sea. This study represents the first step in understanding the reproductive mode of E. georgiana.</t>
  </si>
  <si>
    <t>[Rodriguez, E.] Amer Museum Nat Hist, Div Invertebrate Zool, New York, NY 10024 USA; [Orejas, C.] Ctr Oceanog Baleares, Inst Espanol Oceanog, Palma De Mallorca 07015, Spain; [Lopez-Gonzalez, P. J.] Univ Seville, Fac Biol, Dept Fisiol &amp; Zool, E-41012 Seville, Spain; [Gili, J. M.] CSIC, Inst Ciencies Mar, Dept Biol Marina &amp; Oceanog, E-08003 Barcelona, Spain</t>
  </si>
  <si>
    <t>American Museum of Natural History (AMNH); Spanish Institute of Oceanography; University of Sevilla; Consejo Superior de Investigaciones Cientificas (CSIC); CSIC - Centro Mediterraneo de Investigaciones Marinas y Ambientales (CMIMA); CSIC - Instituto de Ciencias del Mar (ICM)</t>
  </si>
  <si>
    <t>Rodríguez, E (corresponding author), Amer Museum Nat Hist, Div Invertebrate Zool, Cent Pk W &amp; 79th St, New York, NY 10024 USA.</t>
  </si>
  <si>
    <t>erodriguez@amnh.org</t>
  </si>
  <si>
    <t>Orejas, Covadonga/B-1644-2012; Lopez-González, Pablo J./Y-6440-2018; Rodríguez, Estefanía/AAK-4634-2021</t>
  </si>
  <si>
    <t>Lopez-González, Pablo J./0000-0002-7348-6270; Rodríguez, Estefanía/0000-0002-5590-6606; Orejas Saco del Valle, Covadonga/0000-0002-2580-1002</t>
  </si>
  <si>
    <t>MCT-CSIC [I3P-BPD2001-1]; E. Rodriguez and Spanish CICYT [ANT97-1533-E, ANT98-1739-E, ANT99-1608-E, REN2001-4269-E/ANT, REN2003-04236, CGL2004-20141-E]</t>
  </si>
  <si>
    <t>MCT-CSIC; E. Rodriguez and Spanish CICYT</t>
  </si>
  <si>
    <t>Special thanks are addressed to Prof. Dr. Wolf Arntz (Alfred-Wegener-Institute, Bremerhaven, Germany) who made possible our participation in several Antarctic projects and cruises. We extend our acknowledgements to the officers and crew of the R/V Polarstern and many colleagues on board during the EASIZ, AN-DEEP, and BENDEX cruises for their valuable assistance. Thanks to M. Conradi (Universidad de Sevilla) who collected a considerable amount of the material analyzed in this manuscript. Comments from M. Daly, D. Fautin, and an anonymous reviewer substantially improved this manuscript. Support was provided by a MCT-CSIC grant (I3P-BPD2001-1) to E. Rodriguez and Spanish CICYT projects: ANT97-1533-E, ANT98-1739-E, ANT99-1608-E, REN2001-4269-E/ANT, REN2003-04236, and CGL2004-20141-E. This is a contribution to the SCAR program, Ecology of the Antarctic Sea Ice Zone (EASIZ) and ANDEEP contribution 159.</t>
  </si>
  <si>
    <t>10.1007/s00227-012-2063-x</t>
  </si>
  <si>
    <t>064CD</t>
  </si>
  <si>
    <t>WOS:000313047600007</t>
  </si>
  <si>
    <t>Taboada, S; Núñez-Pons, L; Avila, C</t>
  </si>
  <si>
    <t>Taboada, Sergi; Nunez-Pons, Laura; Avila, Conxita</t>
  </si>
  <si>
    <t>Feeding repellence of Antarctic and sub-Antarctic benthic invertebrates against the omnivorous sea star Odontaster validus</t>
  </si>
  <si>
    <t>Chemical defense; Repellency assays; Predation; Weddell Sea; Bouvet Island; Optimal defense theory</t>
  </si>
  <si>
    <t>CHEMICAL DEFENSE; SOUTHERN-OCEAN; BIOCHEMICAL-COMPOSITION; OPISTHOBRANCH MOLLUSKS; SECONDARY METABOLITES; ENERGETIC COMPOSITION; POPULATION BIOLOGY; MARINE; ECOLOGY; PALATABILITY</t>
  </si>
  <si>
    <t>Antarctic and sub-Antarctic benthic invertebrates are subjected to intense predation by mobile macroinvertebrates. Accordingly, chemical protection as well as other defensive mechanisms are expected to be common in organisms inhabiting these ecosystems. In order to evaluate anti-predation activities and allocation of chemical defenses within the anatomy of marine benthic Antarctic and sub-Antarctic invertebrates, 55 species were tested for feeding repellence against the sea star Odontaster validus, a common eurybathic sympatric predator. The invertebrates tested were collected from the deep waters of two poorly surveyed areas in terms of chemical ecology studies: the eastern Weddell Sea (Antarctica) and the vicinities of Bouvet Island (sub-Antarctica). Experiments were conducted at the Spanish Antarctic Base in Deception Island. In the feeding deterrence experiments, shrimp pieces were treated with crude lipophilic fractions obtained from each species, and were offered to the sea stars. A total of 29 species (53 %) from 7 different phyla (Porifera, Cnidaria, Chordata, Bryozoa, Echinodermata, Mollusca, and Annelida) showed feeding repellence against O. validus, and are therefore chemically protected against this keystone predator. Furthermore, 25 species were dissected into parts to investigate the possible allocation of defensive compounds. Some of the results obtained from these analyses support the prediction that the most exposed/vulnerable tissues concentrate chemical defenses to avoid predation against the sea stars. In summary, the results obtained in our survey support the hypothesis that deep-water Antarctic and sub-Antarctic benthic invertebrates are well protected chemically against sympatric predators, similarly to what has been reported in previous studies investigating shallow-water Antarctic species.</t>
  </si>
  <si>
    <t>[Taboada, Sergi; Nunez-Pons, Laura; Avila, Conxita] Univ Barcelona, Fac Biol, Depto Anim Biol, E-08028 Barcelona, Spain</t>
  </si>
  <si>
    <t>University of Barcelona</t>
  </si>
  <si>
    <t>Taboada, S (corresponding author), Univ Barcelona, Fac Biol, Depto Anim Biol, Avda Diagonal 643, E-08028 Barcelona, Spain.</t>
  </si>
  <si>
    <t>staboada@ub.edu</t>
  </si>
  <si>
    <t>Avila, Conxita/B-9466-2008; Taboada, Sergi/AAB-9390-2021</t>
  </si>
  <si>
    <t>Avila, Conxita/0000-0002-5489-8376; Taboada, Sergi/0000-0003-1669-1152</t>
  </si>
  <si>
    <t>Ministry of Science and Innovation of Spain through ECOQUIM [REN2003-00545, REN2002-12006E, CGL2004-03356/ANT]; Ministry of Science and Innovation of Spain through ACTIQUIM [CGL2007-65453/ANT]</t>
  </si>
  <si>
    <t>Ministry of Science and Innovation of Spain through ECOQUIM; Ministry of Science and Innovation of Spain through ACTIQUIM</t>
  </si>
  <si>
    <t>We are deeply obliged to W. Arntz, T. Brey, and the crew of R/V Polarstern for their support during the cruise ANT XXI/2. Thanks are also due to the Bentart team, especially to A. Ramos, I. Olaso, G. Garcia-Castrillo, J. Matallanas, A. A. Ramos-Espla, F. Ramil, C. Gambi, P. Rios, and C. SanVicente, for their help on board the BIO Hesperides, and the scuba divers F. J. Cristobo, M. Ballesteros and J. A. Moya, during the ECOQUIM-2 cruise. Crews from the Unidad de Tecnologia Marina (CSIC), the Las Palmas, the BIO-Hesperides as well as from the Gabriel de Castilla Spanish Antarctic Base provided logistic support during the ECOQUIM-2 cruise. Thanks are also due to J. Vazquez, M. Nappo, Y. Grzymbowski, and M. Planells for their help in the laboratory, and M. Ballesteros, P. Rios, F. J. Cristobo, M. Varela, M. Edo, B. Figuerola, N. Anadon, A. Bosch, and A. A. Ramos-Espla for their help in the taxonomical identification of the samples. The helpful comments on the manuscript of C. D. Amsler and A. Riesgo are also greatly acknowledged, as well as those from P. Dayton, G. Cimino and an anonymous reviewer. Funding was provided by the Ministry of Science and Innovation of Spain through the ECOQUIM (REN2003-00545, REN2002-12006E ANT and CGL2004-03356/ANT), and ACTIQUIM (CGL2007-65453/ANT) projects.</t>
  </si>
  <si>
    <t>10.1007/s00300-012-1234-z</t>
  </si>
  <si>
    <t>059TZ</t>
  </si>
  <si>
    <t>WOS:000312729700002</t>
  </si>
  <si>
    <t>Majewska, R; Gambi, MC; Totti, CM; Pennesi, C; De Stefano, M</t>
  </si>
  <si>
    <t>Majewska, Roksana; Gambi, Maria Cristina; Totti, Cecilia Maria; Pennesi, Chiara; De Stefano, Mario</t>
  </si>
  <si>
    <t>Growth form analysis of epiphytic diatom communities of Terra Nova Bay (Ross Sea, Antarctica)</t>
  </si>
  <si>
    <t>Marine epiphytic diatoms; Antarctica; Growth form; Macroalgae; SEM</t>
  </si>
  <si>
    <t>MCMURDO-STATION; CASEY STATION; MARINE; ASSEMBLAGES; ENVIRONMENT; POLLUTION; BIOMASS; WATERS; ISLAND; SOUND</t>
  </si>
  <si>
    <t>Diatoms have been long collected from the Southern Ocean but almost no data exist for epiphytic communities, despite their high ecological significance as an important food source in Antarctic coastal food chains. Here, we present a first growth form analysis of diatoms associated with rhodophyte hosts from Terra Nova Bay, Ross Sea, Antarctica. We performed this study to gather baseline information on the species composition of epiphytic diatom communities, determine the influence of some environmental variables on the diatom distribution patterns, and assess the caveats that must be taken into account in terms of sampling design. Macroalgal material was collected during the Italian Antarctic expeditions between 1990 and 2004. Epiphytic diatoms were studied by means of scanning electron microscopy. In terms of growth forms, there were no significant differences between the diatom communities on the different macroalgal host species. Motile (mainly small-celled Navicula perminuta and other Navicula spp.) and adnate (Cocconeis spp.) diatoms dominated the community throughout the study period. Many of the macroalgal blades examined were also covered by epiphytic animals (calcareous bryozoans, hydroids) over most of their surface, with a significant effect on the associated diatom community structure. Our findings suggest that the bio-physicochemical characteristics of each sampling site affected the epiphytic diatom communities more than the substrate type provided by the macroalgal host or the sampling depth.</t>
  </si>
  <si>
    <t>[Majewska, Roksana; De Stefano, Mario] Univ Naples 2, I-81100 Caserta, Italy; [Gambi, Maria Cristina] Stn Zool A Dohrn, I-80077 Naples, Italy; [Totti, Cecilia Maria; Pennesi, Chiara] Marche Polytech Univ, I-60121 Ancona, Italy</t>
  </si>
  <si>
    <t>Universita della Campania Vanvitelli; Stazione Zoologica Anton Dohrn di Napoli; Marche Polytechnic University</t>
  </si>
  <si>
    <t>Majewska, R (corresponding author), Univ Naples 2, I-81100 Caserta, Italy.</t>
  </si>
  <si>
    <t>roksana.majewska@unina2.it</t>
  </si>
  <si>
    <t>Pennesi, Chiara/B-7786-2013; Gambi, Maria Cristina/AFO-0958-2022; Majewska, Roksana/P-1280-2015; Gambi, Maria Cristina/L-8246-2014; TOTTI, Cecilia Maria/A-9178-2016</t>
  </si>
  <si>
    <t>Majewska, Roksana/0000-0003-2681-4304; Pennesi, Chiara/0000-0002-5774-2190; DE STEFANO, Mario/0000-0003-0342-192X; Gambi, Maria Cristina/0000-0002-0168-776X; TOTTI, Cecilia Maria/0000-0002-1532-6009</t>
  </si>
  <si>
    <t>Second University of Naples; Italian National Program of Research in Antarctica (PNRA); National Research Council (CNR)</t>
  </si>
  <si>
    <t>Second University of Naples; Italian National Program of Research in Antarctica (PNRA)(Ministry of Education, Universities and Research (MIUR)); National Research Council (CNR)(Consiglio Nazionale delle Ricerche (CNR))</t>
  </si>
  <si>
    <t>We wish to thank all colleagues who contributed to the collection of macroalgae from Terra Nova Bay during the austral summers considered in this study: Buia M. C. (collection in 1995); Nigro M. and Regoli F. (1997/1998, 1999/2000), Micaletto G. (2000/2001), Piraino S. (2001/2002), and Patti F. P. (2004). We recall here with affection Lucia Mazzella (1947-1999), who collected the samples in the austral summer of 1993/1994 and contributed initially to the study of benthic diatoms at Terra Nova Bay. This study was financially supported by the Second University of Naples as part of a PhD thesis and by Italian National Program of Research in Antarctica (PNRA) with the coordination of the National Research Council (CNR).</t>
  </si>
  <si>
    <t>10.1007/s00300-012-1240-1</t>
  </si>
  <si>
    <t>WOS:000312729700007</t>
  </si>
  <si>
    <t>Scott, JJ; Kirkpatrick, JB</t>
  </si>
  <si>
    <t>Scott, J. J.; Kirkpatrick, J. B.</t>
  </si>
  <si>
    <t>Changes in the cover of plant species associated with climate change and grazing pressure on the Macquarie Island coastal slopes, 1980-2009</t>
  </si>
  <si>
    <t>Subantarctic; Vegetation disturbance; Long-term monitoring; Rabbit grazing; Climate change</t>
  </si>
  <si>
    <t>VEGETATION CHANGE; RATTUS-RATTUS; RABBIT; MANAGEMENT; RECOVERY; FIRE</t>
  </si>
  <si>
    <t>Climate change and alien species have affected the vegetation of subantarctic islands. Long-term monitoring of vegetation change on the steep coastal slopes of subantarctic Macquarie Island has allowed responses of plant species to various disturbance regimes to be well documented, although, until recently, the confounding effect of feral herbivore disturbance obscured any responses that might be attributed to climate change. The uncoupling of climate change from variation in feral rabbit numbers allowed us to test whether any plant species were increasing or decreasing on the coastal slopes of the island between 1980 and 2009, independent of rabbit grazing pressure. We used analysis of variance to test for differences in species cover classes between four measurement times on each of 101 quadrats in each of 1980/1981, 1995, 2003 and 2009. We had 54 quadrats on landslips and 47 elsewhere. Approximately two-thirds of the species with significant temporal change exhibited changes that could be expected from variation in rabbit grazing pressure. However, approximately one-third of the species increased in cover irrespective of grazing pressure. On landslips, variation in the cover of these increaser species was largely related to time in a linear mixed model, whereas elsewhere altitude and time were both important. The increase in both atmospheric dryness and episodic soil water-logging that has been described for the island since 1980 may best explain the increaser species.</t>
  </si>
  <si>
    <t>[Scott, J. J.; Kirkpatrick, J. B.] Univ Tasmania, Sch Geog &amp; Environm Studies, Hobart, Tas 7001, Australia</t>
  </si>
  <si>
    <t>Kirkpatrick, JB (corresponding author), Univ Tasmania, Sch Geog &amp; Environm Studies, Private Bag 78, Hobart, Tas 7001, Australia.</t>
  </si>
  <si>
    <t>J.Kirkpatrick@utas.edu.au</t>
  </si>
  <si>
    <t>Kirkpatrick, James/0000-0003-2763-2692</t>
  </si>
  <si>
    <t>Australian Antarctic Division under ASAC [2137]</t>
  </si>
  <si>
    <t>Australian Antarctic Division under ASAC</t>
  </si>
  <si>
    <t>We thank the Tasmanian Parks and Wildlife Service for permission to visit the island, and the Australian Antarctic Division for project and logistic support and for funding assistance under ASAC Project 2137, over the many years of visits for this project. Thanks to those who helped JJS in the field on various occasions and discussed at length the issues of rabbits and vegetation, and to all the Parks rangers who have taken part in the photo-monitoring work.</t>
  </si>
  <si>
    <t>10.1007/s00300-012-1243-y</t>
  </si>
  <si>
    <t>WOS:000312729700010</t>
  </si>
  <si>
    <t>Gao, T; Jiang, XG; Hu, YH</t>
  </si>
  <si>
    <t>Gao, Tao; Jiang, Xuegong; Hu, Yinghua</t>
  </si>
  <si>
    <t>Climate condition of the significant precipitation decrease over the middle-eastern region of Inner Mongolia, China in recent 10 years (2001-2010)</t>
  </si>
  <si>
    <t>THEORETICAL AND APPLIED CLIMATOLOGY</t>
  </si>
  <si>
    <t>ANTARCTIC OSCILLATION; VARIABILITY; SUMMER; TEMPERATURE</t>
  </si>
  <si>
    <t>Compared to the 50-year mean climatological value (1961-2010), the precipitation of middle-eastern Inner Mongolia exhibited a significant decrease during the past 10 years (2001-2010). To identify the climatic causes, a comprehensive investigation was conducted by inspecting climatic factors from this 50-year period, which appear to work together in connecting closely to the precipitation. Significant positive correlations with precipitation were found in sea level pressure (SLP) difference between the area of (30A degrees N-20A degrees S; 50-160A degrees E) and the northeastern Pacific Ocean, between the Northern Atlantic and the northeastern Pacific Oceans, and sea surface temperature difference between the northeastern and northwestern Pacific in the previous year, while negative connections were found in the 500-hPa temperature difference between the Antarctic and the belt region around 60A degrees S. During the period of 2001-2010, East Asia was prevailingly controlled by a huge high, which was regarded as one of unfavorable factors for producing rain or snow. Other factors were the enlarged 500 hPa temperature differences between the Antarctic and the zones around 60A degrees S and the Equator, the negative SLP difference between the East Asia, northern Atlantic, and Pacific Oceans. Finally, the unique wind flows and associated moisture transports also played a key role in the precipitation reduction for the first decade of the twenty-first century.</t>
  </si>
  <si>
    <t>[Gao, Tao] Inner Mongolia Meteorol Inst, Hohhot 010051, Inner Mongolia, Peoples R China; [Gao, Tao] Inner Mongolia Agr Univ, Hohhot 010018, Peoples R China; [Jiang, Xuegong; Hu, Yinghua] Observ Inner Mongolia, Hohhot 010051, Peoples R China</t>
  </si>
  <si>
    <t>Inner Mongolia Agricultural University</t>
  </si>
  <si>
    <t>Gao, T (corresponding author), Inner Mongolia Meteorol Inst, Xinchengqu Hailaer Str 49, Hohhot 010051, Inner Mongolia, Peoples R China.</t>
  </si>
  <si>
    <t>Fraotao@yahoo.com</t>
  </si>
  <si>
    <t>hu, ying/IVV-6516-2023</t>
  </si>
  <si>
    <t>National Natural Science Foundation of China [40965007]; Natural Science Foundation of Inner Mongolia [2010Zd17]</t>
  </si>
  <si>
    <t>National Natural Science Foundation of China(National Natural Science Foundation of China (NSFC)); Natural Science Foundation of Inner Mongolia</t>
  </si>
  <si>
    <t>The first author would like to acknowledge Mr. Ray P. Kenderdine and Ms. Fangting Yu for proofreading the draft. She would also like to thank the anonymous reviewers and the editors for providing helpful comments and suggestions in revising this paper. This study is supported by National Natural Science Foundation of China (no. 40965007) and Natural Science Foundation of Inner Mongolia (no. 2010Zd17).</t>
  </si>
  <si>
    <t>SPRINGER WIEN</t>
  </si>
  <si>
    <t>WIEN</t>
  </si>
  <si>
    <t>SACHSENPLATZ 4-6, PO BOX 89, A-1201 WIEN, AUSTRIA</t>
  </si>
  <si>
    <t>0177-798X</t>
  </si>
  <si>
    <t>THEOR APPL CLIMATOL</t>
  </si>
  <si>
    <t>Theor. Appl. Climatol.</t>
  </si>
  <si>
    <t>10.1007/s00704-012-0645-7</t>
  </si>
  <si>
    <t>065DN</t>
  </si>
  <si>
    <t>WOS:000313128200021</t>
  </si>
  <si>
    <t>Hu, RJ; Wei, M</t>
  </si>
  <si>
    <t>Hu Ruijin; Wei Meng</t>
  </si>
  <si>
    <t>Intraseasonal oscillation in global ocean temperature inferred from Argo</t>
  </si>
  <si>
    <t>ADVANCES IN ATMOSPHERIC SCIENCES</t>
  </si>
  <si>
    <t>temperature; global ocean; intraseasonal oscillation; Argo</t>
  </si>
  <si>
    <t>MADDEN-JULIAN OSCILLATION; EQUATORIAL INDIAN-OCEAN; DEEP-OCEAN; VARIABILITY; CIRCULATION; PACIFIC; ATMOSPHERE; DYNAMICS; SUMMER; SEA</t>
  </si>
  <si>
    <t>The intraseasonal oscillation (ISO; 14-97-day periods) of temperature in the upper 2000 m of the global ocean was studied based on Argo observations from 2003-2008. It is shown that near the surface the ISO existed mainly in a band east of 60A degrees E, between 10A degrees S and 10A degrees N, and the region around the Antarctic Circumpolar Current (ACC). At other levels analyzed, the ISOs also existed in the regions of the Kuroshio, the Gulf Stream, the Indonesian throughflow, the Somalia current, and the subtropical countercurrent (STCC) of the North Pacific. The intraseasonal signals can be seen even at depths of about 2000 m in some regions of the global ocean. The largest amplitude of ISO appeared at the thermocline of the equatorial Pacific, Atlantic and Indian Ocean, with maximum standard deviation (STD) exceeding 1.2A degrees C. The ACC, the Kuroshio, and the Gulf Stream regions all exhibited large STD for all levels analyzed. Especially at 1000 m, the largest STD appeared in the south and southeast of South Africa-a part of the ACC, with a maximum value that reached 0.5A degrees C. The ratios of the intraseasonal temperature variance to the total variance at 1000 m and at the equator indicated that, in a considerable part of the global deep ocean, the ISO was dominant in the variations of temperature, since such a ratio exceeded even 50% there. A case study also confirmed the existence of the ISO in the deep ocean. These results provide useful information for the design of field observations in the global ocean. Analysis and discussion are also given for the mechanism of the ISO.</t>
  </si>
  <si>
    <t>[Hu Ruijin] Ocean Univ China, Phys Oceanog Lab, Qingdao 266100, Peoples R China; [Hu Ruijin] Ocean Univ China, Ocean Atmosphere Interact &amp; Climate Lab, Qingdao 266100, Peoples R China; [Wei Meng] Jiaozhou Meteorol Bur, Qingdao 266300, Peoples R China</t>
  </si>
  <si>
    <t>Ocean University of China; Ocean University of China</t>
  </si>
  <si>
    <t>Hu, RJ (corresponding author), Ocean Univ China, Phys Oceanog Lab, Qingdao 266100, Peoples R China.</t>
  </si>
  <si>
    <t>huruijin@ouc.edu.cn</t>
  </si>
  <si>
    <t>NASA Ocean Vector Winds Science Team; National Basic Research Program of China [2007CB816004]; National Natural Science Foundation of China [41076004, 40830106, 40921004]</t>
  </si>
  <si>
    <t>NASA Ocean Vector Winds Science Team(National Aeronautics &amp; Space Administration (NASA)); National Basic Research Program of China(National Basic Research Program of China); National Natural Science Foundation of China(National Natural Science Foundation of China (NSFC))</t>
  </si>
  <si>
    <t>The gridded Argo data were provided by the Coriolis Data Center, France. Argo is a pilot program of the Global Ocean Observing System. QuikScat data are produced by Remote Sensing Systems and sponsored by the NASA Ocean Vector Winds Science Team. Data are available at www.remss.com. Sea surface height anomalies data were provided by AVISO, CLS, France. This study was supported by the National Basic Research Program of China (2007CB816004) and the National Natural Science Foundation of China (Grant Nos. 41076004, 40830106 and 40921004).</t>
  </si>
  <si>
    <t>0256-1530</t>
  </si>
  <si>
    <t>1861-9533</t>
  </si>
  <si>
    <t>ADV ATMOS SCI</t>
  </si>
  <si>
    <t>Adv. Atmos. Sci.</t>
  </si>
  <si>
    <t>10.1007/s00376-012-2045-4</t>
  </si>
  <si>
    <t>058LY</t>
  </si>
  <si>
    <t>WOS:000312636500004</t>
  </si>
  <si>
    <t>Liu, S; Wang, HJ</t>
  </si>
  <si>
    <t>Liu Shan; Wang Huijun</t>
  </si>
  <si>
    <t>Transition of zonal asymmetry of the Arctic Oscillation and the Antarctic Oscillation at the end of 1970s</t>
  </si>
  <si>
    <t>AO; AAO; zonal asymmetry; interdecadal change; seasonal variations</t>
  </si>
  <si>
    <t>RIVER VALLEY; VARIABILITY; FREQUENCY; YANGTZE</t>
  </si>
  <si>
    <t>In this study, the interdecadal changes in the zonal symmetry of both Arctic Oscillation (AO) and Antarctic Oscillation (AAO) were analyzed. To describe the zonal asymmetry, a local index of AO and AAO was defined using the normalized sea level pressure (SLP) differences between 40A degrees and 65A degrees (latitudes) in both hemispheres. The zonal covariability of local AO and AAO can well represent the zonal symmetry of AO and AAO. Results show that the zonal asymmetry of both AO and AAO significantly changed in the late 1970s. AO was less asymmetric in the zonal direction in the boreal winter season during the latter period, while in the boreal summer it became more asymmetric after 1979. The zonal symmetry of AAO in both austral summer and winter has also significantly decreased since the late 1970s. These changes may imply interdecadal transition in the atmospheric circulation at middle and high latitudes, which is of vital importance to understanding climate variability and predictability across the globe, including the African-Asian-Australian monsoon regions.</t>
  </si>
  <si>
    <t>[Liu Shan; Wang Huijun] Chinese Acad Sci, Inst Atmospher Phys, Nansen Zhu Int Res Ctr, Beijing 100029, Peoples R China; [Liu Shan; Wang Huijun] Chinese Acad Sci, Climate Change Res Ctr, Beijing 100029, Peoples R China; [Liu Shan] Univ Chinese Acad Sci, Beijing 100049, Peoples R China</t>
  </si>
  <si>
    <t>Chinese Academy of Sciences; Institute of Atmospheric Physics, CAS; Chinese Academy of Sciences; Chinese Academy of Sciences; University of Chinese Academy of Sciences, CAS</t>
  </si>
  <si>
    <t>Liu, S (corresponding author), Chinese Acad Sci, Inst Atmospher Phys, Nansen Zhu Int Res Ctr, Beijing 100029, Peoples R China.</t>
  </si>
  <si>
    <t>liushan@mail.iap.ac.cn</t>
  </si>
  <si>
    <t>National Natural Science Foundations of China [41130103]; 973 Program [2009CB421406, 2012CB955401]</t>
  </si>
  <si>
    <t>National Natural Science Foundations of China(National Natural Science Foundation of China (NSFC)); 973 Program(National Basic Research Program of China)</t>
  </si>
  <si>
    <t>This research was jointly supported by National Natural Science Foundations of China (Grant No. 41130103) and the 973 Program (Grant Nos. 2009CB421406 and 2012CB955401).</t>
  </si>
  <si>
    <t>10.1007/s00376-012-2027-6</t>
  </si>
  <si>
    <t>WOS:000312636500005</t>
  </si>
  <si>
    <t>Hobbs, RS; Fletcher, GL</t>
  </si>
  <si>
    <t>Hobbs, Rod S.; Fletcher, Garth L.</t>
  </si>
  <si>
    <t>Epithelial dominant expression of antifreeze proteins in cunner suggests recent entry into a high freeze-risk ecozone</t>
  </si>
  <si>
    <t>COMPARATIVE BIOCHEMISTRY AND PHYSIOLOGY A-MOLECULAR &amp; INTEGRATIVE PHYSIOLOGY</t>
  </si>
  <si>
    <t>cDNA; Gene expression; Southern blots; Northern blots; Evolution; Glaciation; Tautogolabrus adspersus; Tautogolabrus onitis</t>
  </si>
  <si>
    <t>FLOUNDER PSEUDOPLEURONECTES-AMERICANUS; RETICULUM-GOLGI-COMPLEX; WINTER FLOUNDER; SKIN-TYPE; TAUTOGOLABRUS-ADSPERSUS; ATLANTIC SNAILFISH; SHORTHORN SCULPIN; SECRETORY SIGNAL; LONGHORN SCULPIN; ANTARCTIC FISH</t>
  </si>
  <si>
    <t>Most marine teleost fishes residing in a high freeze-risk ecozone, such as the coastal waters of Newfoundland during winter, avoid freezing by secreting high concentrations of antifreeze proteins (AFP) into their blood plasma where they can bind to and prevent the growth of ice that enter the fish. Cunner (Tautogolabrus adspersus), which overwinter in such shallow waters are the only known exception. Although this species does produce type I AFP, the plasma levels are too low to be of value as a freeze protectant. Southern and Northern blot analyses carried out in this study establish that the cunner AFP genes belong to a multigene family that is predominantly expressed in external epithelia (skin and gill filaments). These results support the hypothesis that the survival of cunner in icy waters is attributable in part to epithelial AFP that help block ice propagation into their interior milieu. In contrast to the cunner, heterospecifics occupying the same habitat have greater freeze protection because they produce AFP in the liver for export to the plasma as well as in external epithelia. Since the external epithelia would be the first tissue to come into contact with ice it is possible that one of the earliest steps involved in the evolution of freeze resistant fish could have been the expression of AFP in tissues such as the skin. We suggest that this epithelial-dominant AFP expression represents a primitive stage in AFP evolution and propose that cunner began to inhabit freeze-risk ecozones more recently than heterospecifics. (C) 2012 Elsevier Inc. All rights reserved.</t>
  </si>
  <si>
    <t>[Hobbs, Rod S.; Fletcher, Garth L.] Mem Univ Newfoundland, Dept Ocean Sci, St John, NF A1C 5S7, Canada</t>
  </si>
  <si>
    <t>Memorial University Newfoundland</t>
  </si>
  <si>
    <t>Fletcher, GL (corresponding author), Mem Univ Newfoundland, Dept Ocean Sci, St John, NF A1C 5S7, Canada.</t>
  </si>
  <si>
    <t>fletcher@mun.ca</t>
  </si>
  <si>
    <t>NSERC [6836-06]</t>
  </si>
  <si>
    <t>NSERC(Natural Sciences and Engineering Research Council of Canada (NSERC))</t>
  </si>
  <si>
    <t>We thank the Ocean Sciences Centre's Field services dive team for collecting the cunner and bringing them in healthy condition to the laboratory. We also thank the Marine Biological Laboratory, Wood's Hole, MA, for the collecting and tissue sampling of the tautog samples. This research was supported by an NSERC grant (6836-06) to GLF.</t>
  </si>
  <si>
    <t>ELSEVIER SCIENCE INC</t>
  </si>
  <si>
    <t>360 PARK AVE SOUTH, NEW YORK, NY 10010-1710 USA</t>
  </si>
  <si>
    <t>1095-6433</t>
  </si>
  <si>
    <t>COMP BIOCHEM PHYS A</t>
  </si>
  <si>
    <t>Comp. Biochem. Physiol. A-Mol. Integr. Physiol.</t>
  </si>
  <si>
    <t>10.1016/j.cbpa.2012.10.017</t>
  </si>
  <si>
    <t>Biochemistry &amp; Molecular Biology; Physiology; Zoology</t>
  </si>
  <si>
    <t>055MS</t>
  </si>
  <si>
    <t>WOS:000312421400015</t>
  </si>
  <si>
    <t>Enzor, LA; Zippay, ML; Place, SP</t>
  </si>
  <si>
    <t>Enzor, Laura A.; Zippay, Mackenzie L.; Place, Sean P.</t>
  </si>
  <si>
    <t>High latitude fish in a high CO2 world: Synergistic effects of elevated temperature and carbon dioxide on the metabolic rates of Antarctic notothenioids</t>
  </si>
  <si>
    <t>Ocean acidification; Metabolic rate; Respiration; Stress; Notothenioid; Fish; Antarctica</t>
  </si>
  <si>
    <t>TROPICAL MARINE FISH; SALAR L. SMOLTS; OCEAN ACIDIFICATION; PAGOTHENIA-BORCHGREVINKI; COLD ADAPTATION; CLIMATE-CHANGE; TREMATOMUS BERNACCHII; FAMILY NOTOTHENIIDAE; OXYGEN-CONSUMPTION; EXPRESSION</t>
  </si>
  <si>
    <t>Although the physiological response of teleost fishes to increased temperature has been well documented, there is only a small body of literature that examines the effects of ocean acidification on fish under ecologically relevant scenarios. Furthermore, little data exists which examines the possible synergistic effects of increased sea surface temperatures and pCO(2) levels, although it is well established that both will co-committedly change in the coming centuries. In this study we examined the effects of increased temperature, increased pCO(2), and a combination of these treatments on the resting metabolic rate (RMR) of four species of notothenioid fish, Trematomus bernacchii, T. hansoni, T. newnesi, and Pagothenia borchgrevinki, acclimated to treatment conditions for 7, 14 or 28 days. While most species appear capable of rapidly acclimating to increased pCO(2), temperature continues to impact RMRs for up to 28 days. One species in particular. T. newnesi, displayed no acclimatory response to any of the treatments regardless of acclimation time and may have a reduced capacity to respond to environmental change. Furthermore, we present evidence that temperature and pCO(2) act synergistically to further elevate the RMR and slow acclimation when compared to temperature or pCO(2) increases alone. (C) 2012 Elsevier Inc. All rights reserved.</t>
  </si>
  <si>
    <t>[Enzor, Laura A.; Place, Sean P.] Univ S Carolina, Dept Biol Sci, Columbia, SC 29208 USA; [Zippay, Mackenzie L.; Place, Sean P.] Univ S Carolina, Environm &amp; Sustainabil Program, Columbia, SC 29208 USA</t>
  </si>
  <si>
    <t>University of South Carolina System; University of South Carolina Columbia; University of South Carolina System; University of South Carolina Columbia</t>
  </si>
  <si>
    <t>Place, SP (corresponding author), Univ S Carolina, Dept Biol Sci, Columbia, SC 29208 USA.</t>
  </si>
  <si>
    <t>places@mailbox.sc.edu</t>
  </si>
  <si>
    <t>National Science Foundation (NSF) [ANT-1040945]; Directorate For Geosciences; Office of Polar Programs (OPP) [1447291] Funding Source: National Science Foundation; Office of Polar Programs (OPP); Directorate For Geosciences [1040945] Funding Source: National Science Foundation</t>
  </si>
  <si>
    <t>National Science Foundation (NSF)(National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</si>
  <si>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are indebted to many individuals who assisted us during the course of this project. In particular, we thank Dr. Jeff Dudycha for assistance in obtaining Antarctic specimens. We would also like to thank the United States Antarctic Program and Raytheon Polar Services Corporation for logistical and field support at McMurdo Station. This research was supported by a National Science Foundation (NSF) Grant (ANT-1040945) to S. P. Place.</t>
  </si>
  <si>
    <t>10.1016/j.cbpa.2012.07.016</t>
  </si>
  <si>
    <t>WOS:000312421400019</t>
  </si>
  <si>
    <t>Punt, AE; Trinnie, F; Walker, TI; McGarvey, R; Feenstra, J; Linnane, A; Hartmann, K</t>
  </si>
  <si>
    <t>Punt, Andre E.; Trinnie, Fabian; Walker, Terence I.; McGarvey, Richard; Feenstra, John; Linnane, Adrian; Hartmann, Klaas</t>
  </si>
  <si>
    <t>The performance of a management procedure for rock lobsters, Jasus edwardsii, off western Victoria, Australia in the face of non-stationary dynamics</t>
  </si>
  <si>
    <t>FISHERIES RESEARCH</t>
  </si>
  <si>
    <t>Australia; Environment; Rock lobster; Management strategy evaluation; Stock assessment</t>
  </si>
  <si>
    <t>TIME-VARYING CATCHABILITY; STOCK ASSESSMENT; TEMPERATURE; FISHERY; GROWTH; UNCERTAINTY; STRATEGIES; DESIGN</t>
  </si>
  <si>
    <t>The biomass of rock lobster. Jasus edwardsii, has declined across southern Australia, including western Victoria. Environmentally driven changes in recruitment and high fishing mortality are likely the major causes for this decline although trends in natural mortality, catchability and growth cannot be excluded. Management Strategy Evaluation is used to evaluate a management procedure which has been proposed for rock lobsters off Victoria. This management procedure aims to recover the resource to a target level of exploitable biomass and to maintain egg production above a limit reference point. The management procedure is evaluated in terms of (i) catches, (ii) the risk of not achieving conservation goals. and (iii) the bias of estimates from the stock assessment given scenarios in which natural mortality, catchability, growth and recruitment are exhibiting future trends. In general, the exploitable biomass is driven towards the target level as expected. Changes over time in natural mortality and growth are relatively inconsequential for the performance of the management procedure, and the impact of changes over time in growth can be mitigated through ongoing tagging programs. In contrast, trends in catchability and recruitment will lead to management goals not being satisfied, with trends in catchability the most problematic because such trends lead to bias in stock assessment outcomes even if data sources which provide unbiased information on abundance are available for assessment purposes. Crown Copyright (C) 2012 Published by Elsevier B.V. All rights reserved.</t>
  </si>
  <si>
    <t>[Punt, Andre E.] Univ Washington, Sch Aquat &amp; Fishery Sci, Seattle, WA 98195 USA; [Punt, Andre E.] CSIRO Wealth Oceans Flagship, Div Marine &amp; Atmospher Res, Hobart, Tas 7001, Australia; [Trinnie, Fabian; Walker, Terence I.] Dept Primary Ind, Fisheries Res Branch, Queenscliff, Vic 3225, Australia; [Walker, Terence I.] Univ Melbourne, Dept Zool, Parkville, Vic 3010, Australia; [McGarvey, Richard; Feenstra, John; Linnane, Adrian] S Australian Res &amp; Dev Inst Aquat Sci, Henley Beach, SA 5022, Australia; [Hartmann, Klaas] Univ Tasmania, Inst Marine &amp; Antarctic Studies, Hobart, Tas 7001, Australia</t>
  </si>
  <si>
    <t>University of Washington; University of Washington Seattle; Commonwealth Scientific &amp; Industrial Research Organisation (CSIRO); University of Melbourne; University of Tasmania</t>
  </si>
  <si>
    <t>Punt, AE (corresponding author), Univ Washington, Sch Aquat &amp; Fishery Sci, Box 35520, Seattle, WA 98195 USA.</t>
  </si>
  <si>
    <t>aepunt@uw.edu</t>
  </si>
  <si>
    <t>Hartmann, Klaas/B-3991-2008; Walker, Terence I/AAD-8458-2019</t>
  </si>
  <si>
    <t>Walker, Terence I/0000-0001-6552-9042; Punt, Andre/0000-0001-8489-2488; Feenstra, John/0000-0001-8956-5638</t>
  </si>
  <si>
    <t>Foundation for Research and Development (FRDC)</t>
  </si>
  <si>
    <t>This work was funded by the Foundation for Research and Development (FRDC). Jose De Oliveira is thanked for an outstanding review of an earlier draft of this paper.</t>
  </si>
  <si>
    <t>0165-7836</t>
  </si>
  <si>
    <t>1872-6763</t>
  </si>
  <si>
    <t>FISH RES</t>
  </si>
  <si>
    <t>Fish Res.</t>
  </si>
  <si>
    <t>10.1016/j.fishres.2012.09.017</t>
  </si>
  <si>
    <t>054OI</t>
  </si>
  <si>
    <t>WOS:000312352700014</t>
  </si>
  <si>
    <t>Anas, A; Jiya, J; Rameez, MJ; Anand, PB; Anantharaman, MR; Nair, S</t>
  </si>
  <si>
    <t>Anas, A.; Jiya, J.; Rameez, M. J.; Anand, P. B.; Anantharaman, M. R.; Nair, S.</t>
  </si>
  <si>
    <t>Sequential interactions of silver-silica nanocomposite (Ag-SiO2NC) with cell wall, metabolism and genetic stability of Pseudomonas aeruginosa, a multiple antibiotic-resistant bacterium</t>
  </si>
  <si>
    <t>LETTERS IN APPLIED MICROBIOLOGY</t>
  </si>
  <si>
    <t>antibacterial; comet assay; Pseudomonas aeruginosa; silver nanoparticles; viable but nonculturable</t>
  </si>
  <si>
    <t>ESCHERICHIA-COLI; NANOPARTICLES; TOXICITY; IONS; DNA</t>
  </si>
  <si>
    <t>The study was carried out to understand the effect of silversilica nanocomposite (AgSiO2NC) on the cell wall integrity, metabolism and genetic stability of Pseudomonas aeruginosa, a multiple drug-resistant bacterium. Bacterial sensitivity towards antibiotics and AgSiO2NC was studied using standard disc diffusion and death rate assay, respectively. The effect of AgSiO2NC on cell wall integrity was monitored using SDS assay and fatty acid profile analysis, while the effect on metabolism and genetic stability was assayed microscopically, using CTC viability staining and comet assay, respectively. Pseudomonas aeruginosa was found to be resistant to beta-lactamase, glycopeptidase, sulfonamide, quinolones, nitrofurantoin and macrolides classes of antibiotics. Complete mortality of the bacterium was achieved with 80 mu gml-1 concentration of AgSiO2NC. The cell wall integrity reduced with increasing time and reached a plateau of 70% in 110min. Changes were also noticed in the proportion of fatty acids after the treatment. Inside the cytoplasm, a complete inhibition of electron transport system was achieved with 100 mu gml-1 AgSiO2NC, followed by DNA breakage. The study thus demonstrates that AgSiO2NC invades the cytoplasm of the multiple drug-resistant P.aeruginosa by impinging upon the cell wall integrity and kills the cells by interfering with electron transport chain and the genetic stability. Significance and Impact of Study Although the synthesis, structural characteristics and biofunction of silver nanoparticles are well understood, their application in antimicrobial therapy is still at its infancy as only a small number of microorganisms are tested to be sensitive to nanoparticles. A thorough knowledge of the mode of interaction of nanoparticles with bacteria at subcellular level is mandatory for any clinical application. The present study deals with the interactions of AgSiO2NC with the cell wall integrity, metabolism and genetic stability of Pseudomonas aeruginosa, which would contribute substantially in strengthening the therapeutic applications of silver nanoparticles.</t>
  </si>
  <si>
    <t>[Anas, A.] Natl Inst Oceanog NIO, Reg Ctr, Council Sci &amp; Ind Res CSIR, Cochin 682018, Kerala, India; [Anand, P. B.; Anantharaman, M. R.] Cochin Univ Sci &amp; Technol, Dept Phys, Cochin 682022, Kerala, India; [Nair, S.] Natl Inst Oceanog NIO, Council Sci &amp; Ind Res CSIR, Goa, India</t>
  </si>
  <si>
    <t>Council of Scientific &amp; Industrial Research (CSIR) - India; CSIR - National Institute of Oceanography (NIO); Cochin University Science &amp; Technology; Council of Scientific &amp; Industrial Research (CSIR) - India; CSIR - National Institute of Oceanography (NIO)</t>
  </si>
  <si>
    <t>Anas, A (corresponding author), Natl Inst Oceanog NIO, Reg Ctr, Council Sci &amp; Ind Res CSIR, Cochin 682018, Kerala, India.</t>
  </si>
  <si>
    <t>anas@nio.org</t>
  </si>
  <si>
    <t>Abdulaziz, Anas/AAI-5681-2020; Puthirath, Anand/H-8867-2013; B. Puthirath, Dr. Anand/M-9378-2016</t>
  </si>
  <si>
    <t>M. J., Rameez/0000-0002-7790-7175; Abdulaziz, Anas/0000-0002-1396-3645; B. Puthirath, Dr. Anand/0000-0003-4064-6271</t>
  </si>
  <si>
    <t>Council of Scientific and Industrial Research</t>
  </si>
  <si>
    <t>Council of Scientific and Industrial Research(Council of Scientific &amp; Industrial Research (CSIR) - IndiaSpanish Government)</t>
  </si>
  <si>
    <t>The authors thank the Director, National Institute of Oceanography, Goa, the Director ICMAM-PD, (MoES) Chennai, and the Scientist-in-Charge, NIO Regional Centre, Kochi, for extending all required support. They express their gratitude to Dr C. T. Achuthankutty, Visiting Scientist, National Centre for Antarctic Ocean Research, Goa, for critically reading the manuscript and improving its presentation. They also acknowledge the valuable comments made by the two anonymous reviewers, which have considerably improved the quality of the revised manuscript. J.J. is thankful to the Council of Scientific and Industrial Research for the award of research fellowship.</t>
  </si>
  <si>
    <t>0266-8254</t>
  </si>
  <si>
    <t>1472-765X</t>
  </si>
  <si>
    <t>LETT APPL MICROBIOL</t>
  </si>
  <si>
    <t>Lett. Appl. Microbiol.</t>
  </si>
  <si>
    <t>10.1111/lam.12015</t>
  </si>
  <si>
    <t>058RB</t>
  </si>
  <si>
    <t>WOS:000312650200009</t>
  </si>
  <si>
    <t>Figuerola, B; Ballesteros, M; Avila, C</t>
  </si>
  <si>
    <t>Figuerola, Blanca; Ballesteros, Manuel; Avila, Conxita</t>
  </si>
  <si>
    <t>Description of a new species of Reteporella (Bryozoa: Phidoloporidae) from the Weddell Sea (Antarctica) and the possible functional morphology of avicularia</t>
  </si>
  <si>
    <t>ACTA ZOOLOGICA</t>
  </si>
  <si>
    <t>taxonomy; Antarctica; Bryozoa; Phidoloporidae; Weddell Sea</t>
  </si>
  <si>
    <t>SOUTH SHETLAND ISLANDS; CHEILOSTOMATE BRYOZOA; DIVERSITY</t>
  </si>
  <si>
    <t>Figuerola, B., Ballesteros, M. and Avila, C. 2013. Description of a new species of Reteporella (Bryozoa: Phidoloporidae) from the Weddell Sea (Antarctica) and the possible functional morphology of avicularia. Acta Zoologica (Stockholm) 94: 6673. A new species of cheilostome bryozoan, Reteporella rosjoarum sp. n., belonging to the family of Phidoloporidae is described from the Weddell Sea (Antarctica) and illustrated with binocular microscope and SEM micrographs. SEM has been used to observe the essential characters to describe the new species and to compare it to similar species. Three samples from three different stations were collected at 332597 m depth during the ANT XXI/2 cruise of the R/V Polarstern (AWI, Bremerhaven, Germany) using a bottom trawl. The new species is characterized by the presence of giant vicarious spherical avicularia. The distinctive morphology of these avicularia discriminates this species from Antarctica congeners. The variability in avicularian morphometrics demonstrates that intraspecific variation between localities (Austasen and Drescher Inlet) may exist. It is also interesting to relate the morphology of the avicularia with the possible functions in Cheilostomata.</t>
  </si>
  <si>
    <t>[Figuerola, Blanca; Ballesteros, Manuel; Avila, Conxita] Univ Barcelona, Fac Biol, Dept Biol Anim Invertebrats, E-08028 Barcelona, Spain</t>
  </si>
  <si>
    <t>Figuerola, B (corresponding author), Univ Barcelona, Fac Biol, Dept Biol Anim Invertebrats, Avda Diagonal 645, E-08028 Barcelona, Spain.</t>
  </si>
  <si>
    <t>bfiguerola@ub.edu</t>
  </si>
  <si>
    <t>Avila, Conxita/B-9466-2008; Figuerola, Blanca/C-6252-2015; Ballesteros, Manuel/M-1664-2014</t>
  </si>
  <si>
    <t>Avila, Conxita/0000-0002-5489-8376; Figuerola, Blanca/0000-0003-4731-9337; Ballesteros, Manuel/0000-0001-9055-1241</t>
  </si>
  <si>
    <t>Ministry of Science and Innovation of Spain through the ECOQUIM [REN2003-00545, REN2002-12006E ANT, CGL2004-03356/ANT, GCL2007-65453/ANT]; Ministry of Science and Innovation of Spain through ACTIQUIM [REN2003-00545, REN2002-12006E ANT, CGL2004-03356/ANT, GCL2007-65453/ANT]</t>
  </si>
  <si>
    <t>Ministry of Science and Innovation of Spain through the ECOQUIM; Ministry of Science and Innovation of Spain through ACTIQUIM</t>
  </si>
  <si>
    <t>The authors wish to thank Dr. D. P. Gordon (National Institute for Water &amp; Atmospheric Research), Dr. M. Zabala (Univ. of Barcelona), Dr. C. Lopez-Fe de la Cuadra (Univ. of Sevilla), and Dr. B. Berning (Univ. of Graz) for their help during the compilation of data and bibliographic search, and Dr. A. Maceda for help in the statistical analysis. Special thanks go to Dr. D. P. Gordon for his review of the manuscript, Dr. K. Tilbrook for his help during the review process and participants of the 15th International Bryozoology Association Conference for their comments. We are also very grateful for the helpful suggestions of the anonymous reviewers. Thanks are due to W. Arntz for allowing us to participate in the Antarctic cruise ANT XXI/2 (AWI, Bremerhaven, Germany). Funding was provided by the Ministry of Science and Innovation of Spain through the ECOQUIM and ACTIQUIM Projects (REN2003-00545, REN2002-12006E ANT, CGL2004-03356/ANT, andGCL2007-65453/ANT).</t>
  </si>
  <si>
    <t>0001-7272</t>
  </si>
  <si>
    <t>ACTA ZOOL-STOCKHOLM</t>
  </si>
  <si>
    <t>Acta Zool.</t>
  </si>
  <si>
    <t>10.1111/j.1463-6395.2011.00531.x</t>
  </si>
  <si>
    <t>Anatomy &amp; Morphology; Zoology</t>
  </si>
  <si>
    <t>054KF</t>
  </si>
  <si>
    <t>WOS:000312341700007</t>
  </si>
  <si>
    <t>Vaca, I; Faúndez, C; Maza, F; Paillavil, B; Hernández, V; Acosta, F; Levicán, G; Martínez, C; Chávez, R</t>
  </si>
  <si>
    <t>Vaca, Inmaculada; Faundez, Carolina; Maza, Felipe; Paillavil, Braulio; Hernandez, Valentina; Acosta, Fermin; Levican, Gloria; Martinez, Claudio; Chavez, Renato</t>
  </si>
  <si>
    <t>Cultivable psychrotolerant yeasts associated with Antarctic marine sponges</t>
  </si>
  <si>
    <t>WORLD JOURNAL OF MICROBIOLOGY &amp; BIOTECHNOLOGY</t>
  </si>
  <si>
    <t>Psychrotolerant yeasts; Antarctic marine sponges; Extracellular enzymes</t>
  </si>
  <si>
    <t>COMMUNITIES</t>
  </si>
  <si>
    <t>Unlike filamentous fungi and bacteria, very little is known about cultivable yeasts associated with marine sponges, especially those from Antarctic seas. During an expedition to King George Island, in the Antarctica, samples of 11 marine sponges were collected by scuba-diving. From these sponges, 20 psychrotolerant yeast isolates were obtained. Phylogenetic analyses of D1/D2 and ITS rRNA gene sequences revealed that the marine ascomycetous yeast Metschnikowia australis is the predominant organism associated with these invertebrates. Other species found belonged to the Basidiomycota phylum: Cystofilobasidium infirmominiatum, Rhodotorula pinicola, Leucosporidiella creatinivora and a new yeast from the Leucosporidiella genus. None of these yeasts have been previously associated with marine sponges. A screening to estimate the ability of these yeasts as producers of extracellular enzymatic activities at several pH and temperature conditions was performed. Several yeast isolates demonstrated amylolytic, proteolytic, lipolytic or cellulolytic activity, but none of them showed xylanolytic activity under the conditions assayed. To our knowledge, this work is the first description of cultivable yeasts associated with marine sponges from the Antarctic sea.</t>
  </si>
  <si>
    <t>[Faundez, Carolina; Paillavil, Braulio; Acosta, Fermin; Levican, Gloria; Chavez, Renato] Univ Santiago Chile, Fac Quim &amp; Biol, Dept Biol, Estn Cent, Santiago, Chile; [Vaca, Inmaculada; Maza, Felipe; Hernandez, Valentina] Univ Chile, Fac Ciencias, Dept Quim, Santiago, Chile; [Martinez, Claudio] Univ Santiago Chile USACH, Dept Ciencia &amp; Tecnol Alimentos, Santiago, Chile</t>
  </si>
  <si>
    <t>Universidad de Santiago de Chile; Universidad de Chile; Universidad de Santiago de Chile</t>
  </si>
  <si>
    <t>Chávez, R (corresponding author), Univ Santiago Chile, Fac Quim &amp; Biol, Dept Biol, Estn Cent, Usach Alameda 3363,Correo 33,Casilla 40, Santiago, Chile.</t>
  </si>
  <si>
    <t>renato.chavez@usach.cl</t>
  </si>
  <si>
    <t>Martinez, Claudio/T-2903-2019; Acosta, Fermin/AAP-3869-2021; Levican, Gloria/R-5191-2019; Vaca, Inmaculada/I-2758-2013</t>
  </si>
  <si>
    <t>Acosta, Fermin/0000-0003-4849-9704; Levican, Gloria/0000-0002-1275-7399; Maza, Felipe/0009-0003-1353-1484; Vaca, Inmaculada/0000-0002-8952-9036; Chavez, Renato/0000-0003-1754-3610; Martinez, Claudio/0000-0001-8564-9287</t>
  </si>
  <si>
    <t>Instituto Antartico Chileno (INACH) [G_06-10]; FONDECYT [11090192]; Programa Bicentenario de Ciencia y Tecnologia'' (Chile) project [PDA13]; DICYT-USACH</t>
  </si>
  <si>
    <t>Instituto Antartico Chileno (INACH); FONDECYT(Comision Nacional de Investigacion Cientifica y Tecnologica (CONICYT)CONICYT FONDECYT); Programa Bicentenario de Ciencia y Tecnologia'' (Chile) project; DICYT-USACH</t>
  </si>
  <si>
    <t>This work was supported by Instituto Antartico Chileno (INACH) grant G_06-10, FONDECYT grant 11090192, Programa Bicentenario de Ciencia y Tecnologia'' (Chile) project PDA13, and DICYT-USACH. Fermin Acosta thanks Programa IFARHU-MEF'' (Republica de Panama). We thank Antarctic collaborators Dr. Jose Darias, Dr. Maria Darias, Dr. Aurelio San Martin and Carol San Martin, and all the team of Professor Julio Escudero Base in Antarctica for allowing us to use their accommodations and laboratory facilities. We also thank to Karen Vergara for lab assistance and Dr. Jaime Eyzaguirre for critical reading of this manuscript.</t>
  </si>
  <si>
    <t>0959-3993</t>
  </si>
  <si>
    <t>1573-0972</t>
  </si>
  <si>
    <t>WORLD J MICROB BIOT</t>
  </si>
  <si>
    <t>World J. Microbiol. Biotechnol.</t>
  </si>
  <si>
    <t>10.1007/s11274-012-1159-2</t>
  </si>
  <si>
    <t>050SW</t>
  </si>
  <si>
    <t>WOS:000312075300020</t>
  </si>
  <si>
    <t>Imae, N; Taylor, S; Iwata, N</t>
  </si>
  <si>
    <t>Imae, Naoya; Taylor, Susan; Iwata, Naoyoshi</t>
  </si>
  <si>
    <t>Micrometeorite precursors: Clues from the mineralogy and petrology of their relict minerals</t>
  </si>
  <si>
    <t>GEOCHIMICA ET COSMOCHIMICA ACTA</t>
  </si>
  <si>
    <t>INTERPLANETARY DUST; ANTARCTIC MICROMETEORITES; ORTHO-PYROXENE; CHONDRITES; CHONDRULES; GREENLAND; OLIVINE; PHASE; CLASSIFICATION; COLLECTION</t>
  </si>
  <si>
    <t>We analyzed 91 relict grain-bearing micrometeorites (MMs) from two Antarctic collections: Tottuki icefield and the South Pole Water Well. To determine if the MMs are related to specific meteorite groups, we analyzed their relict olivines and low-Ca pyroxenes and compared them with olivines and pyroxenes we analyzed in various meteorites: an enstatite chondrite (EH3), a suite of carbonaceous chondrites (CM2, CR2, CV3.2, CO3.0, and CO3.2), an ungrouped carbonaceous chondrite (Tagish Lake), various unequilibrated ordinary chondrites (H3.2, L3.7, LL3.0, LL3.2, LL3.3), and a Rumuruti chondrite (R3.5/5 breccia). Mg-rich olivines are the most common relict mineral in the MMs studied (42%), followed by Fe-rich olivines (16%), Mg-rich low-Ca pyroxenes (15%), and MMs containing both Mg-rich olivine and low-Ca pyroxene (13%). If one corrects for the effects of atmospheric heating on the proportion of olivines and pyroxenes, then 59% of MMs are related to carbonaceous chondrites, 22% to ordinary chondrites (mostly unequilibrated, UOCs), and 19% to a high-Mn group. Results of textural observations suggest that four MMs resemble chondrules from CO3 carbonaceous chondrites, and one is a shock-melted H chondrite. MMs from the high-Mn group appear to have crystallized from a melt and might be fragments of chondrule-like objects similar to those found in comet 81P/Wild 2. (C) 2012 Elsevier Ltd. All rights reserved.</t>
  </si>
  <si>
    <t>[Imae, Naoya] Natl Inst Polar Res, Antarctic Meteorite Res Ctr, Tachikawa, Tokyo 1908518, Japan; [Imae, Naoya] Grad Univ Adv Studies, Dept Polar Sci, Sch Multidisciplinary Sci, Tachikawa, Tokyo 1908518, Japan; [Taylor, Susan] USA, Cold Reg Res &amp; Engn Lab, Hanover, NH 03755 USA; [Iwata, Naoyoshi] Yamagata Univ, Dept Earth &amp; Environm Sci, Yamagata 9908560, Japan</t>
  </si>
  <si>
    <t>Research Organization of Information &amp; Systems (ROIS); National Institute of Polar Research (NIPR) - Japan; Graduate University for Advanced Studies - Japan; United States Department of Defense; United States Army; U.S. Army Corps of Engineers; U.S. Army Engineer Research &amp; Development Center (ERDC); Cold Regions Research &amp; Engineering Laboratory (CRREL); Yamagata University</t>
  </si>
  <si>
    <t>Imae, N (corresponding author), Natl Inst Polar Res, Antarctic Meteorite Res Ctr, 10-3 Midori Cho, Tachikawa, Tokyo 1908518, Japan.</t>
  </si>
  <si>
    <t>imae@nipr.ac.jp</t>
  </si>
  <si>
    <t>Iwata, Naoyoshi/B-7554-2008</t>
  </si>
  <si>
    <t>Iwata, Naoyoshi/0000-0002-0017-9130</t>
  </si>
  <si>
    <t>Graduate University of Advanced Studies in Japan; NIPR publication subsidy; Grants-in-Aid for Scientific Research [23340165] Funding Source: KAKEN</t>
  </si>
  <si>
    <t>Graduate University of Advanced Studies in Japan; NIPR publication subsidy; Grants-in-Aid for Scientific Research(Ministry of Education, Culture, Sports, Science and Technology, Japan (MEXT)Japan Society for the Promotion of ScienceGrants-in-Aid for Scientific Research (KAKENHI))</t>
  </si>
  <si>
    <t>We are grateful to Drs. C. Engrand, J. Duprat, E. Dobrica, and M. Maurette in C.S.N.S.M. in Orsay for their fruitful discussions, and also to Dr. Pichon for the use of SEM-EDS, and F. Couffignal for the use of EPMA during the stay of N.I. in France. Our appreciations are also extended to Dr. M. Funaki of NIPR for supplying a potted butt of the Tagish Lake carbonaceous chondrite, Dr. M. Zolensky for the PTS of the PRE 95404 Rumuruti chondrite, Smithsonian Institution for the polished thin sections of Kainsaz and Semarkona, and T. Niihara for supplying a BSE image of Y-791088. Dr. Miyake identified an amorphous silica and forsterite in TT001c3-A, and is acknowledged for discussion on low-Ca pyroxene phases. We are also grateful to the associate editor, Dr. A. N. Krot, the referees, Dr. C. Engrand and an anonymous reviewer for reviewing the manuscript. This research is partially supported as visiting research in C.S.N.S.M. by the Graduate University of Advanced Studies in Japan. The production of this paper was supported by an NIPR publication subsidy.</t>
  </si>
  <si>
    <t>0016-7037</t>
  </si>
  <si>
    <t>1872-9533</t>
  </si>
  <si>
    <t>GEOCHIM COSMOCHIM AC</t>
  </si>
  <si>
    <t>Geochim. Cosmochim. Acta</t>
  </si>
  <si>
    <t>10.1016/j.gca.2012.09.052</t>
  </si>
  <si>
    <t>051CM</t>
  </si>
  <si>
    <t>WOS:000312102100008</t>
  </si>
  <si>
    <t>Hua, WN; Li, Y</t>
  </si>
  <si>
    <t>Gorraiz, J; Schiebel, E; Gumpenberger, C; Horlesberger, M; Moed, H</t>
  </si>
  <si>
    <t>Hua, Weina; Li, Yu</t>
  </si>
  <si>
    <t>A QUANTITATIVE ANALYSIS OF ANTARCTIC RELATED ARTICLES IN HUMANITIES AND SOCIAL SCIENCES APPEARING IN THE WORLD CORE JOURNALS</t>
  </si>
  <si>
    <t>14TH INTERNATIONAL SOCIETY OF SCIENTOMETRICS AND INFORMETRICS CONFERENCE (ISSI)</t>
  </si>
  <si>
    <t>Proceedings of the International Conference on Scientometrics and Informetrics</t>
  </si>
  <si>
    <t>14th International-Society-of-Scientometrics-and-Informetrics Conference (ISSI)</t>
  </si>
  <si>
    <t>JUL 15-20, 2013</t>
  </si>
  <si>
    <t>Vienna, AUSTRIA</t>
  </si>
  <si>
    <t>[Hua, Weina; Li, Yu] Nanjing Univ, Sch Informat Management, Nanjing 210093, Jiangsu, Peoples R China</t>
  </si>
  <si>
    <t>Nanjing University</t>
  </si>
  <si>
    <t>Hua, WN (corresponding author), Nanjing Univ, Sch Informat Management, Nanjing 210093, Jiangsu, Peoples R China.</t>
  </si>
  <si>
    <t>huawn@nju.edu.cn; baihe2010801@163.com</t>
  </si>
  <si>
    <t>INT SOC SCIENTOMETRICS &amp; INFORMETRICS-ISSI</t>
  </si>
  <si>
    <t>LEUVEN</t>
  </si>
  <si>
    <t>KATHOLIEKE UNIV LEUVEN, FACULTEIT E T E W, DEKENSTRAAT 2, LEUVEN, B-3000, BELGIUM</t>
  </si>
  <si>
    <t>2175-1935</t>
  </si>
  <si>
    <t>978-3-200-03135-7</t>
  </si>
  <si>
    <t>PRO INT CONF SCI INF</t>
  </si>
  <si>
    <t>Information Science &amp; Library Science</t>
  </si>
  <si>
    <t>BC6IG</t>
  </si>
  <si>
    <t>WOS:000353961700222</t>
  </si>
  <si>
    <t>Community, P; Gati, B</t>
  </si>
  <si>
    <t>Community, Paparazzi; Gati, Balazs</t>
  </si>
  <si>
    <t>Open Source Autopilot for Academic Research - The Paparazzi System</t>
  </si>
  <si>
    <t>2013 AMERICAN CONTROL CONFERENCE (ACC)</t>
  </si>
  <si>
    <t>Proceedings of the American Control Conference</t>
  </si>
  <si>
    <t>American Control Conference (ACC)</t>
  </si>
  <si>
    <t>JUN 17-19, 2013</t>
  </si>
  <si>
    <t>Washington, DC</t>
  </si>
  <si>
    <t>Paparazzi is a free and open-source hardware and software project intended to create a flexible autopilot system for fixed-wing aircraft as well as multicopters by allowing and encouraging input from the community. In addition to the airborne hardware and software (from voltage regulators, IMU boards and GPS receivers to Kalman filtering code), the project includes an ever-expanding array of ground hardware and software including modems, antennas and a user-friendly ground control software interface with a simulation environment. The airborne software supports several microprocessor architectures and various hardware configurations. All hardware and software is open-source and freely available to anyone under the GNU licensing agreement. Currently, the Paparazzi project is developed mainly at ENAC University (Ecole Nationale de l'Aviation Civile) and the TU-Delft, but significant amount of work done by various open-source enthusiasts. The system has been used on dozens of airframes and implemented by several teams around the world. Thousands of hours of autonomous flight have been successfully achieved with the Paparazzi system on all continents including the Antarctic.</t>
  </si>
  <si>
    <t>gatib@rht.bme.hu</t>
  </si>
  <si>
    <t>0743-1619</t>
  </si>
  <si>
    <t>2378-5861</t>
  </si>
  <si>
    <t>978-1-4799-0178-4</t>
  </si>
  <si>
    <t>P AMER CONTR CONF</t>
  </si>
  <si>
    <t>Automation &amp; Control Systems; Engineering, Electrical &amp; Electronic</t>
  </si>
  <si>
    <t>Automation &amp; Control Systems; Engineering</t>
  </si>
  <si>
    <t>BIB32</t>
  </si>
  <si>
    <t>WOS:000327210201107</t>
  </si>
  <si>
    <t>Yao, GC; Liang, JH; Wang, TM; Yang, XB; Shen, Q; Zhang, YC; Wu, HL; Tian, WC</t>
  </si>
  <si>
    <t>Yao, Guocai; Liang, Jianhong; Wang, Tianmiao; Yang, Xingbang; Shen, Qi; Zhang, Yucheng; Wu, Hailiang; Tian, Weicheng</t>
  </si>
  <si>
    <t>Development of a Turtle-Like Underwater Vehicle Using Central Pattern Generator</t>
  </si>
  <si>
    <t>2013 IEEE INTERNATIONAL CONFERENCE ON ROBOTICS AND BIOMIMETICS (ROBIO)</t>
  </si>
  <si>
    <t>IEEE International Conference on Robotics and Biomimetics (ROBIO)</t>
  </si>
  <si>
    <t>DEC 12-14, 2013</t>
  </si>
  <si>
    <t>Shenzhen, PEOPLES R CHINA</t>
  </si>
  <si>
    <t>LOCOMOTION</t>
  </si>
  <si>
    <t>This paper presents the construction and control of a turtle-like underwater vehicle, which uses four single axis oscillation flippers for swimming and attitude control. The maneuvers are realized by the composition of appropriate angular offset, vibration amplitude and vibration frequency of the flippers. After analyzing the actuated flippers' motion and the swimming gait, a CPG-based (central pattern generator) control architecture is introduced. Such a CPG model has several nice properties, i.e. limit cycle behavior, closed form solution, no discontinuities nor jerks performance. To estimate the utility and stability of the vehicle, experiments were also carried out in the Mochou Lake of Antarctic Zhongshan Station following the Chinese 29th Antarctic expedition. The experimental result proves that the vehicle is applicable to the underwater detection.</t>
  </si>
  <si>
    <t>[Yao, Guocai; Liang, Jianhong; Wang, Tianmiao; Yang, Xingbang; Shen, Qi; Zhang, Yucheng; Wu, Hailiang; Tian, Weicheng] Beihang Univ, Inst Robot, Beijing 100191, Peoples R China</t>
  </si>
  <si>
    <t>Beihang University</t>
  </si>
  <si>
    <t>Yao, GC (corresponding author), Beihang Univ, Inst Robot, Beijing 100191, Peoples R China.</t>
  </si>
  <si>
    <t>yaoguocai1988@qq.com; dommy_leung@263.net; wtm_itm@263.net; xingbang1987@163.com; eric.shen1987@gmail.com; zhangyuchengbuaa@163.com; wuhailiang1999@163.com; tianweicheng1986@yahoo.com.cn</t>
  </si>
  <si>
    <t>Mathematical &amp; Computational Biology; Robotics</t>
  </si>
  <si>
    <t>BC4MX</t>
  </si>
  <si>
    <t>WOS:000352739000008</t>
  </si>
  <si>
    <t>Xie, SR; Chen, JQ; Luo, J; Li, HY; Yao, JF; Gu, JS</t>
  </si>
  <si>
    <t>Xie, Shaorong; Chen, Jiqing; Luo, Jun; Li, Hengyu; Yao, Junfeng; Gu, Jason</t>
  </si>
  <si>
    <t>Dynamic Analysis and Control System of Spherical Robot for Polar Region Scientific Research</t>
  </si>
  <si>
    <t>To figure out the limitation of enough power resource or energy supplied in Antarctic expedition, this paper presented a large-size spherical robot which can drive by internal power and wind. It consists of a 2-DOF pendulum inside the shell, rotating with transverse and longitudinal axis. Due to the non-holonomic restraint of motion, for smooth and steady control, the spherical robot is designed to finish its movement by turning and linear motion independently, and simpler through decouple method. Base on this, a dynamic model of spherical robot is developed using Lagrange, and analyzed the dynamic characteristic. Further, the hardware implementations and software system are introduced. The test result showed that rolling angular velocity and pendulum angle approach to stability with smart steering, fast rolling, and accomplish common detection mission.</t>
  </si>
  <si>
    <t>[Xie, Shaorong; Chen, Jiqing; Luo, Jun; Li, Hengyu] Shanghai Univ, Mechatron Dept Engn, Shanghai, Peoples R China; [Gu, Jason] Dalhousie Univ, Dept Elect &amp; Comp Engn, Halifax, NS B3J 2X4, Canada</t>
  </si>
  <si>
    <t>Shanghai University; Dalhousie University</t>
  </si>
  <si>
    <t>Luo, J (corresponding author), Shanghai Univ, Mechatron Dept Engn, Shanghai, Peoples R China.</t>
  </si>
  <si>
    <t>srxie@shu.edu.cn; cjq_gz@163.com; luojun@shu.edu.cn; lihengyu@shu.edu.cn; Jason.gu@dal.ca</t>
  </si>
  <si>
    <t>Gu, Jason Jianjun/0000-0002-7626-1077</t>
  </si>
  <si>
    <t>WOS:000352739000423</t>
  </si>
  <si>
    <t>Zhao, TJ; Shi, JC; Bindlish, R; Jackson, T; Kerr, Y; Cui, Q; Li, YQ; Che, T</t>
  </si>
  <si>
    <t>Zhao, Tianjie; Shi, Jiancheng; Bindlish, Rajat; Jackson, Thomas; Kerr, Yann; Cui, Qian; Li, Yunqing; Che, Tao</t>
  </si>
  <si>
    <t>REFINEMENT OF SMOS MULTI-ANGULAR BRIGHTNESS TEMPERATURE AND ITS ANALYSIS OVER REFERENCE TARGETS</t>
  </si>
  <si>
    <t>2013 IEEE INTERNATIONAL GEOSCIENCE AND REMOTE SENSING SYMPOSIUM (IGARSS)</t>
  </si>
  <si>
    <t>IEEE International Symposium on Geoscience and Remote Sensing IGARSS</t>
  </si>
  <si>
    <t>IEEE International Geoscience and Remote Sensing Symposium (IGARSS)</t>
  </si>
  <si>
    <t>JUL 21-26, 2013</t>
  </si>
  <si>
    <t>Melbourne, AUSTRALIA</t>
  </si>
  <si>
    <t>Brightness Temperature; Soil Moisture; SMOS; WindSat; Intercomparisons</t>
  </si>
  <si>
    <t>The Soil Moisture Ocean Salinity (SMOS) mission has been providing L-band multi-angular brightness temperature observations at a global scale since its launch in November 2009 and has performed well in the retrieval of soil moisture. The multiple incidence angle observations are not obtained at fixed values and the resolution and accuracy change with the grid locations over SMOS snapshot images. Radio frequency interference issues and aliasing at lower look angles increases the uncertainty of observations and thereby affects the soil moisture retrieval that utilizes observations at specific angles. In this study, we propose a processing chain that uses a mixed objective function based on SMOS L1c data products to refine the characteristics of multi-angular observations. The approach was validated using simulations from a radiative transfer model and analyzed over three external targets: Amazon rainforest, Sahara desert, and Antarctic ice. These results could provide insights for selecting and utilizing external targets as part of the upcoming Soil Moisture Active Passive (SMAP) mission.</t>
  </si>
  <si>
    <t>[Zhao, Tianjie; Shi, Jiancheng; Cui, Qian; Li, Yunqing] Chinese Acad Sci, Inst Remote Sensing &amp; Digital Earth, Beijing, Peoples R China; [Shi, Jiancheng] Univ Calif, Earth Res Inst, Santa Barbara, CA USA; [Bindlish, Rajat; Jackson, Thomas] USA ARS, Hysrol &amp; Remote Sensing Lab, Beltsville, MD USA; [Kerr, Yann] Ctr Study Biosphere Space, Toulouse, France; [Che, Tao] Chinese Acad Sci, Engn Res Inst, Cold &amp; Arid Reg Environm, Lanzhou, Peoples R China</t>
  </si>
  <si>
    <t>Chinese Academy of Sciences; The Institute of Remote Sensing &amp; Digital Earth, CAS; University of California System; University of California Santa Barbara; Chinese Academy of Sciences; Cold &amp; Arid Regions Environmental &amp; Engineering Research Institute, CAS</t>
  </si>
  <si>
    <t>Zhao, TJ (corresponding author), Chinese Acad Sci, Inst Remote Sensing &amp; Digital Earth, Beijing, Peoples R China.</t>
  </si>
  <si>
    <t>Shi, Jiancheng/HIU-0908-2022; Che, Tao/K-7136-2013; Kerr, Yann/Z-2432-2019</t>
  </si>
  <si>
    <t>National Natural Science Foundation of China [40930530]; CAS/SAFEA International Partnership Program for Creative Research Teams [KZZD-EW-TZ-09]</t>
  </si>
  <si>
    <t>National Natural Science Foundation of China(National Natural Science Foundation of China (NSFC)); CAS/SAFEA International Partnership Program for Creative Research Teams(Chinese Academy of Sciences)</t>
  </si>
  <si>
    <t>This study is jointly sponsored by National Natural Science Foundation of China (40930530) and the CAS/SAFEA International Partnership Program for Creative Research Teams (KZZD-EW-TZ-09).</t>
  </si>
  <si>
    <t>2153-6996</t>
  </si>
  <si>
    <t>978-1-4799-1114-1</t>
  </si>
  <si>
    <t>INT GEOSCI REMOTE SE</t>
  </si>
  <si>
    <t>10.1109/IGARSS.2013.6721089</t>
  </si>
  <si>
    <t>Engineering, Electrical &amp; Electronic; Geosciences, Multidisciplinary; Remote Sensing</t>
  </si>
  <si>
    <t>Engineering; Geology; Remote Sensing</t>
  </si>
  <si>
    <t>BB7JO</t>
  </si>
  <si>
    <t>WOS:000345638900013</t>
  </si>
  <si>
    <t>Peng, G; Meier, WN</t>
  </si>
  <si>
    <t>Peng, Ge; Meier, Walter N.</t>
  </si>
  <si>
    <t>CHARACTERIZATION OF A SATELLITE-BASED PASSIVE MICROWAVE SEA ICE CONCENTRATION CLIMATE DATA RECORD</t>
  </si>
  <si>
    <t>Sea Ice; Arctic and Antarctic Oceans; Remote Sensing; Climate Data Record</t>
  </si>
  <si>
    <t>A long-term, consistent, and reproducible satellite-based passive microwave sea ice concentration climate data record (CDR) is available for climate studies, monitoring, and model validation with an initial operation capability (IOC). The daily and monthly sea ice concentrations are on the National Snow and Ice Data Center (NSIDC) polar stereographic grid with nominal 25 x 25 km grid cells in both the Southern and Northern Hemispheres from 09 July 1987 to 31 December 2007 with an update through 2012 underway. The NetCDF data files along with detailed data processing steps and error source information can be found at http://dx.doi.org/10.7265/N5B56GN3. The dataset is archived by the National Oceanic and Atmospheric Administration (NOAA)' s National Climatic Data Center (NCDC) under the satellite climate data record program (http://www.ncdc.noaa.gov/cdr/operationalcdrs.html). The description and basic statistical characteristics of the CDR are presented here. Our analysis results have shown that while the Northern Hemisphere experiences diminishing sea ice extent for the two decades from January 1988 to December 2007 with a faster reduction rate for the annual minimum sea ice extent, the Southern Hemisphere has experienced slightly increase in its sea ice extent for the same period, especially for the annual maximum.</t>
  </si>
  <si>
    <t>[Peng, Ge] North Carolina State Univ CICS NC, Cooperat Inst Climate &amp; Satellites, 151 Patton Ave, Asheville, NC 28803 USA; [Peng, Ge] NOAA s Natl Climat Data Ctr NCDC, Remote Sensing Applicat Div RSAD, Asheville, NC 28803 USA; [Meier, Walter N.] Univ Colorado, Natl Snow &amp; Ice Data Ctr, Boulder, CO 80309 USA</t>
  </si>
  <si>
    <t>North Carolina State University; University of Colorado System; University of Colorado Boulder</t>
  </si>
  <si>
    <t>Peng, G (corresponding author), North Carolina State Univ CICS NC, Cooperat Inst Climate &amp; Satellites, 151 Patton Ave, Asheville, NC 28803 USA.</t>
  </si>
  <si>
    <t>Meier, Walter/AAI-9583-2021; Peng, Ge/D-8003-2014</t>
  </si>
  <si>
    <t>Peng, Ge/0000-0002-1986-9115; Meier, Walter/0000-0003-2857-0550</t>
  </si>
  <si>
    <t>NOAA's NCDC Climate Data Record Program; NOAA through the Cooperative Institute for Climate and Satellites North Carolina State University (CICS-NC) [NA09NES4400006]; [NA07OAR4310056]</t>
  </si>
  <si>
    <t>NOAA's NCDC Climate Data Record Program; NOAA through the Cooperative Institute for Climate and Satellites North Carolina State University (CICS-NC);</t>
  </si>
  <si>
    <t>This work was funded by NOAAs NCDC Climate Data Record Program. Meier is supported under the grant NA07OAR4310056 and Peng is supported by NOAA through the Cooperative Institute for Climate and Satellites North Carolina State University (CICS-NC) under Cooperative Agreement NA09NES4400006.</t>
  </si>
  <si>
    <t>10.1109/IGARSS.2013.6721134</t>
  </si>
  <si>
    <t>WOS:000345638900056</t>
  </si>
  <si>
    <t>Sobjærg, SS; Kristensen, SS; Balling, JE; Skou, N</t>
  </si>
  <si>
    <t>Sobjaerg, Sten S.; Kristensen, Steen S.; Balling, Jan E.; Skou, Niels</t>
  </si>
  <si>
    <t>THE AIRBORNE EMIRAD L-BAND RADIOMETER SYSTEM</t>
  </si>
  <si>
    <t>Radiometer; SMOS; Calibration; Salinity; Radio Frequency Interference; RFI</t>
  </si>
  <si>
    <t>CAMPAIGNS; RFI</t>
  </si>
  <si>
    <t>This paper describes the EMIRAD L-band radiometer, developed in support of the ESA/SMOS mission. The instrument is a fully polarimetric, dual antenna system, built with special focus on antenna accuracy, receiver stability, and detection and mitigation of radio frequency interference (RFI). The EMIRAD system has been installed on three different airborne platforms for measurements of sea surface signatures and salinity, soil moisture, and the homogeneity of the Antarctic SMOS calibration site. The installations are shown in the paper, and some major results for ocean and ice observations are given.</t>
  </si>
  <si>
    <t>[Sobjaerg, Sten S.; Kristensen, Steen S.; Balling, Jan E.; Skou, Niels] Tech Univ Denmark, Natl Space Inst, DK-2800 Lyngby, Denmark</t>
  </si>
  <si>
    <t>Sobjærg, SS (corresponding author), Tech Univ Denmark, Natl Space Inst, B 348, DK-2800 Lyngby, Denmark.</t>
  </si>
  <si>
    <t>sss@space.dtu.dk</t>
  </si>
  <si>
    <t>Sobjaerg, Sten Schmidl/0000-0001-6914-8597; Kristensen, Steen Savstrup/0000-0001-5928-1802; Balling, Jan E./0000-0002-3685-2294</t>
  </si>
  <si>
    <t>10.1109/IGARSS.2013.6723175</t>
  </si>
  <si>
    <t>WOS:000345638901256</t>
  </si>
  <si>
    <t>Macelloni, G; Brogioni, M; Pettinato, S; Montomoli, F; Monti, F; Casal, T</t>
  </si>
  <si>
    <t>Macelloni, Giovanni; Brogioni, Marco; Pettinato, Simone; Montomoli, Francesco; Monti, Fabiano; Casal, Tania</t>
  </si>
  <si>
    <t>L-BAND CHARACTERIZATION OF DOME-C REGION USING GROUND AND SATELLITES DATA</t>
  </si>
  <si>
    <t>SMOS; Aquarius; Calibration; Antarctica</t>
  </si>
  <si>
    <t>In recent decades, with the development of low-frequency missions such as SMOS and Aquarius, which have a large antenna, the need has arisen to find stable areas for the external calibration of L-band radiometers. Cold sky and calm ocean are routinely used as low reference temperatures, and Antarctica, in particular the East Antarctic Plateau, has been investigated in recent years as a potential candidate for higher reference temperatures. The reason for this interest lies in its geographical location (it can be seen several times a day by polar-orbiting satellites), as well as in the size, structure, spatial homogeneity, and thermal stability of this area. In particular the area of Dome-C, where the Italian-French base is located, was monitored in the past years using ground based radiometer and satellite data. Data acquired in new experiment, started in 2012, are described in the present study together to an analysis of SMOS data collected in the same area. The results pointed out that the brightness temperature over that region is very stable both in space and time and have individuated a large area able to contain several footprints of space-borne radiometers and thus is suitable for cross calibration between the sensors.</t>
  </si>
  <si>
    <t>[Macelloni, Giovanni; Brogioni, Marco; Pettinato, Simone; Montomoli, Francesco] CNR, Inst Appl Phys Nello Carrara, Rome, Italy; [Monti, Fabiano] Inst Snow &amp; Avalanche Res SLF, Davos, Switzerland; [Casal, Tania] ESA, Estec, Noordwijk, Netherlands</t>
  </si>
  <si>
    <t>Consiglio Nazionale delle Ricerche (CNR); Istituto di Fisica Applicata Nello Carrara (IFAC-CNR); Swiss Federal Institutes of Technology Domain; Swiss Federal Institute for Forest, Snow &amp; Landscape Research; European Space Agency</t>
  </si>
  <si>
    <t>Macelloni, G (corresponding author), CNR, Inst Appl Phys Nello Carrara, Rome, Italy.</t>
  </si>
  <si>
    <t>Macelloni, Giovanni/B-7518-2015; Montomoli, Francesco/IXX-0140-2023; Brogioni, Marco/Q-6583-2019; Pettinato, Simone/H-6051-2019; Brogioni, Marco/B-7522-2015</t>
  </si>
  <si>
    <t>Brogioni, Marco/0000-0001-6232-6020; Pettinato, Simone/0000-0002-3155-8918; Brogioni, Marco/0000-0001-6232-6020; MACELLONI, GIOVANNI/0000-0002-9738-7939</t>
  </si>
  <si>
    <t>10.1109/IGARSS.2013.6723565</t>
  </si>
  <si>
    <t>WOS:000345638903125</t>
  </si>
  <si>
    <t>Gogineni, S; Yan, JB; Gomez, D; Rodriguez-Morales, F; Paden, J; Leuschen, C</t>
  </si>
  <si>
    <t>Gogineni, S.; Yan, J. B.; Gomez, D.; Rodriguez-Morales, F.; Paden, J.; Leuschen, C.</t>
  </si>
  <si>
    <t>Ultra-Wideband Radars for Remote Sensing of Snow and Ice</t>
  </si>
  <si>
    <t>2013 IEEE MTT-S INTERNATIONAL MICROWAVE AND RF CONFERENCE</t>
  </si>
  <si>
    <t>IEEE MTT-S International Microwave and RF Conference</t>
  </si>
  <si>
    <t>DEC 14-16, 2013</t>
  </si>
  <si>
    <t>New Delhi, INDIA</t>
  </si>
  <si>
    <t>Ultra-wideband radar; antenna arrays; sea ice; Arctic and Antarctica</t>
  </si>
  <si>
    <t>THICKNESS; DEPTH</t>
  </si>
  <si>
    <t>We developed two ultra-wideband microwave radars for measuring the thickness of snow over sea ice, mapping near-surface internal layers in polar firn, and measuring the icesurface elevation with fine resolution. One of these radars operates over the frequency range of 2-8 GHz and is referred to as the snow radar. The other operates over the frequency range of 12-18 GHz and is called the Ku-band radar or Kuband altimeter. Both radars use a Frequency-Modulated Continuous Wave (FM-CW) transmit signal with about 150 mW of power. The radars have been operated on NASA long-range P-3 and DC-8 aircraft to collect data over snow-covered sea ice in the Arctic and Antarctic, as well as over the ice sheets in Greenland and Antarctica. The results from recent data show that we can determine the thickness of snow from about 20 cm to 200 cm over sea ice and can map near surface internal layers to a depth of about 50 m in the dry snow zone with the snow radar. We are currently developing a radar that operates over the frequency range of 2-18 GHz and an antenna array to perform multi-polarized measurements. In this paper we will provide a brief overview of the current radars and present results from data collected with these radars over sea ice and the ice sheets. We will also discuss the design of the radar being developed and our plans to collect data over the ice sheets and over snow on ice and land.</t>
  </si>
  <si>
    <t>[Gogineni, S.; Yan, J. B.; Gomez, D.; Rodriguez-Morales, F.; Paden, J.; Leuschen, C.] Univ Kansas, CReSIS, Lawrence, KS 66045 USA</t>
  </si>
  <si>
    <t>Gogineni, S (corresponding author), Univ Kansas, CReSIS, 2335 Irving Hill Rd, Lawrence, KS 66045 USA.</t>
  </si>
  <si>
    <t>pgogineni@ku.edu</t>
  </si>
  <si>
    <t>2377-9144</t>
  </si>
  <si>
    <t>IEEE MTTS INT MICRO</t>
  </si>
  <si>
    <t>Engineering, Electrical &amp; Electronic; Physics, Applied</t>
  </si>
  <si>
    <t>Engineering; Physics</t>
  </si>
  <si>
    <t>BC4QN</t>
  </si>
  <si>
    <t>WOS:000352852100051</t>
  </si>
  <si>
    <t>Johnson, KS</t>
  </si>
  <si>
    <t>Johnson, Kenneth S.</t>
  </si>
  <si>
    <t>BioArgo: A Global Scale Chemical Sensor Network to Observe Carbon, Oxygen, and Nitrogen Cycles in the Ocean</t>
  </si>
  <si>
    <t>2013 IEEE SENSORS</t>
  </si>
  <si>
    <t>IEEE Sensors</t>
  </si>
  <si>
    <t>12th IEEE Sensors Conference</t>
  </si>
  <si>
    <t>NOV 03-06, 2013</t>
  </si>
  <si>
    <t>DEEP</t>
  </si>
  <si>
    <t>This talk will focus on the development and operation of a global scale, chemical sensor network that is distributed throughout the world's ocean. The daily, seasonal and interannual changes in the concentrations of inorganic carbon, pH, dissolved oxygen and nitrate that are driven by photosynthesis and respiration are basic tracers of ocean metabolism. This metabolism has a fundamental control on the earth's climate, as production of organic matter in the surface ocean acts to lower atmospheric carbon dioxide by about 200 ppm. It is possible that these rates of elemental cycling will change in the future as the surface ocean warms [1]. However, there are no existing observing systems that allow ocean metabolism to be observed directly at a global scale. In particular, sampling chemistry from ships does not work because of the expense and remoteness of most of the ocean. At the global scale, ocean productivity can only be sensed indirectly from satellite ocean color observations. Global scale sensor networks using robotic platforms equipped with chemical sensors are required to directly observe ocean metabolism [2]. The Argo network (http://www.argo.ucsd.edu), which is used to monitor the heat content of the ocean, is a model for such a system. There are &gt; 3000 Argo profiling floats throughout the ocean. They rise from 2000 m depth at 5 to 10 day intervals measuring temperature and salinity during the ascent and then transmit the data to low earth orbit communications networks. This cycle is repeated for the 5 year life of each float. The BioArgo system is now working to build a complementary network equipped with pH, oxygen, nitrate and biooptical sensors [3]. More than 200 profiling floats with oxygen and &gt; 40 floats with nitrate are now operating from the Arctic to the Antarctic in all of the major ocean basins (http://argo.jcommops.org/maps.html, scroll right to the Bio map). These sensors have demonstrated exceptional stability and precision over time periods now reaching four years [4-7]. Experimental pH sensors are now operating on profiling floats with a precision and stability near 0.001 pH over an annual cycle. These results demonstrate the feasibility of establishing a global chemical sensor network. This talk will review the methods used to develop chemical sensors with multi-year stability and the development of a global observing system.</t>
  </si>
  <si>
    <t>[Johnson, Kenneth S.] Monterey Bay Aquarium Res Inst, Moss Landing, CA 95039 USA</t>
  </si>
  <si>
    <t>Johnson, KS (corresponding author), Monterey Bay Aquarium Res Inst, Moss Landing, CA 95039 USA.</t>
  </si>
  <si>
    <t>Johnson, Kenneth S/F-9742-2011; Verdonschot, John/F-9196-2018</t>
  </si>
  <si>
    <t>1930-0395</t>
  </si>
  <si>
    <t>978-1-4673-4642-9</t>
  </si>
  <si>
    <t>IEEE SENSOR</t>
  </si>
  <si>
    <t>Engineering, Electrical &amp; Electronic; Remote Sensing</t>
  </si>
  <si>
    <t>Engineering; Remote Sensing</t>
  </si>
  <si>
    <t>BF0XP</t>
  </si>
  <si>
    <t>WOS:000379846100339</t>
  </si>
  <si>
    <t>Soltwedel, T; Schauer, U; Boebel, O; Nöthig, EM; Bracher, A; Metfies, K; Schewe, I; Boetius, A; Klages, M</t>
  </si>
  <si>
    <t>Soltwedel, Thomas; Schauer, Ursula; Boebel, Olaf; Noethig, Eva-Maria; Bracher, Astrid; Metfies, Katja; Schewe, Ingo; Boetius, Antje; Klages, Michael</t>
  </si>
  <si>
    <t>FRAM - FRontiers in Arctic marine Monitoring</t>
  </si>
  <si>
    <t>Arctic Ocean; Fram Strait; Long-Term Ecological Research; Observing System; Interdisciplinary; Climate Change; HAFOS; HAUSGARTEN</t>
  </si>
  <si>
    <t>IN-SITU; ASSEMBLAGES; ICE; DIVERSITY; ATLANTIC; STRAIT; FLOW</t>
  </si>
  <si>
    <t>Our ability to understand the complex interactions of biological, chemical, physical, and geological processes in the ocean and on land is still limited by the lack of integrative and interdisciplinary observation infrastructures. The main purpose of the planned open-ocean infrastructure FRAM (FRontiers in Arctic marine Monitoring) is permanent presence at sea, from surface to depth, for the provision of near real-time data on climate variability and ecosystem change in a marine Arctic system. The Alfred-Wegener-Institut - Helmholtz-Zentrum fur Polar- und Meeresforschung (AWI), together with partner institutes in Germany and Europe, aims at providing such infrastructure for the polar ocean as a major contribution to the grand challenges of Earth observation and environmental status. The FRAM Ocean Observing System targets the gateway between the North Atlantic and the Central Arctic, representing a highly climate-sensitive and rapidly changing region of the Earth system. It will serve national and international tasks towards a better understanding of the effects of change in ocean circulation, water mass properties and sea-ice retreat on Arctic marine ecosystems and their main functions and services. FRAM will implement existing and next-generation sensors and observatory platforms, allowing synchronous observation of relevant ocean variables, as well as the study of physical, chemical and biological processes in the water column and at the seafloor. Experimental and event-triggered platforms will complement observational platforms. Products of the infrastructure are continuous long-term data with appropriate resolution in space and time, as well as ground-truthing information for ocean models and remote sensing. FRAM will integrate and develop already existing observatories, i.e. the oceanographic mooring array HAFOS (Hybrid Arctic/Antarctic Float Observing System) and the Long-Term Ecological Research (LTER) site HAUSGARTEN.</t>
  </si>
  <si>
    <t>[Soltwedel, Thomas; Schauer, Ursula; Boebel, Olaf; Noethig, Eva-Maria; Bracher, Astrid; Metfies, Katja; Schewe, Ingo; Boetius, Antje] Helmholtz Zentrum Polar &amp; Meeresforsch AWI, Alfred Wegener Inst, Bremerhaven, Germany; [Klages, Michael] Univ Gothenburg, Ctr Marine Sci, Gothenburg, Sweden</t>
  </si>
  <si>
    <t>Helmholtz Association; Alfred Wegener Institute, Helmholtz Centre for Polar &amp; Marine Research; University of Gothenburg</t>
  </si>
  <si>
    <t>Soltwedel, T (corresponding author), Helmholtz Zentrum Polar &amp; Meeresforsch AWI, Alfred Wegener Inst, Bremerhaven, Germany.</t>
  </si>
  <si>
    <t>Bracher, Astrid/B-7805-2013; Soltwedel, Thomas/P-1852-2016; Bracher, Astrid/I-2672-2013; Nöthig, Eva-Maria/AAS-7253-2021; Boetius, Antje/D-5459-2013</t>
  </si>
  <si>
    <t>Soltwedel, Thomas/0000-0002-8214-5937; Bracher, Astrid/0000-0003-3025-5517; Boetius, Antje/0000-0003-2117-4176</t>
  </si>
  <si>
    <t>WOS:000335313100067</t>
  </si>
  <si>
    <t>Veretenenko, S; Thejll, P</t>
  </si>
  <si>
    <t>IOP</t>
  </si>
  <si>
    <t>Veretenenko, S.; Thejll, P.</t>
  </si>
  <si>
    <t>Influence of energetic Solar Proton Events on the development of cyclonic processes at extratropical latitudes</t>
  </si>
  <si>
    <t>23RD EUROPEAN COSMIC RAY SYMPOSIUM (AND 32ND RUSSIAN COSMIC RAY CONFERENCE)</t>
  </si>
  <si>
    <t>Journal of Physics Conference Series</t>
  </si>
  <si>
    <t>23rd European Cosmic Ray Symposium (ECRS) / 32nd Russian Cosmic Ray Conference</t>
  </si>
  <si>
    <t>JUL 03-07, 2012</t>
  </si>
  <si>
    <t>Lomonosov Moscow State Univ, Moscow, RUSSIA</t>
  </si>
  <si>
    <t>Lomonosov Moscow State Univ</t>
  </si>
  <si>
    <t>Effects of energetic Solar Proton Events (SPEs), with energies above 90 MeV, on the development of cyclonic processes at extratropical latitudes of the Northern and Southern hemispheres were studied, using NCEP/NCAR reanalysis data. The study revealed that these events are accompanied by a noticeable intensification of cyclonic activity at middle latitudes, mainly over oceans. In the Northern hemisphere this effect is observed for the SPEs occurring in October-March, whereas in the Southern hemisphere it is most pronounced for the events in April-September. In the Northern hemisphere the largest cyclone deepening takes place in the North Atlantic near the south-eastern coasts of Greenland, this area being characterized by high temperature contrasts and low geomagnetic cutoff rigidities. In the Southern hemisphere most appreciable cyclone intensification was found over the Southern Ocean near the Antarctic coasts next to the South Magnetic Pole, the region is characterized by low geomagnetic cutoff rigidities and high temperature contrasts, too. The results obtained show an importance of ionization changes produced by cosmic ray variations for the mechanism of solar activity influence on the lower atmosphere circulation.</t>
  </si>
  <si>
    <t>[Veretenenko, S.] Russian Acad Sci, AF Ioffe Phys Tech Inst, Politekhnicheskaya 26, St Petersburg 194021, Russia; [Thejll, P.] Danish Meteorol Inst, DK-2100 Copenhagen, Denmark</t>
  </si>
  <si>
    <t>Russian Academy of Sciences; St. Petersburg Scientific Centre of the Russian Academy of Sciences; Ioffe Physical Technical Institute; Danish Meteorological Institute DMI</t>
  </si>
  <si>
    <t>Veretenenko, S (corresponding author), Russian Acad Sci, AF Ioffe Phys Tech Inst, Politekhnicheskaya 26, St Petersburg 194021, Russia.</t>
  </si>
  <si>
    <t>s.veretenenko@mail.ioffe.ru</t>
  </si>
  <si>
    <t>Veretenenko, Svetlana/F-3341-2014</t>
  </si>
  <si>
    <t>Veretenenko, Svetlana/0000-0001-8968-0724; Thejll, Peter/0000-0002-5074-699X</t>
  </si>
  <si>
    <t>IOP PUBLISHING LTD</t>
  </si>
  <si>
    <t>BRISTOL</t>
  </si>
  <si>
    <t>DIRAC HOUSE, TEMPLE BACK, BRISTOL BS1 6BE, ENGLAND</t>
  </si>
  <si>
    <t>1742-6588</t>
  </si>
  <si>
    <t>1742-6596</t>
  </si>
  <si>
    <t>J PHYS CONF SER</t>
  </si>
  <si>
    <t>10.1088/1742-6596/409/1/012237</t>
  </si>
  <si>
    <t>BDW72</t>
  </si>
  <si>
    <t>WOS:000315408200237</t>
  </si>
  <si>
    <t>Kadir, SMSA; Yunos, KRBM; Omar, AHH; Hamid, DTA</t>
  </si>
  <si>
    <t>Ismail, IS; AbdRahman, SB; Noordin, NM; Mustafa, SMS</t>
  </si>
  <si>
    <t>Kadir, Sharifah Mazlina Syed Abdul; Yunos, Khadijah Rohani Binti Mohd; Omar, Abdul Hafidz Haji; Hamid, Dayang Tiawa Awg</t>
  </si>
  <si>
    <t>The Daily Life Challenges Faced by the Researcher in Arctic</t>
  </si>
  <si>
    <t>6TH INTERNATIONAL CONFERENCE ON UNIVERSITY LEARNING AND TEACHING (INCULT 2012)</t>
  </si>
  <si>
    <t>6th International Conference on University Learning and Teaching (InCULT)</t>
  </si>
  <si>
    <t>NOV 20-21, 2012</t>
  </si>
  <si>
    <t>Ohio Univ, Shah Alam, MALAYSIA</t>
  </si>
  <si>
    <t>Ohio Univ</t>
  </si>
  <si>
    <t>Challenges; motivation skills; single case &amp; explorative case study; reflective journal; qualitative research design; NVIVO 10</t>
  </si>
  <si>
    <t>Existing research and the body of knowledge pertaining to the daily life challenges at an extreme cold weather conditions in Arctic and Antarctic expeditions were less explored by scholars and researchers. The Arctic external environment is extremely cold, dark and isolated during winter. During the expedition in Arctic, the researcher are physically isolated from the outside world, with darkness and weather conditions exerting severe restrictions on travel, and are separated from their families and friends. This study attempted to describe the major challenges of researcher encountered in Arctic. As an instrument herself, the researcher recorded and updated her daily life and the challenges in her reflective journal throughout the expeditions. Analyses of the results showed that there are many challenges that she confronted before she completed the mission of expeditions. The main challenges that the researcher faced were the unpredictable and dangerous Pole conditions and, the harsh terrains, extreme cold weather, researcher's injuries difficulties in communication, equipment problems, food and daily life in Arctic as an expeditor. However despite all the daily challenges faced by researcher for 10 days of her journey, she manages to overcome those problems mention above and accomplished the mission. The findings and researcher's experiences dwelling with the challenges in this research is benefitted to all especially Malaysian in every angle of existence such as finding strength in daily life, travelling skills, facing unpredictable weather condition, motivation skills and education purposes. (C) 2013 The Authors. Published by Elsevier Ltd.</t>
  </si>
  <si>
    <t>[Kadir, Sharifah Mazlina Syed Abdul] Univ Teknol MARA, Fac Educ, Shah Alam 40200, Selangor, Malaysia; [Yunos, Khadijah Rohani Binti Mohd] Univ Teknol Malaysia, SITC, Selangor, Malaysia; [Omar, Abdul Hafidz Haji; Hamid, Dayang Tiawa Awg] Univ Teknol Malaysia, Fac Biosci &amp; Med Engn, Selangor, Malaysia</t>
  </si>
  <si>
    <t>Universiti Teknologi MARA; Universiti Teknologi Malaysia; Universiti Teknologi Malaysia</t>
  </si>
  <si>
    <t>khadijahrohaniy@gmail.com</t>
  </si>
  <si>
    <t>10.1016/j.sbspro.2013.07.150</t>
  </si>
  <si>
    <t>Education &amp; Educational Research</t>
  </si>
  <si>
    <t>BB9AL</t>
  </si>
  <si>
    <t>WOS:000347954100092</t>
  </si>
  <si>
    <t>Ceccarelli, DM; McKinnon, AD; Andréfouët, S; Allain, V; Young, J; Gledhill, DC; Flynn, A; Bax, NJ; Beaman, R; Borsa, P; Brinkman, R; Bustamante, RH; Campbell, R; Cappo, M; Cravatte, S; D'Agata, S; Dichmont, CM; Dunstan, PK; Dupouy, C; Edgar, G; Farman, R; Furnas, M; Garrigue, C; Hutton, T; Kulbicki, M; Letourneur, Y; Lindsay, D; Menkes, C; Mouillot, D; Parravicini, V; Payri, C; Pelletier, B; de Forges, BR; Ridgway, K; Rodier, M; Samadi, S; Schoeman, D; Skewes, T; Swearer, S; Vigliola, L; Wantiez, L; Williams, A; Williams, A; Richardson, AJ</t>
  </si>
  <si>
    <t>Lesser, M</t>
  </si>
  <si>
    <t>Ceccarelli, Daniela M.; McKinnon, A. David; Andrefouet, Serge; Allain, Valerie; Young, Jock; Gledhill, Daniel C.; Flynn, Adrian; Bax, Nicholas J.; Beaman, Robin; Borsa, Philippe; Brinkman, Richard; Bustamante, Rodrigo H.; Campbell, Robert; Cappo, Mike; Cravatte, Sophie; D'Agata, Stephanie; Dichmont, Catherine M.; Dunstan, Piers K.; Dupouy, Cecile; Edgar, Graham; Farman, Richard; Furnas, Miles; Garrigue, Claire; Hutton, Trevor; Kulbicki, Michel; Letourneur, Yves; Lindsay, Dhugal; Menkes, Christophe; Mouillot, David; Parravicini, Valeriano; Payri, Claude; Pelletier, Bernard; de Forges, Bertrand Richer; Ridgway, Ken; Rodier, Martine; Samadi, Sarah; Schoeman, David; Skewes, Tim; Swearer, Steven; Vigliola, Laurent; Wantiez, Laurent; Williams, Alan; Williams, Ashley; Richardson, Anthony J.</t>
  </si>
  <si>
    <t>The Coral Sea: Physical Environment, Ecosystem Status and Biodiversity Assets</t>
  </si>
  <si>
    <t>ADVANCES IN MARINE BIOLOGY, VOL 66</t>
  </si>
  <si>
    <t>Advances in Marine Biology</t>
  </si>
  <si>
    <t>Tropical sea; Ecosystem function; Connectivity; Food web; Pristine ecosystems; Collaborative research</t>
  </si>
  <si>
    <t>GREAT-BARRIER-REEF; EAST AUSTRALIAN CURRENT; SHARKS CARCHARODON-CARCHARIAS; POPULATION GENETIC-STRUCTURE; SOUTHWEST PACIFIC-OCEAN; NEW-CALEDONIA; CLIMATE-CHANGE; BIOGEOGRAPHIC PATTERNS; PISCES EPINEPHELIDAE; NITROGEN-FIXATION</t>
  </si>
  <si>
    <t>The Coral Sea, located at the southwestern rim of the Pacific Ocean, is the only tropical marginal sea where human impacts remain relatively minor. Patterns and processes identified within the region have global relevance as a baseline for understanding impacts in more disturbed tropical locations. Despite 70 years of documented research, the Coral Sea has been relatively neglected, with a slower rate of increase in publications over the past 20 years than total marine research globally. We review current knowledge of the Coral Sea to provide an overview of regional geology, oceanography, ecology and fisheries. Interactions between physical features and biological assemblages influence ecological processes and the direction and strength of connectivity among Coral Sea ecosystems. To inform management effectively, we will need to fill some major knowledge gaps, including geographic gaps in sampling and a lack of integration of research themes, which hinder the understanding of most ecosystem processes.</t>
  </si>
  <si>
    <t>[McKinnon, A. David; Brinkman, Richard; Cappo, Mike; Furnas, Miles] Australian Inst Marine Sci, TMC, Townsville, Qld 4810, Australia; [Andrefouet, Serge; D'Agata, Stephanie; Payri, Claude; Vigliola, Laurent] IRD, LabEx CORAIL, UR CoReUs 227, Noumea, New Caledonia; [Allain, Valerie; Williams, Ashley] Secretariat Pacific Commun, Ocean Fisheries Programme, Noumea, New Caledonia; [Young, Jock; Gledhill, Daniel C.; Bax, Nicholas J.; Campbell, Robert; Dunstan, Piers K.; Ridgway, Ken; Williams, Alan] CSIRO Marine &amp; Atmospher Res, Castray Esplanade, Wealth Oceans Flagship, Hobart, Tas, Australia; [Flynn, Adrian] Fathom Pacific Pty Ltd, Kensington, Vic, Australia; [Beaman, Robin] James Cook Univ, Sch Earth &amp; Environm Sci, Cairns, Qld, Australia; [Borsa, Philippe] Univ Udayana, IRD UR CoReUs 227, Denpasar, Indonesia; [Bustamante, Rodrigo H.; Dichmont, Catherine M.; Hutton, Trevor; Skewes, Tim; Richardson, Anthony J.] CSIRO Marine &amp; Atmospher Res, Ecosci Precinct, Wealth Oceans Flagship, Brisbane, Qld 4001, Australia; [Cravatte, Sophie] LEGOS, Inst Rech Dev, Noumea, New Caledonia; [Cravatte, Sophie] Univ Toulouse IRD CNRS CNES, LEGOS, Observ Midi Pyrenees, Toulouse, France; [Dupouy, Cecile; Rodier, Martine] UMR CNRS IRD Aix Marseille Univ USTV 7294, Mediterranean Inst Oceanog, Noumea, New Caledonia; [Bax, Nicholas J.; Edgar, Graham] Univ Tasmania, Inst Marine &amp; Antarctic Studies, Hobart, Tas, Australia; [Farman, Richard] Aquarium Lagons, Noumea, New Caledonia; [Garrigue, Claire] Operat Cetaces, Noumea, New Caledonia; [Kulbicki, Michel; Parravicini, Valeriano] Lab Arago, LABEX Corail, IRD UR CoReUs 227, F-66650 Banyuls Sur Mer, France; [Letourneur, Yves; Wantiez, Laurent] Univ Nouvelle Caledonie, Noumea, New Caledonia; [Lindsay, Dhugal] Japan Agcy Marine Earth Sci &amp; Technol JAMSTEC, Yokosuka, Kanagawa, Japan; [Menkes, Christophe] Univ Paris 06, UMR LOCEAN IRD CNRS UPMC MNHN 7159, Paris, France; [Mouillot, David] Univ Montpellier 2, ECOSYM CNRS UM2 IFREMER IRD 5119, Montpellier 5, France; [Pelletier, Bernard] UMR 7329 GEOAZUR UNS CNRS IRD OCA, Noumea, New Caledonia; [de Forges, Bertrand Richer; Samadi, Sarah] Museum Natl Hist Nat, Dept Systemat &amp; Evolut, F-75005 Paris 5, France; [Rodier, Martine] UMR 241 EIO IRD Ifremer UPF ILM, ARUE, Papeete, France; [Schoeman, David] Univ Sunshine Coast, Fac Sci Hlth Educ &amp; Engn, Maroochydore, Qld, Australia; [Swearer, Steven] Univ Melbourne, Dept Zool, Melbourne, Vic, Australia; [Richardson, Anthony J.] Univ Queensland, Sch Math &amp; Phys, Ctr Applicat Nat Resource Math, St Lucia, Qld, Australia; [Menkes, Christophe] Inst Rech Dev LOCEAN, Noumea, New Caledonia</t>
  </si>
  <si>
    <t>Australian Institute of Marine Science; Institut de Recherche pour le Developpement (IRD); Commonwealth Scientific &amp; Industrial Research Organisation (CSIRO); James Cook University; Universitas Udayana; Commonwealth Scientific &amp; Industrial Research Organisation (CSIRO); Institut de Recherche pour le Developpement (IRD); Universite de Toulouse; Universite Toulouse III - Paul Sabatier; Centre National de la Recherche Scientifique (CNRS); Institut de Recherche pour le Developpement (IRD); Laboratoire d'Etudes en Geophysique et oceanographie spatiales; University of Tasmania; Universite Nouvelle Caledonie; Japan Agency for Marine-Earth Science &amp; Technology (JAMSTEC); Sorbonne Universite; Ifremer; Universite de Montpellier; Universite Cote d'Azur; Observatoire de la Cote d'Azur; Museum National d'Histoire Naturelle (MNHN); Ifremer; University of the Sunshine Coast; University of Melbourne; Melbourne Bioinformatics; University of Queensland</t>
  </si>
  <si>
    <t>Ceccarelli, DM (corresponding author), POB 215, Magnetic Isl, Qld, Australia.</t>
  </si>
  <si>
    <t>dmcecca@gmail.com</t>
  </si>
  <si>
    <t>Richardson, Anthony J/B-3649-2010; Swearer, Stephen/X-4882-2018; Pelletier, Bernard/J-8106-2016; Wantiez, Laurent/L-3343-2013; Cravatte, Sophie/J-7081-2016; samadi, sarah/G-5011-2010; LETOURNEUR, Yves/B-4387-2012; Letourneur, Yves/V-6843-2019; Young, jock/A-1682-2012; Williams, Ashley/G-2017-2014; Parravicini, Valeriano/A-8539-2011; Vigliola, Laurent/J-7107-2016; Cravatte, Sophie/AAI-4635-2021; Stephanie, D'Agata/AAN-3692-2020; Williams, Ashley/ABA-5921-2020; SWEARER, STEPHEN/AAC-1527-2020; Skewes, Timothy/N-9530-2015; menkes, christophe/H-9085-2016; Ceccarelli, Daniela/AAN-3577-2020; Borsa, Philippe/D-4967-2015; Edgar, Graham/C-8341-2013; Williams, Ashley J/J-7565-2013; Williams, Alan/C-6999-2012; D’agata, Stéphanie/ABC-7437-2020; Williams, Ashley/JAX-9689-2023; Borsa, Philippe/AAC-7915-2019; Allain, Valerie/AAE-1449-2019; Edgar, Graham/AAY-3797-2020; Dichmont, Catherine M/A-9528-2008; Payri, Claude/K-5646-2016; Ridgway, Ken/AAA-4040-2019; Hutton, Trevor/E-3066-2017; garrigue, claire/I-4704-2016; Dunstan, Piers/B-7309-2016; DUPOUY, Cecile/I-3746-2015; RODIER, Martine/M-2379-2014; Bax, Nicholas/A-2321-2012</t>
  </si>
  <si>
    <t>Richardson, Anthony J/0000-0002-9289-7366; Swearer, Stephen/0000-0001-6381-9943; Pelletier, Bernard/0000-0002-9993-1395; Wantiez, Laurent/0000-0001-5024-2057; Cravatte, Sophie/0000-0002-2439-8952; samadi, sarah/0000-0003-0725-9368; Letourneur, Yves/0000-0003-3157-1976; Williams, Ashley/0000-0002-5530-0073; Vigliola, Laurent/0000-0003-4715-7470; Cravatte, Sophie/0000-0002-2439-8952; Stephanie, D'Agata/0000-0001-6941-8489; Williams, Ashley/0000-0002-5530-0073; SWEARER, STEPHEN/0000-0001-6381-9943; Skewes, Timothy/0000-0002-8972-6734; Edgar, Graham/0000-0003-0833-9001; Williams, Alan/0000-0002-2867-7713; Borsa, Philippe/0000-0001-9469-8304; Allain, Valerie/0000-0002-9874-3077; Edgar, Graham/0000-0003-0833-9001; Hutton, Trevor/0000-0002-8747-6196; garrigue, claire/0000-0002-8117-3370; Dunstan, Piers/0000-0002-2568-5945; DUPOUY, Cecile/0000-0002-2246-918X; campbell, robert/0000-0002-0504-7866; Schoeman, David/0000-0003-1258-0885; Ridgway, Ken/0000-0002-5861-1360; RODIER, Martine/0000-0003-0339-7587; Gledhill, Christopher/0000-0001-7834-3511; Parravicini, Valeriano/0000-0002-3408-1625; Kulbicki, Michel/0000-0003-1258-5061; Bax, Nicholas/0000-0002-9697-4963</t>
  </si>
  <si>
    <t>ELSEVIER ACADEMIC PRESS INC</t>
  </si>
  <si>
    <t>525 B STREET, SUITE 1900, SAN DIEGO, CA 92101-4495 USA</t>
  </si>
  <si>
    <t>0065-2881</t>
  </si>
  <si>
    <t>2162-5875</t>
  </si>
  <si>
    <t>978-0-12-408096-6</t>
  </si>
  <si>
    <t>ADV MAR BIOL</t>
  </si>
  <si>
    <t>Adv. Mar. Biol.</t>
  </si>
  <si>
    <t>10.1016/B978-0-12-408096-6.00004-3</t>
  </si>
  <si>
    <t>BA1FJ</t>
  </si>
  <si>
    <t>WOS:000332424000004</t>
  </si>
  <si>
    <t>Lehmensiek, R; van Zyl, RR; Visser, DF</t>
  </si>
  <si>
    <t>Lehmensiek, R.; van Zyl, R. R.; Visser, D. F.</t>
  </si>
  <si>
    <t>The Design of an HF Antenna on a 1U CubeSat</t>
  </si>
  <si>
    <t>AFRICON, 2013</t>
  </si>
  <si>
    <t>Africon</t>
  </si>
  <si>
    <t>AFRICON Conference</t>
  </si>
  <si>
    <t>SEP 09-12, 2013</t>
  </si>
  <si>
    <t>IEEE Reg 8, Pointe aux Piments, MAURITIUS</t>
  </si>
  <si>
    <t>IEEE Reg 8</t>
  </si>
  <si>
    <t>HF antennas; satellite antennas; satellite communication; wire antennas</t>
  </si>
  <si>
    <t>This paper presents the design, the deployment mechanism and the measurement of an HF antenna on a 1U CubeSat. An HF radio beacon on this CubeSat shall be used as a space-based signal source to contribute to the monitoring of the density and movement of the polar and high-latitude ionosphere making use of the interferometer antenna arrays at the South African Antarctic station, SANAE-IV.</t>
  </si>
  <si>
    <t>[Lehmensiek, R.; van Zyl, R. R.; Visser, D. F.] Cape Peninsula Univ Technol, FSATI, Dept Elect Engn, Bellville, South Africa</t>
  </si>
  <si>
    <t>Cape Peninsula University of Technology</t>
  </si>
  <si>
    <t>Lehmensiek, R (corresponding author), Cape Peninsula Univ Technol, FSATI, Dept Elect Engn, Bellville, South Africa.</t>
  </si>
  <si>
    <t>lehmensk@ieee.org</t>
  </si>
  <si>
    <t>Van Zyl, Robert/AAC-4476-2020</t>
  </si>
  <si>
    <t>Van Zyl, Robert/0000-0001-7688-4226; Lehmensiek, Robert/0000-0001-9388-3081</t>
  </si>
  <si>
    <t>2153-0025</t>
  </si>
  <si>
    <t>978-1-4673-5940-5</t>
  </si>
  <si>
    <t>AFRICON</t>
  </si>
  <si>
    <t>BC3YG</t>
  </si>
  <si>
    <t>WOS:000352082700094</t>
  </si>
  <si>
    <t>Boelen, P; van Dijk, R; Damsté, JSS; Rijpstra, WIC; Buma, AGJ</t>
  </si>
  <si>
    <t>Boelen, Peter; van Dijk, Roechama; Damste, Jaap S. Sinninghe; Rijpstra, W. Irene C.; Buma, Anita G. J.</t>
  </si>
  <si>
    <t>On the potential application of polar and temperate marine microalgae for EPA and DHA production</t>
  </si>
  <si>
    <t>AMB EXPRESS</t>
  </si>
  <si>
    <t>Eicosapentaenoic acid; Docosahexaenoic acid; Thalassiosira weissflogii; Chaetoceros brevis; Fibrocapsa japonica; Emiliania huxleyi; Pyramimonas sp.</t>
  </si>
  <si>
    <t>FATTY-ACID-COMPOSITION; PHAEODACTYLUM-TRICORNUTUM; LIPID-COMPOSITION; OMEGA-3-FATTY-ACID PRODUCTION; BIOCHEMICAL-COMPOSITION; FOOD QUALITY; SEA-ICE; IRRADIANCE; GROWTH; CULTURE</t>
  </si>
  <si>
    <t>Long chain polyunsaturated fatty acids (LC-PUFAs) such as eicosapentaenoic acid (EPA) and docosahexaenoic acid (DHA) are considered essential omega-3 fatty acids in human nutrition. In marine microalgae EPA and/or DHA are allegedly involved in the regulation of membrane fluidity and thylakoid membrane functioning. The cellular content of EPA and DHA may therefore be enhanced at low temperature and irradiance conditions. As a result, polar and cold temperate marine microalgal species might potentially be suitable candidates for commercial EPA and DHA production, given their adaptation to low temperature and irradiance habitats. In the present study we investigated inter-and intraspecific EPA and DHA variability in five polar and (cold) temperate microalgae. Intraspecific EPA and DHA content did not vary significantly in an Antarctic (Chaetoceros brevis) and a temperate (Thalassiosira weissflogii) centric diatom after acclimation to a range of irradiance levels at two temperatures. Interspecific variability was investigated for two Antarctic (Chaetoceros brevis and Pyramimonas sp. (Prasinophyceae)) and three cold-temperate species (Thalassiosira weissflogii, Emiliania huxleyi (Prymnesiophyceae) and Fibrocapsa japonica (Raphidophyceae)) during exponential growth. Interspecific variability was shown to be much more important than intraspecific variability. Highest relative and absolute levels of DHA were measured in the prymnesiophyte E. huxleyi and the prasinophyte Pyramimonas sp., while levels of EPA were high in the raphidophyte F. japonica and the diatoms C. brevis and T. weissflogii. Yet, no significant differences in LC-PUFA content were found between polar and cold-temperate species. Also, EPA and DHA production rates varied strongly between species. Highest EPA production rate (174 mu g L-1 day(-1)) was found in the Antarctic diatom Chaetoceros brevis, while DHA production was highest in the cold-temperate prymnesiophyte Emiliania huxleyi (164 mu g L-1 day(-1)). We show that, following careful species selection, effective mass cultivation of marine microalgae for EPA and DHA production may be possible under low temperature and irradiance conditions.</t>
  </si>
  <si>
    <t>[Boelen, Peter; van Dijk, Roechama; Buma, Anita G. J.] Univ Groningen, Dept Ocean Ecosyst, Energy &amp; Sustainabil Res Inst, NL-9747 AG Groningen, Netherlands; [Damste, Jaap S. Sinninghe; Rijpstra, W. Irene C.] Royal Netherlands Inst Sea Res NIOZ, Dept Marine Organ Biogeochem, NL-1797 SZ T Horntje, Texel, Netherlands</t>
  </si>
  <si>
    <t>University of Groningen; Utrecht University; Royal Netherlands Institute for Sea Research (NIOZ)</t>
  </si>
  <si>
    <t>Boelen, P (corresponding author), Univ Groningen, Dept Ocean Ecosyst, Energy &amp; Sustainabil Res Inst, Nijenborgh 7, NL-9747 AG Groningen, Netherlands.</t>
  </si>
  <si>
    <t>p.boelen@rug.nl</t>
  </si>
  <si>
    <t>Buma, Anita GJ/E-8372-2015; Sinninghe Damste, Jaap/F-6128-2011</t>
  </si>
  <si>
    <t>Sinninghe Damste, Jaap/0000-0002-8683-1854; Boelen, Peter/0000-0001-7023-4986</t>
  </si>
  <si>
    <t>2191-0855</t>
  </si>
  <si>
    <t>AMB Express</t>
  </si>
  <si>
    <t>10.1186/2191-0855-3-26</t>
  </si>
  <si>
    <t>V39XG</t>
  </si>
  <si>
    <t>WOS:000209443100026</t>
  </si>
  <si>
    <t>Shah, RM</t>
  </si>
  <si>
    <t>Shah, Rohani Mohd</t>
  </si>
  <si>
    <t>Mitigating the Impact of Human Activities in Antarctica for Better Quality of Life</t>
  </si>
  <si>
    <t>AMER (ABRA MALAYSIA) INTERNATIONAL CONFERENCE ON QUALITY OF LIFE, AICQOL2013</t>
  </si>
  <si>
    <t>AMER (ABRA Malaysia) International Conference on Quality of Life (AicQoL)</t>
  </si>
  <si>
    <t>APR 06-07, 2013</t>
  </si>
  <si>
    <t>Langkawi, MALAYSIA</t>
  </si>
  <si>
    <t>Human impact; global warming; Madrid protocol 1991; quality of life</t>
  </si>
  <si>
    <t>Antarctica is no longer a pristine environment due to extensive and progressive human activities which defeats Antarctica ability to cool down the heat of those activities taking place outside Antarctica. Malaysia, now a party to the Antarctic Treaty, has the intention to ratify the Protocol on Environmental Protection to the Antarctic Treaty (Madrid Protocol) 1991. The Protocol provides for comprehensive protection of the Antarctic environment and imposes the members to incorporate the obligations in their local legislation in order to maximizing quality of global environment. Thus, the Antarctica Act [M] 2013 is being formulated to mitigate the human impact on global environment. (C) 2013 The Authors. Published by Elsevier Ltd.</t>
  </si>
  <si>
    <t>Univ Teknol MARA, Fac Law, Shah Alam 40450, Malaysia</t>
  </si>
  <si>
    <t>Universiti Teknologi MARA</t>
  </si>
  <si>
    <t>Shah, RM (corresponding author), Univ Teknol MARA, Fac Law, Shah Alam 40450, Malaysia.</t>
  </si>
  <si>
    <t>rohanimohdshah@salam.uitm.edu.my</t>
  </si>
  <si>
    <t>10.1016/j.sbspro.2013.07.202</t>
  </si>
  <si>
    <t>Social Sciences, Interdisciplinary</t>
  </si>
  <si>
    <t>Social Sciences - Other Topics</t>
  </si>
  <si>
    <t>BD4ZY</t>
  </si>
  <si>
    <t>WOS:000361239600030</t>
  </si>
  <si>
    <t>Shah, RM; Husin, Z</t>
  </si>
  <si>
    <t>Shah, Rohani Mohd; Husin, Zaliha</t>
  </si>
  <si>
    <t>Policy Integration: Internationalization of state environmental protection policy</t>
  </si>
  <si>
    <t>Policy intergration; Antarctica; environmental protection; policy</t>
  </si>
  <si>
    <t>The Policy Integration Theory enhanced the role plays by Antarctica in stabilizing the planetary raising temperature due to global warming from negative impact of urbanization activities through The Antarctic Treaty 1959 and the Madrid Environmental Protocol of 1991. Today, this theory becomes a compromise used to reinforcing State standard on environmental protection policy which previously governed by the economic actors. This Theory adopted the international environmental protection policy initiated through Antarctica science diplomacy to be practised and activated voluntarily by State in their quest for better quality of life for their subjects. Malaysia is the example of this achievement. (C) 2013 The Authors. Published by Elsevier Ltd.</t>
  </si>
  <si>
    <t>[Shah, Rohani Mohd] Univ Teknol MARA UiTM, Fac Law, Shah Alam, Malaysia; [Husin, Zaliha] Univ Teknol MARA UiTM, Fac Adm Sci &amp; Policy Studies, Shah Alam, Malaysia</t>
  </si>
  <si>
    <t>Shah, RM (corresponding author), Univ Teknol MARA UiTM, Fac Law, Shah Alam, Malaysia.</t>
  </si>
  <si>
    <t>10.1016/j.sbspro.2013.07.203</t>
  </si>
  <si>
    <t>WOS:000361239600031</t>
  </si>
  <si>
    <t>Spolaor, A; Vallelonga, P; Gabrieli, J; Kehrwald, N; Turetta, C; Cozzi, G; Poto, L; Plane, JMC; Boutron, C; Barbante, C</t>
  </si>
  <si>
    <t>Spolaor, Andrea; Vallelonga, Paul; Gabrieli, Jacopo; Kehrwald, Natalie; Turetta, Clara; Cozzi, Giulio; Poto, Luisa; Plane, John M. C.; Boutron, C.; Barbante, Carlo</t>
  </si>
  <si>
    <t>Speciation analysis of iodine and bromine at picogram-per-gram levels in polar ice</t>
  </si>
  <si>
    <t>ANALYTICAL AND BIOANALYTICAL CHEMISTRY</t>
  </si>
  <si>
    <t>Iodine; Bromine; Speciation; Ice cores; Antarctica</t>
  </si>
  <si>
    <t>MARINE BOUNDARY-LAYER; PLASMA-MASS SPECTROMETRY; OZONE DEPLETION; CHEMISTRY; SEA; SYSTEM; SNOW; MACROALGAE; PARTICLES; AEROSOLS</t>
  </si>
  <si>
    <t>Iodine and bromine species participate in key atmospheric reactions including the formation of cloud condensation nuclei and ozone depletion. We present a novel method coupling a high-performance liquid chromatography with ion chromatography and inductively coupled plasma mass spectrometry, which allows the determination of iodine (I) and bromine (Br) species (IO (3) (-) , I-, Br-, BrO (3) (-) ) at the picogram-per-gram levels presents in Antarctic ice. Chromatographic separation was achieved using an IONPACA (R) AS16 Analytical Column with NaOH as eluent. Detection limits for I and Br species were 5 to 9 pg g(-1) with an uncertainty of less than 2.5% for all considered species. Inorganic iodine and bromine species have been determined in Antarctic ice core samples, with concentrations close to the detection limits for iodine species, and approximately 150 pg g(-1) for Br-. Although iodate (IO (3) (-) ) is the most abundant iodine species in the atmosphere, only the much rarer iodide (I-) species was present in Antarctic Holocene ice. Bromine was found to be present in Antarctic ice as Br-.</t>
  </si>
  <si>
    <t>[Spolaor, Andrea] Univ Siena, Dept Earth Sci, I-53100 Siena, Italy; [Spolaor, Andrea; Gabrieli, Jacopo; Kehrwald, Natalie; Turetta, Clara; Cozzi, Giulio; Barbante, Carlo] Univ Venice, Inst Dynam Environm Proc, CNR, I-30123 Venice, Italy; [Vallelonga, Paul] Niels Bohr Inst, Ctr Ice &amp; Climate, DK-2100 Copenhagen, Denmark; [Poto, Luisa; Barbante, Carlo] Univ Ca Foscari Venice, Dept Environm Sci Informat &amp; Stat, I-30123 Venice, Italy; [Plane, John M. C.] Univ Leeds, Sch Chem, Leeds LS2 9JT, W Yorkshire, England; [Boutron, C.] UMR UJF CNRS 5183, Lab Glaciol &amp; Geophys Environm, F-38402 St Martin Dheres, France; [Barbante, Carlo] Accademia Nazl Lincei, Ctr B Segre, I-00196 Rome, Italy</t>
  </si>
  <si>
    <t>University of Siena; Consiglio Nazionale delle Ricerche (CNR); Istituto per la Dinamica dei Processi Ambientali (IDPA-CNR); Universita Ca Foscari Venezia; University of Copenhagen; Niels Bohr Institute; Universita Ca Foscari Venezia; University of Leeds; Communaute Universite Grenoble Alpes; Universite Grenoble Alpes (UGA)</t>
  </si>
  <si>
    <t>Barbante, C (corresponding author), Accademia Nazl Lincei, Ctr B Segre, Via Lungara 10, I-00196 Rome, Italy.</t>
  </si>
  <si>
    <t>barbante@unive.it</t>
  </si>
  <si>
    <t>Turetta, Clara/O-2849-2015; Plane, John M C/C-7444-2015; Spolaor, Andrea/AAX-8808-2020; Kehrwald, Natalie M/A-3848-2013; Cozzi, Giulio/R-4554-2019; Barbante, Carlo/B-3195-2011; Cozzi, Giulio/F-6473-2010; Vallelonga, Paul/I-9650-2016</t>
  </si>
  <si>
    <t>Turetta, Clara/0000-0003-3130-2901; Spolaor, Andrea/0000-0001-8635-9193; Kehrwald, Natalie M/0000-0002-9160-2239; Cozzi, Giulio/0000-0001-8796-4176; Vallelonga, Paul/0000-0003-1055-7235; Barbante, Carlo/0000-0003-4177-2288; Jacopo, Gabrieli/0009-0001-7005-7390</t>
  </si>
  <si>
    <t>University of Siena; IDPA-CNR</t>
  </si>
  <si>
    <t>University of Siena; IDPA-CNR(Consiglio Nazionale delle Ricerche (CNR))</t>
  </si>
  <si>
    <t>This work was supported by the University of Siena and IDPA-CNR. We are grateful to colleagues at the University of Venice for instrumental and technical assistance and in particular to Dr. Warren Cairns of the IDPA-CNR for the discussion on speciation. The Talos Dome Ice Core Project (TALDICE), a joint European program, is funded by contributions from Italy, France, Germany, Switzerland, and the UK. Logistical support was provided by PNRA. This is TALDICE publication no 17.</t>
  </si>
  <si>
    <t>1618-2642</t>
  </si>
  <si>
    <t>1618-2650</t>
  </si>
  <si>
    <t>ANAL BIOANAL CHEM</t>
  </si>
  <si>
    <t>Anal. Bioanal. Chem.</t>
  </si>
  <si>
    <t>10.1007/s00216-012-5806-0</t>
  </si>
  <si>
    <t>Biochemical Research Methods; Chemistry, Analytical</t>
  </si>
  <si>
    <t>Biochemistry &amp; Molecular Biology; Chemistry</t>
  </si>
  <si>
    <t>072EB</t>
  </si>
  <si>
    <t>WOS:000313650800016</t>
  </si>
  <si>
    <t>Spolaor, A; Vallelonga, P; Gabrieli, J; Roman, M; Barbante, C</t>
  </si>
  <si>
    <t>Spolaor, A.; Vallelonga, P.; Gabrieli, J.; Roman, M.; Barbante, C.</t>
  </si>
  <si>
    <t>Continuous flow analysis method for determination of soluble iron and aluminium in ice cores</t>
  </si>
  <si>
    <t>Continuous flow analysis; Solubility; Dust; Greenland; Ice core; Volcano</t>
  </si>
  <si>
    <t>VOSTOK ANTARCTIC ICE; INJECTION-ANALYSIS; DISSOLVED ALUMINUM; MINERAL DUST; HEAVY-METALS; SEAWATER; SYSTEM; DEPOSITION; GREENLAND; CLIMATE</t>
  </si>
  <si>
    <t>Iron and aluminium are the two most abundant metals on the Earth's crust, but they display quite different biogeochemical properties. While iron is essential to many biological processes, aluminium has not been found to have any biological function at all. In environmental studies, iron has been studied in detail for its limiting role in the bioproductivity of high nutrient, low carbon oceanic zones, while aluminium is routinely used as a reference of crustal contributions to atmospheric deposition archives including peat bogs, lacustrine and marine sediments and ice sheets and glaciers. We report here the development of a flow injection analysis technique, which has been optimised for the simultaneous determination of soluble iron and aluminium in polar ice cores. Iron was determined by its catalytic role in the reduction of N,N-dimethyl-p-phenylenediamene (DPD) to a semiquinonic form (DPDQ) and subsequent absorption spectroscopy at 514 nm. Aluminium was determined by spectroscopic analysis of an aluminium-lumogallion complex that exhibits fluorescence at 560 nm. These techniques have been applied to a section of Greenland ice dated to 1729-1733 ad and indicate that volcanism is a source of highly soluble aluminium and iron.</t>
  </si>
  <si>
    <t>[Spolaor, A.] Univ Siena, Dept Earth Sci, I-53100 Siena, Italy; [Spolaor, A.; Barbante, C.] Univ Venice, Dept Environm Sci Informat &amp; Stat DAIS, I-30123 Venice, Italy; [Vallelonga, P.] Niels Bohr Inst, Ctr Ice &amp; Climate, DK-2100 Copenhagen, Denmark; [Gabrieli, J.; Roman, M.; Barbante, C.] Univ Venice, Inst Dynam Environm Proc CNR, I-30123 Venice, Italy</t>
  </si>
  <si>
    <t>University of Siena; Universita Ca Foscari Venezia; University of Copenhagen; Niels Bohr Institute; Universita Ca Foscari Venezia; Consiglio Nazionale delle Ricerche (CNR); Istituto per la Dinamica dei Processi Ambientali (IDPA-CNR)</t>
  </si>
  <si>
    <t>Barbante, C (corresponding author), Univ Venice, Inst Dynam Environm Proc CNR, Dorsoduro 2137, I-30123 Venice, Italy.</t>
  </si>
  <si>
    <t>Roman, Marco/ABC-7022-2020; Barbante, Carlo/B-3195-2011; Roman, Marco/HCI-7752-2022; Spolaor, Andrea/AAX-8808-2020; Vallelonga, Paul/I-9650-2016</t>
  </si>
  <si>
    <t>Roman, Marco/0000-0003-1289-8236; Spolaor, Andrea/0000-0001-8635-9193; Jacopo, Gabrieli/0009-0001-7005-7390; Vallelonga, Paul/0000-0003-1055-7235; Barbante, Carlo/0000-0003-4177-2288</t>
  </si>
  <si>
    <t>Denmark (SNF); Belgium (FNRS-CFB); France (IFRTP); France (INSU/CNRS); Germany (AWI); Iceland (RannIs); Japan (MEXT); Sweden (SPRS); Switzerland (SNF); USA (NSF); European Union [243908]</t>
  </si>
  <si>
    <t>Denmark (SNF); Belgium (FNRS-CFB)(Fonds de la Recherche Scientifique - FNRS); France (IFRTP); France (INSU/CNRS)(Centre National de la Recherche Scientifique (CNRS)); Germany (AWI); Iceland (RannIs); Japan (MEXT)(Ministry of Education, Culture, Sports, Science and Technology, Japan (MEXT)); Sweden (SPRS); Switzerland (SNF); USA (NSF)(National Science Foundation (NSF)); European Union(European Union (EU))</t>
  </si>
  <si>
    <t>We thank Anders Svensson, Henrik Clausen and Bo Vinther for helpful discussion and assistance with NorthGRIP SO42- data and the sample chronology. This work is a contribution to the NGRIP ice core project, which is directed and organised by the Ice and Climate Research Group at the Niels Bohr Institute, University of Copenhagen. It is being supported by funding agencies in Denmark (SNF), Belgium (FNRS-CFB), France (IFRTP and INSU/CNRS), Germany (AWI), Iceland (RannIs), Japan (MEXT), Sweden (SPRS), Switzerland (SNF) and the USA (NSF). The research leading to these results has received funding from the European Union's Seventh Framework programme (FP7/2007-2013) under grant agreement no. 243908, 'Past4Future: Climate change-Learning from the past climate'. This is Past4Future contribution no. XX.</t>
  </si>
  <si>
    <t>10.1007/s00216-012-6166-5</t>
  </si>
  <si>
    <t>WOS:000313650800027</t>
  </si>
  <si>
    <t>Piazza, R; Gambaro, A; Argiriadis, E; Vecchiato, M; Zambon, S; Cescon, P; Barbante, C</t>
  </si>
  <si>
    <t>Piazza, R.; Gambaro, A.; Argiriadis, E.; Vecchiato, M.; Zambon, S.; Cescon, P.; Barbante, C.</t>
  </si>
  <si>
    <t>Development of a method for simultaneous analysis of PCDDs, PCDFs, PCBs, PBDEs, PCNs and PAHs in Antarctic air</t>
  </si>
  <si>
    <t>POPs; Aerosol; Dioxins; Antarctica</t>
  </si>
  <si>
    <t>DIBENZO-P-DIOXINS; BROMINATED FLAME RETARDANTS; LONG-RANGE TRANSPORT; PERSISTENT ORGANIC POLLUTANTS; KING GEORGE ISLAND; POLYCHLORINATED NAPHTHALENES; DECABROMODIPHENYL ETHER; HIGH-VOLUME; GAS-PHASE; INJECTION</t>
  </si>
  <si>
    <t>The development of a unique analytical method for the determination of five classes of persistent organic pollutants (POPs) in atmospheric gas and the particle phase through gas chromatography coupled to high-resolution mass spectrometry is presented. Every step of the pre-analytical and analytical optimization process is described. Great effort was put into simplifying the traditional techniques, with reference to EPA and literature methods. Automated instruments were used for sample extraction and cleanup in order to enhance repeatability and reduce contamination risks. Unlike most common approaches, no separation of the analytes was performed before the GC analysis in order to avoid sample fractionation and to save time and materials. This allowed low instrumental and method detection limits (pg to sub-pg) to be achieved. Accuracy and precision were tested by fortifying the matrix and analysing standard reference materials (NIST SRM 1649b Urban Dust and 2585 Organic Contaminants in House Dust). The method was applied to five samples from Terra Nova Bay, Antarctica. Concentrations of polychlorinated dibenzo-p-dioxins and furans (PCDD/Fs), polychlorinated biphenyls (PCBs), polychlorinated naphthalenes (PCNs), polybrominated diphenyl ethers (PBDEs) and polycyclic aromatic hydrocarbons (PAHs) are presented. Lighter compounds dominate the distribution and are mainly present in the gaseous phase. The observed pattern may be attributable to long-range transport. Results are in general agreement with literature data, where available.</t>
  </si>
  <si>
    <t>[Piazza, R.; Gambaro, A.; Argiriadis, E.; Zambon, S.; Cescon, P.; Barbante, C.] Univ Venice, Dept Environm Sci Informat &amp; Stat, I-30123 Venice, Italy; [Piazza, R.; Gambaro, A.; Vecchiato, M.; Cescon, P.; Barbante, C.] Inst Dynam Environm Proc CNR IDPA, I-30123 Venice, Italy; [Vecchiato, M.] Univ Siena, Dept Earth Sci, I-53100 Siena, Italy</t>
  </si>
  <si>
    <t>Universita Ca Foscari Venezia; Consiglio Nazionale delle Ricerche (CNR); Istituto per la Dinamica dei Processi Ambientali (IDPA-CNR); University of Siena</t>
  </si>
  <si>
    <t>Argiriadis, E (corresponding author), Univ Venice, Dept Environm Sci Informat &amp; Stat, Dorsoduro 2137, I-30123 Venice, Italy.</t>
  </si>
  <si>
    <t>elena.argi@unive.it</t>
  </si>
  <si>
    <t>Barbante, Carlo/B-3195-2011; Argiriadis, Elena/ABD-4415-2020</t>
  </si>
  <si>
    <t>Piazza, Rossano/0000-0002-1897-4124; Argiriadis, Elena/0000-0001-7227-405X; Vecchiato, Marco/0000-0002-5112-8472; Barbante, Carlo/0000-0003-4177-2288; Cescon, Paolo/0000-0003-1836-6759</t>
  </si>
  <si>
    <t>Institute for the Dynamics of Environmental Processes of the National Research Council of Italy (IDPA-CNR); Consorzio per l'attuazione del Programma Nazionale per le Ricerche in Antartide (PNRA)</t>
  </si>
  <si>
    <t>This work was supported by the Institute for the Dynamics of Environmental Processes of the National Research Council of Italy (IDPA-CNR) and the Consorzio per l'attuazione del Programma Nazionale per le Ricerche in Antartide (PNRA). We thank Dr. Roberta Zangrando and Dr. Warren Cairns for the scientific and technical support.</t>
  </si>
  <si>
    <t>10.1007/s00216-012-6464-y</t>
  </si>
  <si>
    <t>WOS:000313650800040</t>
  </si>
  <si>
    <t>Kraus, S; Kurbatov, A; Yates, M</t>
  </si>
  <si>
    <t>Kraus, Stefan; Kurbatov, Andrei; Yates, Martin</t>
  </si>
  <si>
    <t>Geochemical signatures of tephras from Quaternary Antarctic Peninsula volcanoes</t>
  </si>
  <si>
    <t>ANDEAN GEOLOGY</t>
  </si>
  <si>
    <t>Late Pleistocene; Holocene; Explosive volcanism; Tephra; Source volcano identification; Geochemical fingerprint; Antarctic Peninsula; Bransfield Rift; Larsen Rift</t>
  </si>
  <si>
    <t>SOUTH-SHETLAND-ISLANDS; KING-GEORGE ISLAND; CENTRAL LIVINGSTON ISLAND; NORTHERN VICTORIA LAND; STATION ICE CORE; DECEPTION ISLAND; BRANSFIELD STRAIT; EXPLOSIVE VOLCANISM; TRACE-ELEMENT; SIPLE DOME</t>
  </si>
  <si>
    <t>In the northern Antarctic Peninsula area, at least 12 Late Pleistocene-Holocene volcanic centers could be potential sources of tephra layers in the region. We present unique geochemical fingerprints for ten of these volcanoes using major, trace, rare earth element, and isotope data from 95 samples of tephra and other eruption products. The volcanoes have predominantly basaltic and basaltic andesitic compositions. The Nb/Y ratio proves useful to distinguish between volcanic centers located on the eastern (Larsen Rift) and those situated on the western side (Bransfield Rift) of the Antarctic Peninsula. In addition, the Sr/Nb ratio (for samples with SiO2 &lt;63 wt%), along with Sr/Y, Ba/La, Zr/Hf and Th/Nb are suitable to unequivocally characterize material erupted from every studied volcanic center. Microprobe analyses on volcanic glass show that the samples are generally very poor in K2O, and that glass from Bransfield Rift volcanoes is enriched in SiO2, while that of Larsen Rift volcanoes tends towards elevated alkali contents. We propose an algorithm for the identification of the source volcano of a given tephra layer using the new geochemical fingerprints. This will contribute to the development of a regional tephrochronological framework needed for future correlations of tephra in climate archives (e.g., marine, lacustrine and ice cores).</t>
  </si>
  <si>
    <t>[Kraus, Stefan] Serv Nacl Geol &amp; Mineria SERNAGEOMIN, Santiago, Chile; [Kurbatov, Andrei] Univ Maine, Climate Change Inst, Orono, ME 04469 USA; [Yates, Martin] Univ Maine, Dept Earth Sci, Orono, ME 04469 USA</t>
  </si>
  <si>
    <t>University of Maine System; University of Maine Orono; University of Maine System; University of Maine Orono</t>
  </si>
  <si>
    <t>Kraus, S (corresponding author), Serv Nacl Geol &amp; Mineria SERNAGEOMIN, Ave Santa Maria 0104, Santiago, Chile.</t>
  </si>
  <si>
    <t>stefan.kraus@sernageomin.cl; akurbatov@maine.edu; yates@maine.edu</t>
  </si>
  <si>
    <t>Kurbatov, Andrei/0000-0002-9819-9251; Kraus, Stefan/0000-0001-5017-9940; Yates, Martin/0000-0002-9407-470X</t>
  </si>
  <si>
    <t>Instituto Antartico Chileno (INACH) [OA_05-07]; NOAA (Department of Commerce) [NA08OAR4310867]</t>
  </si>
  <si>
    <t>Instituto Antartico Chileno (INACH); NOAA (Department of Commerce)(National Oceanic Atmospheric Admin (NOAA) - USA)</t>
  </si>
  <si>
    <t>This project was funded by the Instituto Antartico Chileno (INACH, project number OA_05-07) and by the NOAA (Department of Commerce grant: NA08OAR4310867). The Chilean Navy and the Brazilian, Bulgarian, Korean and Spanish Antarctic Programs substantially supported fieldwork and logistics.</t>
  </si>
  <si>
    <t>SERVICIO NACIONAL GEOLOGIA MINERVA</t>
  </si>
  <si>
    <t>SANTIAGO</t>
  </si>
  <si>
    <t>AVDA SANTA MARIO 0104, CASILLA 10465, SANTIAGO, CHILE</t>
  </si>
  <si>
    <t>0718-7106</t>
  </si>
  <si>
    <t>ANDEAN GEOL</t>
  </si>
  <si>
    <t>Andean Geol.</t>
  </si>
  <si>
    <t>10.5027/andgeoV40n1-a01</t>
  </si>
  <si>
    <t>158MH</t>
  </si>
  <si>
    <t>WOS:000319975200001</t>
  </si>
  <si>
    <t>Wang, Y; Yan, X; Wang, Z</t>
  </si>
  <si>
    <t>Wang, Y.; Yan, X.; Wang, Z.</t>
  </si>
  <si>
    <t>Simulation of the influence of historical land cover changes on the global climate</t>
  </si>
  <si>
    <t>Meteorology and atmospheric dynamics (Climatology)</t>
  </si>
  <si>
    <t>MCGILL-PALEOCLIMATE-MODEL; ATMOSPHERIC CO2; SPATIALLY EXPLICIT; LAST MILLENNIUM; PART II; IMPACTS; CIRCULATION; VEGETATION; UNCERTAINTIES; DEFORESTATION</t>
  </si>
  <si>
    <t>In order to estimate biogeophysical effects of historical land cover change on climate during last three centuries, a set of experiments with a climate system model of intermediate complexity (MPM-2) is performed. In response to historical deforestation, the model simulates a decrease in annual mean global temperature in the range of 0.07-0.14 degrees C based on different grassland albedos. The effect of land cover changes is most pronounced in the middle northern latitudes with maximum cooling reaching approximately 0.6 degrees C during northern summer. The cooling reaches 0.57 degrees C during northern spring owing to the large effects of land surface albedo. These results suggest that land cover forcing is important for study on historical climate change and that more research is necessary in the assessment of land management options for climate change mitigation.</t>
  </si>
  <si>
    <t>[Wang, Y.] Nanjing Univ Aeronaut &amp; Astronaut, Coll Civil Aviat, Nanjing 210016, Peoples R China; [Wang, Y.; Yan, X.] Chinese Acad Sci, Key Lab Reg Climate Environm East Asia, Beijing 10029, Peoples R China; [Yan, X.] Beijing Normal Univ, Coll Global Change &amp; Earth Syst Sci, State Key Lab Earth Surface Proc &amp; Resource Ecol, Beijing 100875, Peoples R China; [Wang, Z.] British Antarctic Survey, Cambridge CB3 0ET, England</t>
  </si>
  <si>
    <t>Nanjing University of Aeronautics &amp; Astronautics; Chinese Academy of Sciences; Beijing Normal University; UK Research &amp; Innovation (UKRI); Natural Environment Research Council (NERC); NERC British Antarctic Survey</t>
  </si>
  <si>
    <t>Wang, Y (corresponding author), Nanjing Univ Aeronaut &amp; Astronaut, Coll Civil Aviat, Nanjing 210016, Peoples R China.</t>
  </si>
  <si>
    <t>wytea@126.com</t>
  </si>
  <si>
    <t>Yan, Xiaodong/0000-0002-0774-9140</t>
  </si>
  <si>
    <t>Major Project of Chinese National Programs for Fundamental Research and Development (973 Program) [2010CB950903]; NUAA Foundation [1007-909369, 1007-XNA12078]; NERC [bas0100028] Funding Source: UKRI; Natural Environment Research Council [bas0100028] Funding Source: researchfish</t>
  </si>
  <si>
    <t>Major Project of Chinese National Programs for Fundamental Research and Development (973 Program)(National Basic Research Program of China); NUAA Foundation; NERC(UK Research &amp; Innovation (UKRI)Natural Environment Research Council (NERC)); Natural Environment Research Council(UK Research &amp; Innovation (UKRI)Natural Environment Research Council (NERC))</t>
  </si>
  <si>
    <t>Special thanks to Shi Zhengguo for his assistance in running the experiments, and two anonymous reviewers for their useful comments on the manuscript. This research was supported by Major Project of Chinese National Programs for Fundamental Research and Development (973 Program) (Grant No. 2010CB950903) and NUAA Foundation (Grant No. 1007-909369 and 1007-XNA12078).</t>
  </si>
  <si>
    <t>10.5194/angeo-31-995-2013</t>
  </si>
  <si>
    <t>189TE</t>
  </si>
  <si>
    <t>WOS:000322290400001</t>
  </si>
  <si>
    <t>Woodfield, EE; Horne, RB; Glauert, SA; Menietti, JD; Shprits, YY</t>
  </si>
  <si>
    <t>Woodfield, E. E.; Horne, R. B.; Glauert, S. A.; Menietti, J. D.; Shprits, Y. Y.</t>
  </si>
  <si>
    <t>Electron acceleration at Jupiter: input from cyclotron-resonant interaction with whistler-mode chorus waves</t>
  </si>
  <si>
    <t>Magnetospheric physics; energetic particles, trapped; planetary magnetospheres; Space plasma physics; wave-particle interactions</t>
  </si>
  <si>
    <t>ENERGY DIFFUSION-COEFFICIENTS; IO PLASMA TORUS; RADIATION BELT; RELATIVISTIC ELECTRONS; PITCH-ANGLE; MAGNETOSPHERE; INTERCHANGE; INNER; PARTICLES; EMISSION</t>
  </si>
  <si>
    <t>Jupiter has the most intense radiation belts of all the outer planets. It is not yet known how electrons can be accelerated to energies of 10MeV or more. It has been suggested that cyclotron-resonant wave-particle interactions by chorus waves could accelerate electrons to a few MeV near the orbit of Io. Here we use the chorus wave intensities observed by the Galileo spacecraft to calculate the changes in electron flux as a result of pitch angle and energy diffusion. We show that, when the bandwidth of the waves and its variation with L are taken into account, pitch angle and energy diffusion due to chorus waves is a factor of 8 larger at L-shells greater than 10 than previously shown. We have used the latitudinal wave intensity profile from Galileo data to model the time evolution of the electron flux using the British Antarctic Survey Radiation Belt (BAS) model. This profile confines intense chorus waves near the magnetic equator with a peak intensity at similar to 5 degrees latitude. Electron fluxes in the BAS model increase by an order of magnitude for energies around 3 MeV. Extending our results to L = 14 shows that cyclotron-resonant interactions with chorus waves are equally important for electron acceleration beyond L = 10. These results suggest that there is significant electron acceleration by cyclotron-resonant interactions at Jupiter contributing to the creation of Jupiter's radiation belts and also increasing the range of L-shells over which this mechanism should be considered.</t>
  </si>
  <si>
    <t>[Woodfield, E. E.; Horne, R. B.; Glauert, S. A.] British Antarctic Survey, Cambridge CB3 0ET, England; [Menietti, J. D.] Univ Iowa, Dept Phys &amp; Astron, Iowa City, IA 52242 USA; [Shprits, Y. Y.] Skolkovo Inst Sci &amp; Technol, Moscow, Russia; [Shprits, Y. Y.] MIT, Cambridge, MA 02139 USA; [Shprits, Y. Y.] Univ Calif Los Angeles, Los Angeles, CA USA</t>
  </si>
  <si>
    <t>UK Research &amp; Innovation (UKRI); Natural Environment Research Council (NERC); NERC British Antarctic Survey; University of Iowa; Skolkovo Institute of Science &amp; Technology; Massachusetts Institute of Technology (MIT); University of California System; University of California Los Angeles</t>
  </si>
  <si>
    <t>Woodfield, EE (corresponding author), British Antarctic Survey, Cambridge CB3 0ET, England.</t>
  </si>
  <si>
    <t>emmwoo@bas.ac.uk</t>
  </si>
  <si>
    <t>Horne, Richard B/U-3764-2019; Shprits, Yuri Y/I-2174-2014; Woodfield, Emma/B-5313-2014</t>
  </si>
  <si>
    <t>Horne, Richard B/0000-0002-0412-6407; Woodfield, Emma/0000-0002-0531-8814; Shprits, Yuri/0000-0002-9625-0834</t>
  </si>
  <si>
    <t>STFC [ST/I001727/1]; NERC; NASA [NNX11AM36G]; NERC [bas0100023] Funding Source: UKRI; STFC [ST/I001727/1] Funding Source: UKRI; NASA [NNX11AM36G, 142393] Funding Source: Federal RePORTER; Natural Environment Research Council [bas0100023] Funding Source: researchfish; Science and Technology Facilities Council [ST/I001727/1] Funding Source: researchfish</t>
  </si>
  <si>
    <t>STFC(UK Research &amp; Innovation (UKRI)Science &amp; Technology Facilities Council (STFC)); NERC(UK Research &amp; Innovation (UKRI)Natural Environment Research Council (NERC)); NASA(National Aeronautics &amp; Space Administration (NASA)); NERC(UK Research &amp; Innovation (UKRI)Natural Environment Research Council (NERC)); STFC(UK Research &amp; Innovation (UKRI)Science &amp; Technology Facilities Council (STFC)); NASA(National Aeronautics &amp; Space Administration (NASA)); Natural Environment Research Council(UK Research &amp; Innovation (UKRI)Natural Environment Research Council (NERC)); Science and Technology Facilities Council(UK Research &amp; Innovation (UKRI)Science &amp; Technology Facilities Council (STFC))</t>
  </si>
  <si>
    <t>E. E. Woodfield and R. B. Horne are funded through STFC grant number ST/I001727/1. R. B. Horne and S. A. Glauert are funded in the UK by NERC. J. D. Menietti is funded by NASA grant NNX11AM36G. The authors wish to thank F. Bagenal for the plasma density model and H. B. Garrett and B. Mauk for electron flux data.</t>
  </si>
  <si>
    <t>10.5194/angeo-31-1619-2013</t>
  </si>
  <si>
    <t>WOS:000326548600001</t>
  </si>
  <si>
    <t>Suzuki, H; Nakamura, T; Ejiri, MK; Ogawa, T; Tsutsumi, M; Abo, M; Kawahara, TD; Tomikawa, Y; Yukimatu, AS; Sato, N</t>
  </si>
  <si>
    <t>Suzuki, H.; Nakamura, T.; Ejiri, M. K.; Ogawa, T.; Tsutsumi, M.; Abo, M.; Kawahara, T. D.; Tomikawa, Y.; Yukimatu, A. S.; Sato, N.</t>
  </si>
  <si>
    <t>Simultaneous PMC and PMSE observations with a ground-based lidar and SuperDARN HF radar at Syowa Station, Antarctica</t>
  </si>
  <si>
    <t>Atmospheric composition and structure; middle atmosphere; composition and chemistry; Ionosphere; Polar ionosphere; Meteorology and atmospheric dynamics; middle atmosphere dynamics</t>
  </si>
  <si>
    <t>MESOSPHERE SUMMER ECHOES; POLAR MESOSPHERE; NOCTILUCENT CLOUDS; DIURNAL-VARIATIONS; GRAVITY-WAVE; VHF RADAR; ALOMAR; VARIABILITY; STATISTICS; PARTICLES</t>
  </si>
  <si>
    <t>A Rayleigh-Raman lidar system was installed in January 2011 at Syowa Station, Antarctica (69.0 degrees S, 39.6 degrees E). Polar mesospheric clouds (PMCs) were detected by lidar at around 22: 30UTC (LT -3 h) on 4 February 2011, which was the first day of observation. This was the first detection of PMCs over Syowa Station by lidar. On the same day, a Super Dual Auroral Radar Network (SuperDARN) HF radar with oblique-incidence beams detected polar mesospheric summer echoes (PMSE) between 21:30 and 23:00 UTC. This event is regarded as the last PMC activity around Syowa Station during the austral summer season (2010-2011), since no other PMC signals were detected by lidar in February 2011. This is consistent with results of PMC and mesopause temperature observations by satellite-born instruments of AIM (Aeronomy of Ice in the Mesosphere)/CIPS (Cloud Imaging and Particle Size) and AURA/MLS (Microwave Limb Sounder) and horizontal wind measurements taken by a separate MF radar. Doppler velocity of PMSE observed by the HF radar showed motion toward Syowa Station (westward). This westward motion is consistent with the wind velocities obtained by the MF radar. However, the PMSE region showed horizontal motion from a north-to-south direction during the PMC event. This event indicates that the apparent horizontal motion of the PMSE region can deviate from neutral wind directions and observed Doppler velocities.</t>
  </si>
  <si>
    <t>[Suzuki, H.] Rikkyo Univ, Toshima Ku, Tokyo 171, Japan; [Nakamura, T.; Ejiri, M. K.; Tsutsumi, M.; Tomikawa, Y.; Yukimatu, A. S.; Sato, N.] Natl Inst Polar Res, Tachikawa, Tokyo, Japan; [Ogawa, T.] Natl Inst Informat &amp; Commun Technol, Koganei, Tokyo 1848795, Japan; [Abo, M.] Tokyo Metropolitan Univ, Hino, Tokyo, Japan; [Kawahara, T. D.] Shinshu Univ, Nagano, Japan</t>
  </si>
  <si>
    <t>Rikkyo University; Research Organization of Information &amp; Systems (ROIS); National Institute of Polar Research (NIPR) - Japan; National Institute of Information &amp; Communications Technology (NICT) - Japan; Tokyo Metropolitan University; Shinshu University</t>
  </si>
  <si>
    <t>Suzuki, H (corresponding author), Rikkyo Univ, Toshima Ku, Tokyo 171, Japan.</t>
  </si>
  <si>
    <t>hsuzuki@rikkyo.ac.jp</t>
  </si>
  <si>
    <t>Tomikawa, Yoshihiro/D-5304-2012</t>
  </si>
  <si>
    <t>Tomikawa, Yoshihiro/0000-0002-5652-3017; Nakamura, Takuji/0000-0002-3876-2946</t>
  </si>
  <si>
    <t>JSPS [24340121, 25800276]; National Institute of Polar Research; Aura; AIM; Grants-in-Aid for Scientific Research [25610145, 25287129, 25800276] Funding Source: KAKEN</t>
  </si>
  <si>
    <t>JSPS(Ministry of Education, Culture, Sports, Science and Technology, Japan (MEXT)Japan Society for the Promotion of Science); National Institute of Polar Research(National Institute of Polar Research (NIPR) - Japan); Aura; AIM(Centre National de la Recherche Scientifique (CNRS)); Grants-in-Aid for Scientific Research(Ministry of Education, Culture, Sports, Science and Technology, Japan (MEXT)Japan Society for the Promotion of ScienceGrants-in-Aid for Scientific Research (KAKENHI))</t>
  </si>
  <si>
    <t>This work was supported by JSPS Grant-in-Aid for Scientific Research (B) (grant number 24340121), Grant-in-Aid for Young Scientists (B) (grant number 25800276) and KP-2 project of National Institute of Polar Research. The Syowa Rayleigh-Raman lidar, the HF radar, and the MF radar are operated by Japanese Antarctic Research Expedition (JARE). The authors acknowledge the support from the Aura and AIM projects as well as the MLS and CIPS teams for making the temperature and cloud imaging data available.</t>
  </si>
  <si>
    <t>10.5194/angeo-31-1793-2013</t>
  </si>
  <si>
    <t>WOS:000326548600016</t>
  </si>
  <si>
    <t>Prikryl, P; Zhang, YL; Ebihara, Y; Ghoddousi-Fard, R; Jayachandran, PT; Kinrade, J; Mitchell, CN; Weatherwax, AT; Bust, G; Cilliers, PJ; Spogli, L; Alfonsi, L; Romano, V; Ning, BQ; Li, GZ; Jarvis, MJ; Danskin, DW; Spanswick, E; Donovan, E; Terkildsen, M</t>
  </si>
  <si>
    <t>Prikryl, Paul; Zhang, Yongliang; Ebihara, Yusuke; Ghoddousi-Fard, Reza; Jayachandran, Periyadan T.; Kinrade, Joe; Mitchell, Cathryn N.; Weatherwax, Allan T.; Bust, Gary; Cilliers, Pierre J.; Spogli, Luca; Alfonsi, Lucilla; Romano, Vincenzo; Ning, Baiqi; Li, Guozhu; Jarvis, Martin J.; Danskin, Donald W.; Spanswick, Emma; Donovan, Eric; Terkildsen, Mike</t>
  </si>
  <si>
    <t>An interhemispheric comparison of GPS phase scintillation with auroral emission observed at the South Pole and from the DMSP satellite</t>
  </si>
  <si>
    <t>HIGH-LATITUDES; GEOMAGNETIC STORM; SOLAR MINIMUM; CLIMATOLOGY; HEMISPHERES; PATCHES; INDEX</t>
  </si>
  <si>
    <t>The global positioning system (GPS) phase scintillation caused by high-latitude ionospheric irregularities during an intense high-speed stream (HSS) of the solar wind from April 29 to May 5, 2011, was observed using arrays of GPS ionospheric scintillation and total electron content monitors in the Arctic and Antarctica. The one-minute phase-scintillation index derived from the data sampled at 50 Hz was complemented by a proxy index (delta phase rate) obtained from 1-Hz GPS data. The scintillation occurrence coincided with the aurora borealis and aurora australis observed by an all-sky imager at the South Pole, and by special sensor ultraviolet scanning imagers on board satellites of the Defense Meteorological Satellites Program. The South Pole (SP) station is approximately conjugate with two Canadian High Arctic Ionospheric Network stations on Baffin Island, Canada, which provided the opportunity to study magnetic conjugacy of scintillation with support of riometers and magnetometers. The GPS ionospheric pierce points were mapped at their actual or conjugate locations, along with the auroral emission over the South Pole, assuming an altitude of 120 km. As the aurora brightened and/or drifted across the field of view of the all-sky imager, sequences of scintillation events were observed that indicated conjugate auroras as a locator of simultaneous or delayed bipolar scintillation events. In spite of the greater scintillation intensity in the auroral oval, where phase scintillation sometimes exceeded 1 radian during the auroral break-up and substorms, the percentage occurrence of moderate scintillation was highest in the cusp. Interhemispheric comparisons of bipolar scintillation maps show that the scintillation occurrence is significantly higher in the southern cusp and polar cap.</t>
  </si>
  <si>
    <t>[Prikryl, Paul] Commun Res Ctr, Ottawa, ON K2H 8S2, Canada; [Zhang, Yongliang; Bust, Gary] Johns Hopkins Univ, Appl Phys Lab, Laurel, MD USA; [Ebihara, Yusuke] Kyoto Univ, Res Inst Sustainable Humanosphere, Kyoto, Japan; [Ghoddousi-Fard, Reza] Nat Resources Canada, Geodet Survey Div, Ottawa, ON, Canada; [Jayachandran, Periyadan T.] Univ New Brunswick, Dept Phys, Fredericton, NB E3B 5A3, Canada; [Kinrade, Joe; Mitchell, Cathryn N.] Univ Bath, Bath BA2 7AY, Avon, England; [Weatherwax, Allan T.] Siena Coll, Loudonville, NY USA; [Cilliers, Pierre J.] South African Natl Space Agcy, Space Sci Directorate, Hermanus, South Africa; [Spogli, Luca; Alfonsi, Lucilla; Romano, Vincenzo] Ist Nazl Geofis &amp; Vulcanol, Sez Roma 2, Rome, Italy; [Ning, Baiqi; Li, Guozhu] Chinese Acad Sci, Inst Geol &amp; Geophys, Beijing, Peoples R China; [Jarvis, Martin J.] British Antarctic Survey, Div Phys Sci, Cambridge CB3 0ET, England; [Danskin, Donald W.] Nat Resources Canada, Geomagnet Lab, Ottawa, ON, Canada; [Spanswick, Emma; Donovan, Eric] Univ Calgary, Dept Phys &amp; Astron, Calgary, AB T2N 1N4, Canada; [Terkildsen, Mike] Bur Meteorol, IPS Radio &amp; Space Serv, Haymarket, NSW, Australia</t>
  </si>
  <si>
    <t>Communications Research Centre Canada; Johns Hopkins University; Johns Hopkins University Applied Physics Laboratory; Kyoto University; Natural Resources Canada; Lands &amp; Minerals Sector - Natural Resources Canada; Surveyor General Branch - Geomatics Canada; University of New Brunswick; University of Bath; Istituto Nazionale Geofisica e Vulcanologia (INGV); Chinese Academy of Sciences; Institute of Geology &amp; Geophysics, CAS; UK Research &amp; Innovation (UKRI); Natural Environment Research Council (NERC); NERC British Antarctic Survey; Natural Resources Canada; University of Calgary; Bureau of Meteorology - Australia</t>
  </si>
  <si>
    <t>Prikryl, P (corresponding author), Commun Res Ctr, Ottawa, ON K2H 8S2, Canada.</t>
  </si>
  <si>
    <t>paul.prikryl@crc.gc.ca</t>
  </si>
  <si>
    <t>Cilliers, Pierre/AAA-2032-2019; Ebihara, Yusuke/ABD-4430-2021; Romano, Vincenzo/HKV-6552-2023; Spogli, Luca/AAD-1980-2021; Alfonsi, Lucilla/V-2969-2018; Spanswick, Emma/JDC-7880-2023; Ning, Baiqi/A-2573-2012; Bust, Gary S./AAZ-1848-2020; Cilliers, Pierre/ABI-2944-2020; Zhang, Yongliang/C-2180-2016; Ebihara, Yusuke/D-1638-2013; Li, Guozhu/D-4322-2009</t>
  </si>
  <si>
    <t>Ebihara, Yusuke/0000-0002-2293-1557; Romano, Vincenzo/0000-0002-7532-4507; Bust, Gary S./0000-0001-6910-3989; Cilliers, Pierre/0000-0003-3175-5134; Zhang, Yongliang/0000-0003-4851-1662; Ebihara, Yusuke/0000-0002-2293-1557; Mitchell, Cathryn/0000-0003-1964-8723; Danskin, Donald William/0000-0002-4968-9094; Terkildsen, Michael/0000-0002-6290-158X; Spanswick, Emma/0000-0001-8003-5091; Kinrade, Joe/0000-0001-9740-130X; Alfonsi, Lucilla/0000-0002-1806-9327; Weatherwax, Allan/0000-0003-4732-358X; SPOGLI, Luca/0000-0003-2310-0306; Donovan, Eric/0000-0002-8557-4155; Li, Guozhu/0000-0002-7669-3590</t>
  </si>
  <si>
    <t>Canada Foundation for Innovation; New Brunswick Innovation Foundation; US National Science Foundation [ANT-0840158, ANT-0638587]; South African National Antarctic Programme [SNA2011120100008]; New Jersey Institute of Technology; University of Bath and Siena College GPS collaboration at the South Pole and McMurdo Stations, Antarctica; UK National Environment Research Council [AFI09/18]; British Antarctic Survey; National Science Foundation; National Aeronautics and Space Administration; National Science Foundation [EAR-0735156]; National Science Foundation Office of Polar Programs [ANT-0944270]; NERC [bas0100023] Funding Source: UKRI; STFC [PP/D002230/1] Funding Source: UKRI; Natural Environment Research Council [bas0100023] Funding Source: researchfish; Directorate For Geosciences; Office of Polar Programs (OPP) [0840158] Funding Source: National Science Foundation</t>
  </si>
  <si>
    <t>Canada Foundation for Innovation(Canada Foundation for InnovationCGIARSpanish Government); New Brunswick Innovation Foundation; US National Science Foundation(National Science Foundation (NSF)); South African National Antarctic Programme; New Jersey Institute of Technology; University of Bath and Siena College GPS collaboration at the South Pole and McMurdo Stations, Antarctica; UK National Environment Research Council(UK Research &amp; Innovation (UKRI)Natural Environment Research Council (NERC)); British Antarctic Survey; National Science Foundation(National Science Foundation (NSF)); National Aeronautics and Space Administration(National Aeronautics &amp; Space Administration (NASA)); National Science Foundation(National Science Foundation (NSF)); National Science Foundation Office of Polar Programs(National Science Foundation (NSF)NSF - Directorate for Geosciences (GEO)); NERC(UK Research &amp; Innovation (UKRI)Natural Environment Research Council (NERC)); STFC(UK Research &amp; Innovation (UKRI)Science &amp; Technology Facilities Council (STFC)); Natural Environment Research Council(UK Research &amp; Innovation (UKRI)Natural Environment Research Council (NERC)); Directorate For Geosciences; Office of Polar Programs (OPP)(National Science Foundation (NSF)NSF - Directorate for Geosciences (GEO))</t>
  </si>
  <si>
    <t>Infrastructure funding for CHAIN was provided by the Canada Foundation for Innovation and the New Brunswick Innovation Foundation. The CHAIN and Canadian Geospace Monitoring operation was conducted in collaboration with the Canadian Space Agency. The SP GPS, magnetometer, and riometer observations were supported in part by US National Science Foundation grants ANT-0840158 and ANT-0638587 to Siena College and New Jersey Institute of Technology, and South African National Antarctic Programme grant SNA2011120100008. These awards further support the University of Bath and Siena College GPS collaboration at the South Pole and McMurdo Stations, Antarctica. We further thank Drs. Louis Lanzerotti and Andrew Gerrard at the New Jersey Institute of Technology Center for Solar-Terrestrial Research for valuable discussions and input. This research was partly supported by the UK National Environment Research Council, grant AFI09/18, to the University of Bath, and the British Antarctic Survey. The British Antarctic Survey, the United States Antarctic Program, the South African National Antarctic Program and the University of Bath provided extensive logistical and engineering support. GPS ground data from the PoleNet and IGS campaigns were obtained through the University Navstar Consortium facility with support from the National Science Foundation and National Aeronautics and Space Administration, under a National Science Foundation Cooperative Agreement, EAR-0735156. Operation of the McMurdo SuperDARN radar is supported by grant ANT-0944270 from the National Science Foundation Office of Polar Programs. The solar-wind data were obtained from Goddard Space Flight Center Space Physics Data Facility OMNIWeb (http://omni web. gsfc. nasa. gov/). The DMSP particle detectors were designed by Dave Hardy of Air Force Research Laboratory, and the data were obtained from Johns Hopkins University Applied Research Laboratory. The results presented in this study rely on data collected at magnetic observatories operated by the Canadian GeoSpace Monitoring Network, the Geological Survey of Canada. We thank the International GNSS Service and the national institutes that support them, and INTERMAGNET for promoting high standards of data archival practice.</t>
  </si>
  <si>
    <t>R0216</t>
  </si>
  <si>
    <t>10.4401/ag-6227</t>
  </si>
  <si>
    <t>WOS:000328252900002</t>
  </si>
  <si>
    <t>Farinotti, D; Corr, H; Gudmundsson, GH</t>
  </si>
  <si>
    <t>Farinotti, Daniel; Corr, Hugh; Gudmundsson, G. Hilmar</t>
  </si>
  <si>
    <t>The ice thickness distribution of Flask Glacier, Antarctic Peninsula, determined by combining radio-echo soundings, surface velocity data and flow modelling</t>
  </si>
  <si>
    <t>SHELF; COLLAPSE; SHEET</t>
  </si>
  <si>
    <t>An interpolated bedrock topography is presented for Flask Glacier, one of the tributaries of the remnant part of the Larsen B ice shelf, Antarctic Peninsula. The ice thickness distribution is derived by combining direct but sparse measurements from airborne radio-echo soundings with indirect estimates obtained from ice-flow modelling. The ice-flow model is applied to a series of transverse profiles, and a first estimate of the bedrock is iteratively adjusted until agreement between modelled and measured surface velocities is achieved. The adjusted bedrock is then used to reinterpret the radio-echo soundings, and the recovered information used to further improve the estimate of the bedrock itself. The ice flux along the glacier center line provides an additional and independent constraint on the ice thickness. The resulting bedrock topography reveals a glacier bed situated mainly below sea level with sections having retrograde slope. The total ice volume of 120 +/- 15 km(3) for the considered area of 215 km(2) corresponds to an average ice thickness of 560 +/- 70 m.</t>
  </si>
  <si>
    <t>[Farinotti, Daniel] Lab Hydraul Hydrol &amp; Glaciol VAW, Zurich, Switzerland; [Corr, Hugh; Gudmundsson, G. Hilmar] British Antarctic Survey, Cambridge CB3 0ET, England</t>
  </si>
  <si>
    <t>Farinotti, D (corresponding author), Lab Hydraul Hydrol &amp; Glaciol VAW, Zurich, Switzerland.</t>
  </si>
  <si>
    <t>farinotti@vaw.baug.ethz.ch</t>
  </si>
  <si>
    <t>Gudmundsson, Gudmundur Hilmar/F-6499-2012; Gudmundsson, Gudmundur Hilmar/AAU-5987-2020; Corr, Hugh/C-5398-2011</t>
  </si>
  <si>
    <t>Gudmundsson, Gudmundur Hilmar/0000-0003-4236-5369; Gudmundsson, Gudmundur Hilmar/0000-0003-4236-5369; Farinotti, Daniel/0000-0003-3417-4570</t>
  </si>
  <si>
    <t>NERC [bas0100027] Funding Source: UKRI; Natural Environment Research Council [bas0100027] Funding Source: researchfish</t>
  </si>
  <si>
    <t>10.3189/2013AoG63A603</t>
  </si>
  <si>
    <t>WOS:000321685500004</t>
  </si>
  <si>
    <t>Ng, F; King, EC</t>
  </si>
  <si>
    <t>Ng, Felix; King, Edward C.</t>
  </si>
  <si>
    <t>Formation of RADARSAT backscatter feature and undulating firn stratigraphy at an ice-stream margin</t>
  </si>
  <si>
    <t>FLOW STRIPES</t>
  </si>
  <si>
    <t>On RADARSAT imagery, the southern margin of the onset zone of Bindschadler Ice Stream, West Antarctica, manifests a multi-banded feature, with brightness varying across the bands and oscillating along each band. Ground-based radar profiles across the margin reveal folds in the firn stratigraphy associated with this pattern and provide evidence for correlation between the depth of shallow isochrones and the RADARSAT backscatter intensity on each profile, allowing us to interpret the banded feature for firn-layer geometry in three dimensions. We use a kinematic model of isochrone depth evolution to show how layer folding and the band expression may result from deformation and advection in the near-surface flow field at ice-stream margins, even with steady flow. The model predicts the formation of longitudinally patterned bands when the ice-stream acceleration fluctuates along flow. Concerted study of the planform and stratigraphy of other RADARSAT-detected features on the ice sheets may help us understand their origin.</t>
  </si>
  <si>
    <t>[Ng, Felix] Univ Sheffield, Dept Geog, Sheffield S10 2TN, S Yorkshire, England; [King, Edward C.] British Antarctic Survey, NERC, Cambridge CB3 0ET, England</t>
  </si>
  <si>
    <t>University of Sheffield; UK Research &amp; Innovation (UKRI); Natural Environment Research Council (NERC); NERC British Antarctic Survey</t>
  </si>
  <si>
    <t>Ng, F (corresponding author), Univ Sheffield, Dept Geog, Sheffield S10 2TN, S Yorkshire, England.</t>
  </si>
  <si>
    <t>f.ng@sheffield.ac.uk</t>
  </si>
  <si>
    <t>Facility, NERC Geophysical Equipment/G-5260-2010</t>
  </si>
  <si>
    <t>Ng, Felix/0000-0001-6352-0351</t>
  </si>
  <si>
    <t>US National Science Foundation [86297]; UK Natural Environment Research Council (NERC) Geophysical Equipment Facility; NERC [bas0100027] Funding Source: UKRI; Natural Environment Research Council [bas0100027] Funding Source: researchfish</t>
  </si>
  <si>
    <t>US National Science Foundation(National Science Foundation (NSF)); UK Natural Environment Research Council (NERC) Geophysical Equipment Facility; NERC(UK Research &amp; Innovation (UKRI)Natural Environment Research Council (NERC)); Natural Environment Research Council(UK Research &amp; Innovation (UKRI)Natural Environment Research Council (NERC))</t>
  </si>
  <si>
    <t>We thank Ash Morton for his hard work when gathering field data, and J.M. Brown, J. Bradford and an anonymous person for their constructive reviews. The fieldwork yielding our radar and elevation data was supported by US National Science Foundation grant 86297 (to Sridhar Anandakrishnan) and the UK Natural Environment Research Council (NERC) Geophysical Equipment Facility.</t>
  </si>
  <si>
    <t>10.3189/2013AoG64A202</t>
  </si>
  <si>
    <t>WOS:000324720300012</t>
  </si>
  <si>
    <t>Harland, SR; Kendall, JM; Stuart, GW; Lloyd, GE; Baird, AF; Smith, AM; Pritchard, HD; Brisbourne, AM</t>
  </si>
  <si>
    <t>Harland, S. R.; Kendall, J. -M.; Stuart, G. W.; Lloyd, G. E.; Baird, A. F.; Smith, A. M.; Pritchard, H. D.; Brisbourne, A. M.</t>
  </si>
  <si>
    <t>Deformation in Rutford Ice Stream, West Antarctica: measuring shear-wave anisotropy from icequakes</t>
  </si>
  <si>
    <t>SEISMIC ANISOTROPY; SURFACE-WAVE; TEXTURE; FABRICS</t>
  </si>
  <si>
    <t>Ice streams provide major drainage pathways for the Antarctic ice sheet. The stress distribution and style of flow in such ice streams produce elastic and rheological anisotropy, which informs ice-flow modelling as to how ice masses respond to external changes such as global warming. Here we analyse elastic anisotropy in Rutford Ice Stream, West Antarctica, using observations of shear-wave splitting from three-component icequake seismograms to characterize ice deformation via crystal-preferred orientation. Over 110 high-quality measurements are made on 41 events recorded at five stations deployed temporarily near the ice-stream grounding line. To the best of our knowledge, this is the first well-documented observation of shear-wave splitting from Antarctic icequakes. The magnitude of the splitting ranges from 2 to 80 ms and suggests a maximum of 6% shear-wave splitting. The fast shear-wave polarization direction is roughly perpendicular to ice-flow direction. We consider three mechanisms for ice anisotropy: a cluster model (vertical transversely isotropic (VTI) model); a girdle model (horizontal transversely isotropic (HTI) model); and crack-induced anisotropy (HTI model). Based on the data, we can rule out a VTI mechanism as the sole cause of anisotropy an HTI component is needed, which may be due to ice crystal a-axis alignment in the direction of flow or the alignment of cracks or ice films in the plane perpendicular to the flow direction. The results suggest a combination of mechanisms may be at play, which represent vertical variations in the symmetry of ice crystal anisotropy in an ice stream, as predicted by ice fabric models.</t>
  </si>
  <si>
    <t>[Harland, S. R.; Stuart, G. W.; Lloyd, G. E.] Univ Leeds, Sch Earth &amp; Environm, Leeds, W Yorkshire, England; [Kendall, J. -M.; Baird, A. F.] Univ Bristol, Dept Earth Sci, Bristol, Avon, England; [Smith, A. M.; Pritchard, H. D.] British Antarctic Survey, NERC, Cambridge CB3 0ET, England; [Brisbourne, A. M.] Univ Leicester, Dept Geol, SEIS UK, Leicester LE1 7RH, Leics, England</t>
  </si>
  <si>
    <t>University of Leeds; University of Bristol; UK Research &amp; Innovation (UKRI); Natural Environment Research Council (NERC); NERC British Antarctic Survey; University of Leicester</t>
  </si>
  <si>
    <t>Harland, SR (corresponding author), Univ Leeds, Sch Earth &amp; Environm, Leeds, W Yorkshire, England.</t>
  </si>
  <si>
    <t>sophie.harland@ed.ac.uk</t>
  </si>
  <si>
    <t>Pritchard, Hamish Daniel/AAU-4696-2021; Brisbourne, Alex/E-6198-2013; Baird, Alan F/H-6939-2013; Facility, NERC Geophysical Equipment/G-5260-2010; Kendall, Michael/D-5973-2011</t>
  </si>
  <si>
    <t>Baird, Alan F/0000-0002-8740-9516; Kendall, Michael/0000-0002-1486-3945; Lloyd, Geoffrey/0000-0002-7859-2486</t>
  </si>
  <si>
    <t>Natural Environment Research Council [NE/B502287/1]; Natural Environment Research Council [bas0100027] Funding Source: researchfish; NERC [bas0100027]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</si>
  <si>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</si>
  <si>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editors Matt King and Bernd Kulessa for handling the manuscript and acknowledge the helpful comments of two reviewers, which improved the manuscript. SEIS-UK is acknowledged for the loan of equipment (NERC Geophysical Equipment Facility, Loan No. 852) and we thank BAS Operations and Chris Griffiths for field support. This study is part of the BAS Polar Science for Planet Earth Programme and was funded by the Natural Environment Research Council (NE/B502287/1). Rachel Obbard is acknowledged for her EBSD results and advice on ice crystal fabrics.</t>
  </si>
  <si>
    <t>10.3189/2013AoG64A033</t>
  </si>
  <si>
    <t>Green Submitted, Green Accepted, Bronze</t>
  </si>
  <si>
    <t>WOS:000324720300014</t>
  </si>
  <si>
    <t>Lishman, B; Wadham, J; Drinkwater, B; Kendall, JM; Burrow, S; Hilton, G; Craddock, I</t>
  </si>
  <si>
    <t>Lishman, Ben; Wadham, Jemma; Drinkwater, Bruce; Kendall, J. -Michael; Burrow, Steve; Hilton, Geoff; Craddock, Ian</t>
  </si>
  <si>
    <t>Assessing the utility of acoustic communication for wireless sensors deployed beneath ice sheets</t>
  </si>
  <si>
    <t>GROUND-PENETRATING RADAR; SUBGLACIAL WATER; LAKE VOSTOK; DEEP ICE; ATTENUATION; THICKNESS; BACTERIA; GLACIER; STREAM; SYSTEM</t>
  </si>
  <si>
    <t>The environments underneath ice sheets are of high scientific interest. Wireless sensors offer the prospect of sustained, distributed remote sensing in the subglacial environment. Typically, wireless sensor networks use radio-frequency (RF) electromagnetic communications, but these are highly attenuated in wet environments. In such environments, acoustic communications may be more power-efficient. Here we review the literature on acoustic and RF attenuation through ice and other relevant media, and present the results of new experiments on acoustic attenuation in glacial ice. Link budgets for communications from a range of subglacial environments show that acoustic communications are a viable strategy for transmission through water and ice where RF is too highly attenuated to be detected. Acoustic communication at 30 kHz is predicted to be possible through 1 km of glacial ice, using a 1 W transmitter. Such a strategy may be appropriate for shallow ice-stream environments around the Antarctic and Greenland ice sheet margins.</t>
  </si>
  <si>
    <t>[Lishman, Ben] UCL, Inst Risk &amp; Disaster Reduct, London, England; [Wadham, Jemma] Univ Bristol, Sch Geog Sci, Bristol, Avon, England; [Drinkwater, Bruce; Burrow, Steve; Hilton, Geoff; Craddock, Ian] Univ Bristol, Fac Engn, Bristol, Avon, England; [Kendall, J. -Michael] Univ Bristol, Sch Earth Sci, Bristol, Avon, England</t>
  </si>
  <si>
    <t>University of London; University College London; University of Bristol; University of Bristol; University of Bristol</t>
  </si>
  <si>
    <t>Lishman, B (corresponding author), UCL, Inst Risk &amp; Disaster Reduct, London, England.</t>
  </si>
  <si>
    <t>b.lishman@bristol.ac.uk</t>
  </si>
  <si>
    <t>Wadham, Jemma L/G-3138-2014; Kendall, Michael/D-5973-2011</t>
  </si>
  <si>
    <t>Kendall, Michael/0000-0002-1486-3945; Lishman, Ben/0000-0002-8384-8140; Drinkwater, Bruce W/0000-0002-8307-1175</t>
  </si>
  <si>
    <t>EPSRC [EP/D057620/1] Funding Source: UKRI; NERC [NE/H023879/1, NE/H002820/1] Funding Source: UKRI; Engineering and Physical Sciences Research Council [EP/D057620/1] Funding Source: researchfish; Natural Environment Research Council [NE/H002820/1, NE/H023879/1] Funding Source: researchfish</t>
  </si>
  <si>
    <t>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</si>
  <si>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10.3189/2013AoG64A022</t>
  </si>
  <si>
    <t>Green Submitted, Bronze, Green Accepted</t>
  </si>
  <si>
    <t>WOS:000324720300016</t>
  </si>
  <si>
    <t>Sakakibara, D; Sugiyama, S; Sawagaki, T; Marinsek, S; Skvarca, P</t>
  </si>
  <si>
    <t>Sakakibara, Daiki; Sugiyama, Shin; Sawagaki, Takanobu; Marinsek, Sebastian; Skvarca, Pedro</t>
  </si>
  <si>
    <t>Rapid retreat, acceleration and thinning of Glaciar Upsala, Southern Patagonia Icefield, initiated in 2008</t>
  </si>
  <si>
    <t>SUBGLACIAL WATER-PRESSURE; CALVING GLACIER; JAKOBSHAVN ISBRAE; ICE DISCHARGE; SURFACE MELT; GREENLAND; VELOCITY; FINDELENGLETSCHER; FLUCTUATIONS; SWITZERLAND</t>
  </si>
  <si>
    <t>The Patagonia lcefields are characterized by a large number of outlet glaciers calving into lakes and the ocean. In contrast to the recent intensive research activities on tidewater glaciers in other regions, very few observations have been made on calving glaciers in Patagonia. We analysed satellite images of Glaciar Upsala, the third largest freshwater calving glacier in the Southern Patagonia Icefield, to investigate changes in its front position, ice velocity and surface elevation from 2000 to 2011. Our analyses revealed a clear transition from a relatively stable phase to a rapidly retreating and fast-flowing condition in 2008. The glacier front receded by 2.9 km, and the ice velocity increased by 20-50%, over the 2008-11 period. We also found that the ice surface lowered at a rate of up to 39 m a(-1) from 2006 to 2010. This magnitude and the rate of changes in the glacier front position, ice velocity and surface elevation are greater than previously reported for Glaciar Upsala, and comparable to recent observations of large tidewater glaciers in Greenland. Our data illustrate details of a rapidly retreating calving glacier in Patagonia that have been scarcely reported despite their importance to the mass budget of the Patagonia Icefields.</t>
  </si>
  <si>
    <t>[Sakakibara, Daiki] Hokkaido Univ, Grad Sch Environm Sci, Sapporo, Hokkaido, Japan; [Sakakibara, Daiki; Sugiyama, Shin] Hokkaido Univ, Inst Low Temp Sci, Sapporo, Hokkaido 060, Japan; [Sawagaki, Takanobu] Hokkaido Univ, Fac Environm Earth Sci, Sapporo, Hokkaido, Japan; [Marinsek, Sebastian; Skvarca, Pedro] Inst Antartico Argentino, Buenos Aires, DF, Argentina</t>
  </si>
  <si>
    <t>Hokkaido University; Hokkaido University; Hokkaido University; Instituto Antartico Argentino</t>
  </si>
  <si>
    <t>Sakakibara, D (corresponding author), Hokkaido Univ, Grad Sch Environm Sci, Sapporo, Hokkaido, Japan.</t>
  </si>
  <si>
    <t>sakakibara@pop.lowtem.hokudai.ac.jp</t>
  </si>
  <si>
    <t>Sugiyama, Shin/C-2511-2012; Sawagaki, Takanobu/C-7632-2012</t>
  </si>
  <si>
    <t>Japanese Ministry of Education, Science, Sports and Culture [23403006]; Global COE Program (Establishment of Center for Integrated Field Environmental Science); Direccion Nacional del Antartico-Instituto Antartico Argentino through the project Ice-Climate Interaction; Glacier Dynamics on Antarctic Peninsula and Southern Patagonia; Grants-in-Aid for Scientific Research [23403006] Funding Source: KAKEN</t>
  </si>
  <si>
    <t>Japanese Ministry of Education, Science, Sports and Culture(Ministry of Education, Culture, Sports, Science and Technology, Japan (MEXT)); Global COE Program (Establishment of Center for Integrated Field Environmental Science); Direccion Nacional del Antartico-Instituto Antartico Argentino through the project Ice-Climate Interaction; Glacier Dynamics on Antarctic Peninsula and Southern Patagonia; Grants-in-Aid for Scientific Research(Ministry of Education, Culture, Sports, Science and Technology, Japan (MEXT)Japan Society for the Promotion of ScienceGrants-in-Aid for Scientific Research (KAKENHI))</t>
  </si>
  <si>
    <t>Landsat images were downloaded from http://earthexplorer. usgs.gov/ and SRTM DEM from http://eros.usgs.gov/. We thank T. Yamanokuchi and T. Fukuda for help with the satellite data analysis. The manuscript was improved by the comments of R. Naruse and M. Aniya. This research was funded by the Japanese Ministry of Education, Science, Sports and Culture through Grant-in-Aid 23403006 (2011-14) and the Global COE Program (Establishment of Center for Integrated Field Environmental Science). Financial support was also provided by Direccion Nacional del Antartico-Instituto Antartico Argentino through the project Ice-Climate Interaction and Glacier Dynamics on Antarctic Peninsula and Southern Patagonia. We thank N.E. Barrand and an anonymous reviewer for valuable comments, and the scientific editor, Tavi Murray, for handling the paper.</t>
  </si>
  <si>
    <t>10.3189/2013AoG63A236</t>
  </si>
  <si>
    <t>WOS:000321685500016</t>
  </si>
  <si>
    <t>Dow, CF; Hubbard, A; Booth, AD; Doyle, SH; Gusmerol, A; Kulessa, B</t>
  </si>
  <si>
    <t>Dow, C. F.; Hubbard, A.; Booth, A. D.; Doyle, S. H.; Gusmerol, A.; Kulessa, B.</t>
  </si>
  <si>
    <t>Seismic evidence of mechanically weak sediments underlying Russell Glacier, West Greenland</t>
  </si>
  <si>
    <t>ANTARCTIC ICE STREAM; SUBGLACIAL DRAINAGE; BASAL; TILL; BENEATH; LAYER; ACCELERATION; AMPLITUDE; OFFSET; ONSET</t>
  </si>
  <si>
    <t>Amplitude-versus-angle (AVA) analysis of a seismic reflection line, imaged 13 km from Russell Glacier terminus, near the western margin of the Greenland ice sheet (GrIS), suggests the presence of sediment at the bed. The analysis was complicated by the lack of identifiable multiples in the data due to a highly irregular and crevassed ice surface, rendering deeper seismic returns noisy. A modified technique for AVA processing of glacial seismic data using forward modelling with primary reflection amplitudes and simulated multiple amplitudes is presented here. Our analysis demonstrates that AVA analysis can be applied to areas with noisy seismic returns and indicates that sediment underlies the seismic study site. Our data are inconsistent with the common assumption that the GrIS is underlain only by hard bedrock, but consistent with the presence of subglacial sediment with porosity between 30% and 40%. As analysis and modelling of ice-sheet dynamics requires a sound knowledge of the underlying basal materials, subglacial sediment should be taken into account when considering ice dynamics in this region of the GrIS.</t>
  </si>
  <si>
    <t>[Dow, C. F.; Booth, A. D.; Gusmerol, A.; Kulessa, B.] Swansea Univ, Coll Sci, Glaciol Grp, Swansea, W Glam, Wales; [Hubbard, A.; Doyle, S. H.] Aberystwyth Univ, Inst Geog &amp; Earth Sci, Aberystwyth, Dyfed, Wales</t>
  </si>
  <si>
    <t>Swansea University; Aberystwyth University</t>
  </si>
  <si>
    <t>Dow, CF (corresponding author), Swansea Univ, Coll Sci, Glaciol Grp, Singleton Pk, Swansea, W Glam, Wales.</t>
  </si>
  <si>
    <t>c.f.dow513262@swansea.ac.uk</t>
  </si>
  <si>
    <t>Facility, NERC Geophysical Equipment/G-5260-2010; Hubbard, Alun/R-5085-2017</t>
  </si>
  <si>
    <t>Gusmeroli, Alessio/0000-0002-8355-5591; Dow, Christine/0000-0003-1346-2258; Hubbard, Alun/0000-0002-0503-3915; Doyle, Samuel/0000-0002-0853-431X; Kulessa, Bernd/0000-0002-4830-4949; Booth, Adam/0000-0002-8166-9608</t>
  </si>
  <si>
    <t>Greenland Analogue Project-subproject A; UK Natural Environment Research Council (NERC) [NE/G007195/1, NE/H012689/1]; NERC [R8/H10/64]; Climate Change Consortium of Wales (C3W); Leverhulme Trust [F/00391/J]; C3W; Aberystwyth University; NERC [NE/H024204/1, NE/G007195/1, NE/G005796/1, GEF010003, NE/H012869/1, NE/G010595/1] Funding Source: UKRI; Natural Environment Research Council [NE/H024204/1, NE/G007195/1, NE/H012869/1, GEF010003, NE/G010595/1, NE/G005796/1] Funding Source: researchfish</t>
  </si>
  <si>
    <t>Greenland Analogue Project-subproject A; UK Natural Environment Research Council (NERC)(UK Research &amp; Innovation (UKRI)Natural Environment Research Council (NERC)); NERC(UK Research &amp; Innovation (UKRI)Natural Environment Research Council (NERC)); Climate Change Consortium of Wales (C3W); Leverhulme Trust(Leverhulme Trust); C3W; Aberystwyth University; NERC(UK Research &amp; Innovation (UKRI)Natural Environment Research Council (NERC)); Natural Environment Research Council(UK Research &amp; Innovation (UKRI)Natural Environment Research Council (NERC))</t>
  </si>
  <si>
    <t>This project was made possible through funding from Greenland Analogue Project-subproject A, and UK Natural Environment Research Council (NERC) grants NE/G007195/1 and NE/H012689/1. C.F.D. is funded by a NERC doctoral scholarship and A.H. is partially funded by the Climate Change Consortium of Wales (C3W). A.D.B. was funded by a Leverhulme Trust Research Leadership project, F/00391/J and C3W. S.H.D. is funded by an Aberystwyth University doctoral scholarship. Shot boxes were kindly loaned by S. Anandakrishnan (Pennsylvania State University) and SEIS-UK at the University of Leicester. The facilities of SEIS-UK are supported by NERC under Agreement No. R8/H10/64. Knott-Zoeppritz equations were calculated using source code from CREWES (www.crewes.org). Glenn Jones is thanked for helpful discussions.</t>
  </si>
  <si>
    <t>10.3189/2013AoG64A032</t>
  </si>
  <si>
    <t>WOS:000324720300017</t>
  </si>
  <si>
    <t>Tedesco, M; Foreman, CM; Anton, J; Steiner, N; Schwartzman, T</t>
  </si>
  <si>
    <t>Tedesco, M.; Foreman, C. M.; Anton, J.; Steiner, N.; Schwartzman, T.</t>
  </si>
  <si>
    <t>Comparative analysis of morphological, mineralogical and spectral properties of cryoconite in Jakobshavn Isbræ, Greenland, and Canada Glacier, Antarctica</t>
  </si>
  <si>
    <t>ARCTIC SEA-ICE; SURFACE DUST; ORGANIC-MATTER; ABLATION ZONE; NO. 1; HOLES; BIOGEOCHEMISTRY; TRANSPORT; SEDIMENTS; SVALBARD</t>
  </si>
  <si>
    <t>We report the results of a comparative analysis focusing on grain size, mineralogical composition and spectral reflectance values (400-2500 nm) of cryoconite samples collected from Jakobshavn Isbr ae, West Greenland, and Canada Glacier, McMurdo Dry Valleys, Antarctica. The samples from the Greenland site were composed of small particles clumped into larger rounded agglomerates, while those from the site in Antarctica contained fragments of different sizes and shapes. Mineralogical analysis indicates that the samples from Jakobshavn Isbr ae contained a higher percentage of quartz and albite, whereas those from Canada Glacier contained a higher percentage of amphibole, augite and biotite. Spectral measurements confirmed the primary role of organic material in reducing the reflectance over the measured spectrum. The reflectance of the samples from the Antarctic site remained low after the removal of organic matter because of the higher concentration of minerals with low reflectance. The reflectance of dried cryoconite samples in the visible region was relatively low (e.g. between similar to 0.1 and similar to 0.4) favouring increased absorbed solar radiation. Despite high reflectance values in the shortwave infrared region, the effect of the presence of cryoconite is negligible at infrared wavelengths where ice reflectance is low.</t>
  </si>
  <si>
    <t>[Tedesco, M.; Schwartzman, T.] CUNY City Coll, New York, NY 10031 USA; [Tedesco, M.; Anton, J.; Steiner, N.] CUNY, Grad Ctr, New York, NY USA; [Foreman, C. M.] Montana State Univ, Ctr Biofilm Engn, Bozeman, MT 59717 USA; [Foreman, C. M.] Montana State Univ, Dept Land Resources &amp; Environm Sci, Bozeman, MT 59717 USA</t>
  </si>
  <si>
    <t>City University of New York (CUNY) System; City College of New York (CUNY); City University of New York (CUNY) System; Montana State University System; Montana State University Bozeman; Montana State University System; Montana State University Bozeman</t>
  </si>
  <si>
    <t>Tedesco, M (corresponding author), CUNY City Coll, New York, NY 10031 USA.</t>
  </si>
  <si>
    <t>mtedesco@ccny.cuny.edu</t>
  </si>
  <si>
    <t>Tedesco, Marco/F-7986-2015; Steiner, Nicholas/AAZ-4388-2021</t>
  </si>
  <si>
    <t>Steiner, Nicholas/0000-0001-5943-8400; Foreman, Christine/0000-0003-0230-4692</t>
  </si>
  <si>
    <t>US National Science Foundation [0909388]; World Wildlife Foundation; [NSF OPP 0838970]; Directorate For Geosciences; Office of Polar Programs (OPP) [0838970] Funding Source: National Science Foundation</t>
  </si>
  <si>
    <t>US National Science Foundation(National Science Foundation (NSF)); World Wildlife Foundation; ; Directorate For Geosciences; Office of Polar Programs (OPP)(National Science Foundation (NSF)NSF - Directorate for Geosciences (GEO))</t>
  </si>
  <si>
    <t>We acknowledge the support of the US National Science Foundation through grant No. 0909388 of the NASA Cryosphere Program to M.T. and NSF OPP 0838970 to C.M.F. The World Wildlife Foundation is acknowledged for partially supporting fieldwork activities in Greenland. We also acknowledge the reviewers and the editor for constructive and helpful suggestions.</t>
  </si>
  <si>
    <t>10.3189/2013AoG63A417</t>
  </si>
  <si>
    <t>WOS:000321685500018</t>
  </si>
  <si>
    <t>Pomeroy, J; Brisbourne, A; Evans, J; Graham, D</t>
  </si>
  <si>
    <t>Pomeroy, Joseph; Brisbourne, Alex; Evans, Jeffrey; Graham, David</t>
  </si>
  <si>
    <t>The search for seismic signatures of movement at the glacier bed in a polythermal valley glacier</t>
  </si>
  <si>
    <t>DEFORMATION BENEATH GLACIERS; LAURENTIDE ICE-SHEET; MASS-BALANCE; SUBGLACIAL BEDS; STORGLACIAREN; ICEQUAKES; SEDIMENT; FLOW; SNOW</t>
  </si>
  <si>
    <t>A passive seismology experiment was conducted across the main overdeepening of Storglaciaren in the Tarfala valley, northern Sweden, to investigate the spatial and temporal distribution of basal microseismic waveforms in relation to known dynamics of this small polythermal sub-arctic glacier. The high ablation rate made it difficult to keep geophones buried and well coupled to the glacier during the experiment and reduced the number of days of good-quality data collection. The characterization of typical and atypical waveforms showed that the dominant waveforms were from near-surface events such as crevassing. Waveforms resembling basal microseismic signals were very rare, and seldom observed on more than two seismic stations simultaneously. The analysis of waveforms, amplitudes and particle motions suggested a near-field origin for most events. Even though basal sliding is known to occur in the overdeepening, no convincing examples of basal waveforms were detected, suggesting basal microseismic signals are rare or difficult to detect beneath polythermal glaciers like Storglaciaren. We discuss the reasons for failing to locate basal signals, consider the origin of common waveforms and make recommendations for setting up passive seismology experiments on glaciers with high ablation rates.</t>
  </si>
  <si>
    <t>[Pomeroy, Joseph; Evans, Jeffrey; Graham, David] Univ Loughborough, Dept Geog, Polar &amp; Alpine Res Ctr, Loughborough, Leics, England; [Brisbourne, Alex] British Antarctic Survey, NERC, Cambridge CB3 0ET, England</t>
  </si>
  <si>
    <t>Loughborough University; UK Research &amp; Innovation (UKRI); Natural Environment Research Council (NERC); NERC British Antarctic Survey</t>
  </si>
  <si>
    <t>Pomeroy, J (corresponding author), Univ Loughborough, Dept Geog, Polar &amp; Alpine Res Ctr, Loughborough, Leics, England.</t>
  </si>
  <si>
    <t>d.j.graham@lboro.ac.uk</t>
  </si>
  <si>
    <t>Facility, NERC Geophysical Equipment/G-5260-2010; Brisbourne, Alex/E-6198-2013; Graham, David J/F-4617-2010</t>
  </si>
  <si>
    <t>Graham, David J/0000-0001-5287-6459</t>
  </si>
  <si>
    <t>British Society for Geomorphology Research Fund Award; UK Natural Environment Research Council (NERC)'s Geophysical Equipment Facility [925]; NERC [bas0100027] Funding Source: UKRI; Natural Environment Research Council [bas0100027] Funding Source: researchfish</t>
  </si>
  <si>
    <t>British Society for Geomorphology Research Fund Award; UK Natural Environment Research Council (NERC)'s Geophysical Equipment Facility(UK Research &amp; Innovation (UKRI)Natural Environment Research Council (NERC)); NERC(UK Research &amp; Innovation (UKRI)Natural Environment Research Council (NERC)); Natural Environment Research Council(UK Research &amp; Innovation (UKRI)Natural Environment Research Council (NERC))</t>
  </si>
  <si>
    <t>This research was supported by a British Society for Geomorphology Research Fund Award and an equipment loan from the UK Natural Environment Research Council (NERC)'s Geophysical Equipment Facility (GEF Loan 925). We thank Tom Matthews and staff at the Tarfala Research Station for field assistance. We also thank Andy Smith and two anonymous reviewers whose comments helped us to improve the manuscript.</t>
  </si>
  <si>
    <t>10.3189/2013AoG64A203</t>
  </si>
  <si>
    <t>Green Accepted, Bronze, Green Published</t>
  </si>
  <si>
    <t>WOS:000324720300019</t>
  </si>
  <si>
    <t>Paul, F; Barrand, NE; Baumann, S; Berthier, E; Bolch, T; Casey, K; Frey, H; Joshi, SP; Konovalov, V; Le Bris, R; Mölg, N; Nosenko, G; Nuth, C; Pope, A; Racoviteanu, A; Rastner, P; Raup, B; Scharrer, K; Steffen, S; Winsvold, S</t>
  </si>
  <si>
    <t>Paul, F.; Barrand, N. E.; Baumann, S.; Berthier, E.; Bolch, T.; Casey, K.; Frey, H.; Joshi, S. P.; Konovalov, V.; Le Bris, R.; Moelg, N.; Nosenko, G.; Nuth, C.; Pope, A.; Racoviteanu, A.; Rastner, P.; Raup, B.; Scharrer, K.; Steffen, S.; Winsvold, S.</t>
  </si>
  <si>
    <t>On the accuracy of glacier outlines derived from remote-sensing data</t>
  </si>
  <si>
    <t>SATELLITE DATA; INVENTORY; CHALLENGES; CANADA</t>
  </si>
  <si>
    <t>Deriving glacier outlines from satellite data has become increasingly popular in the past decade. In particular when glacier outlines are used as a base for change assessment, it is important to know how accurate they are. Calculating the accuracy correctly is challenging, as appropriate reference data (e.g. from higher-resolution sensors) are seldom available. Moreover, after the required manual correction of the raw outlines (e.g. for debris cover), such a comparison would only reveal the accuracy of the analyst rather than of the algorithm applied. Here we compare outlines for clean and debris-covered glaciers, as derived from single and multiple digitizing by different or the same analysts on very high- (1 m) and medium-resolution (30 m) remote-sensing data, against each other and to glacier outlines derived from automated classification of Landsat Thematic Mapper data. Results show a high variability in the interpretation of debris-covered glacier parts, largely independent of the spatial resolution (area differences were up to 30%), and an overall good agreement for clean ice with sufficient contrast to the surrounding terrain (differences similar to 5%). The differences of the automatically derived outlines from a reference value are as small as the standard deviation of the manual digitizations from several analysts. Based on these results, we conclude that automated mapping of clean ice is preferable to manual digitization and recommend using the latter method only for required corrections of incorrectly mapped glacier parts (e.g. debris cover, shadow).</t>
  </si>
  <si>
    <t>[Paul, F.; Bolch, T.; Frey, H.; Le Bris, R.; Moelg, N.; Rastner, P.] Univ Zurich, Zurich, Switzerland; [Barrand, N. E.] British Antarctic Survey, NERC, Cambridge CB3 0ET, England; [Baumann, S.] Tech Univ Munich, D-80290 Munich, Germany; [Berthier, E.] Univ Toulouse, Legos, CNRS, Toulouse, France; [Casey, K.] NASA, Goddard Space Flight Ctr, Cryospher Sci Branch, Greenbelt, MD 20771 USA; [Joshi, S. P.] Int Ctr Integrated Mt Dev, Kathmandu, Nepal; [Konovalov, V.; Nosenko, G.] Russian Acad Sci, Moscow, Russia; [Nuth, C.] Univ Oslo, Oslo, Norway; [Pope, A.] Univ Cambridge, Scott Polar Res Inst, Cambridge CB2 1ER, England; [Racoviteanu, A.] Univ Grenoble 1, CNRS, Lab Glaciol &amp; Geophys Environm, Grenoble, France; [Raup, B.] Univ Colorado, CIRES, Natl Snow &amp; Ice Data Ctr, Boulder, CO 80309 USA; [Scharrer, K.] Environm Earth Observat ENVEO, Innsbruck, Austria; [Steffen, S.] Univ Colorado, Boulder, CO 80309 USA; [Winsvold, S.] Norwegian Water Resources &amp; Energy Directorate NV, Oslo, Norway</t>
  </si>
  <si>
    <t>University of Zurich; UK Research &amp; Innovation (UKRI); Natural Environment Research Council (NERC); NERC British Antarctic Survey; Technical University of Munich; Universite de Toulouse; Universite Toulouse III - Paul Sabatier; Centre National de la Recherche Scientifique (CNRS); Institut de Recherche pour le Developpement (IRD); Laboratoire d'Etudes en Geophysique et oceanographie spatiales; National Aeronautics &amp; Space Administration (NASA); NASA Goddard Space Flight Center; Russian Academy of Sciences; University of Oslo; University of Cambridge; Communaute Universite Grenoble Alpes; Universite Grenoble Alpes (UGA); Centre National de la Recherche Scientifique (CNRS); University of Colorado System; University of Colorado Boulder; University of Colorado System; University of Colorado Boulder; Norwegian Water Resources &amp; Energy Directorate</t>
  </si>
  <si>
    <t>Paul, F (corresponding author), Univ Zurich, Zurich, Switzerland.</t>
  </si>
  <si>
    <t>frank.paul@geo.uzh.ch</t>
  </si>
  <si>
    <t>Konovalov, Vladimir/Y-3268-2018; Berthier, Etienne/B-8900-2009; Nosenko, Gennady A/N-2380-2013; Racoviteanu, Adina/A-7332-2016; Konovalov, Vladimir G/S-8033-2017; Frey, Holger/E-7545-2012; Bolch, Tobias/A-1935-2008; Casey, Kimberly/A-4478-2013; Bolch, Tobias/ABE-6635-2020; Casey, Kimberly/AAY-9033-2020; Casey, Kimberly/AAA-7871-2020</t>
  </si>
  <si>
    <t>Konovalov, Vladimir/0000-0002-8727-050X; Berthier, Etienne/0000-0001-5978-9155; Nosenko, Gennady A/0000-0002-8760-184X; Racoviteanu, Adina/0000-0003-4954-1871; Konovalov, Vladimir G/0000-0002-8727-050X; Bolch, Tobias/0000-0002-8201-5059; Casey, Kimberly/0000-0002-6115-7525; Bolch, Tobias/0000-0002-8201-5059; Casey, Kimberly/0000-0002-6115-7525; Casey, Kimberly/0000-0002-6115-7525; Frey, Holger/0000-0003-0705-3570; Pope, Allen/0000-0001-9699-7500; Barrand, Nicholas/0000-0003-4428-1863; Nuth, Christopher/0000-0002-1063-2832; Joshi, Sharad Prasad/0000-0001-9811-8370</t>
  </si>
  <si>
    <t>European Union [226375]; ESA project Glaciers_cci [4000101778/10/I-AM]; Natural Environment Research Council [bas0100027] Funding Source: researchfish; NERC [bas0100027] Funding Source: UKRI</t>
  </si>
  <si>
    <t>European Union(European Union (EU)); ESA project Glaciers_cci; Natural Environment Research Council(UK Research &amp; Innovation (UKRI)Natural Environment Research Council (NERC)); NERC(UK Research &amp; Innovation (UKRI)Natural Environment Research Council (NERC))</t>
  </si>
  <si>
    <t>This study was performed as part of the ESA project Glaciers_cci (4000101778/10/I-AM). This work was also supported by funding from the ice2sea programme of the European Union 7th Framework Programme, grant No. 226375. This is ice2sea contribution No. 093. We thank both anonymous reviewers for helpful comments.</t>
  </si>
  <si>
    <t>10.3189/2013AoG63A296</t>
  </si>
  <si>
    <t>Green Submitted, Bronze, Green Accepted, Green Published</t>
  </si>
  <si>
    <t>WOS:000321685500020</t>
  </si>
  <si>
    <t>Bliss, A; Hock, R; Cogley, JG</t>
  </si>
  <si>
    <t>Bliss, Andrew; Hock, Regine; Cogley, J. Graham</t>
  </si>
  <si>
    <t>A new inventory of mountain glaciers and ice caps for the Antarctic periphery</t>
  </si>
  <si>
    <t>CLIMATE-CHANGE; PENINSULA; SURFACE; AREA</t>
  </si>
  <si>
    <t>Although the glaciers in the Antarctic periphery make up a large fraction of all mountain glaciers and ice caps on Earth, a detailed glacier inventory of the region is lacking. We compile such an inventory, recording areas, area-altitude distributions, terminus characteristics and volume estimates. Glaciers on the mainland are excluded. The inventory is derived from the Antarctic Digital Database and some manual digitization. We additionally rely on satellite imagery, digital elevation models and a flowshed algorithm to classify ice bodies. We find 1133 ice caps and 1619 mountain glaciers covering a total of 132 867 +/- 6643 km(2). Estimated total volume corresponds to 0.121 +/- 0.010 m sea-level equivalent. Of the total glacier area, 99% drains either into ice shelves (63%) or into the ocean (36%). The inventory will provide a database for glacier mass-balance assessments, modelling and projections, and help to reduce the uncertainties in previous studies.</t>
  </si>
  <si>
    <t>[Bliss, Andrew; Hock, Regine] Univ Alaska Fairbanks, Inst Geophys, Fairbanks, AK 99775 USA; [Hock, Regine] Uppsala Univ, Dept Geosci, Uppsala, Sweden; [Cogley, J. Graham] Trent Univ, Dept Geog, Peterborough, ON K9J 7B8, Canada</t>
  </si>
  <si>
    <t>University of Alaska System; University of Alaska Fairbanks; Uppsala University; Trent University</t>
  </si>
  <si>
    <t>Bliss, A (corresponding author), Univ Alaska Fairbanks, Inst Geophys, Fairbanks, AK 99775 USA.</t>
  </si>
  <si>
    <t>andybliss@gmail.corn</t>
  </si>
  <si>
    <t>Bliss, Andrew/0000-0002-8637-1923; Hock, Regine/0000-0001-8336-9441</t>
  </si>
  <si>
    <t>NASA [NNX11AO23G]; US National Science Foundation [ANT-1043649]; NASA [140151, NNX11AO23G] Funding Source: Federal RePORTER</t>
  </si>
  <si>
    <t>NASA(National Aeronautics &amp; Space Administration (NASA)); US National Science Foundation(National Science Foundation (NSF)); NASA(National Aeronautics &amp; Space Administration (NASA))</t>
  </si>
  <si>
    <t>This work was supported by grants from NASA (NNX11AO23G) and the US National Science Foundation (ANT-1043649). We thank Christian Kienholz for providing his glacier delineation code and assisting with its application, Justin Rich for providing code to calculate hypsometries, and Valentina Radic for helpful discussions.</t>
  </si>
  <si>
    <t>10.3189/2013AoG63A377</t>
  </si>
  <si>
    <t>WOS:000322047200002</t>
  </si>
  <si>
    <t>Siddiqui, KS; Williams, TJ; Wilkins, D; Yau, S; Allen, MA; Brown, MV; Lauro, FM; Cavicchioli, R</t>
  </si>
  <si>
    <t>Jeanloz, R</t>
  </si>
  <si>
    <t>Siddiqui, Khawar S.; Williams, Timothy J.; Wilkins, David; Yau, Sheree; Allen, Michelle A.; Brown, Mark V.; Lauro, Federico M.; Cavicchioli, Ricardo</t>
  </si>
  <si>
    <t>Psychrophiles</t>
  </si>
  <si>
    <t>ANNUAL REVIEW OF EARTH AND PLANETARY SCIENCES, VOL 41</t>
  </si>
  <si>
    <t>Annual Review of Earth and Planetary Sciences</t>
  </si>
  <si>
    <t>microbial cold adaptation; cold-active enzymes; metagenomics; microbial diversity; Antarctica</t>
  </si>
  <si>
    <t>MCMURDO DRY VALLEYS; ANTARCTIC SEA-ICE; ARCHAEON METHANOCOCCOIDES-BURTONII; MICROBIAL MAT COMMUNITIES; RNA-BINDING PROTEINS; GLOBAL PROTEOMIC ANALYSIS; COLD-SHOCK RESPONSE; FROZEN LAKE FRYXELL; ANCIENT ALGAL MATS; FRESH-WATER LAKES</t>
  </si>
  <si>
    <t>Psychrophilic (cold-adapted) microorganisms make a major contribution to Earth's biomass and perform critical roles in global biogeochemical cycles. The vast extent and environmental diversity of Earth's cold biosphere has selected for equally diverse microbial assemblages that can include archaea, bacteria, eucarya, and viruses. Underpinning the important ecological roles of psychrophiles are exquisite mechanisms of physiological adaptation. Evolution has also selected for cold-active traits at the level of molecular adaptation, and enzymes from psychrophiles are characterized by specific structural, functional, and stability properties. These characteristics of enzymes from psychrophiles not only manifest in efficient low-temperature activity, but also result in a flexible protein structure that enables biocatalysis in nonaqueous solvents. In this review, we examine the ecology of Antarctic psychrophiles, physiological adaptation of psychrophiles, and properties of cold-adapted proteins, and we provide a view of how these characteristics inform studies of astrobiology.</t>
  </si>
  <si>
    <t>[Siddiqui, Khawar S.; Williams, Timothy J.; Wilkins, David; Yau, Sheree; Allen, Michelle A.; Brown, Mark V.; Lauro, Federico M.; Cavicchioli, Ricardo] Univ New S Wales, Sch Biotechnol &amp; Biomol Sci, Sydney, NSW 2052, Australia; [Brown, Mark V.] Univ New S Wales, Evolut &amp; Ecol Res Ctr, Sydney, NSW 2052, Australia</t>
  </si>
  <si>
    <t>University of New South Wales Sydney; University of New South Wales Sydney</t>
  </si>
  <si>
    <t>Siddiqui, KS (corresponding author), Univ New S Wales, Sch Biotechnol &amp; Biomol Sci, Sydney, NSW 2052, Australia.</t>
  </si>
  <si>
    <t>r.cavicchioli@unsw.edu.au</t>
  </si>
  <si>
    <t>Lauro, Federico/X-2420-2019; Yau, Sheree/AAX-9078-2021; Cavicchioli, Ricardo/D-4341-2013</t>
  </si>
  <si>
    <t>Lauro, Federico/0000-0002-8373-1014; Yau, Sheree/0000-0003-1878-132X; Williams, Timothy/0000-0002-2738-3019; Allen, Michelle/0000-0002-8852-1454; Siddiqui, Khawar/0000-0001-8574-3177; Cavicchioli, Ricardo/0000-0001-8989-6402</t>
  </si>
  <si>
    <t>0084-6597</t>
  </si>
  <si>
    <t>1545-4495</t>
  </si>
  <si>
    <t>978-0-8243-2041-6</t>
  </si>
  <si>
    <t>ANNU REV EARTH PL SC</t>
  </si>
  <si>
    <t>Annu. Rev. Earth Planet. Sci.</t>
  </si>
  <si>
    <t>10.1146/annurev-earth-040610-133514</t>
  </si>
  <si>
    <t>Astronomy &amp; Astrophysics; Geosciences, Multidisciplinary</t>
  </si>
  <si>
    <t>Astronomy &amp; Astrophysics; Geology</t>
  </si>
  <si>
    <t>BFX18</t>
  </si>
  <si>
    <t>WOS:000321742600006</t>
  </si>
  <si>
    <t>Dalziel, IWD; Lawver, LA; Norton, IO; Gahagan, LM</t>
  </si>
  <si>
    <t>Dalziel, Ian W. D.; Lawver, Lawrence A.; Norton, Ian O.; Gahagan, Lisa M.</t>
  </si>
  <si>
    <t>The Scotia Arc: Genesis, Evolution, Global Significance</t>
  </si>
  <si>
    <t>Gondwana; Scotia Sea; South Atlantic; Weddell Sea</t>
  </si>
  <si>
    <t>ANTARCTICA PLATE BOUNDARY; SOUTH-GEORGIA-ISLAND; TIERRA-DEL-FUEGO; MANTLE FLOW; TECTONIC EVOLUTION; CRUSTAL STRUCTURE; EAST ANTARCTICA; SANDWICH ARC; COATS LAND; SEA-FLOOR</t>
  </si>
  <si>
    <t>The Scotia arc is the eastward-closing loop of mountains and locally emergent submarine ridges extending from the southernmost Andes through the active South Sandwich volcanic arc to the Antarctic Peninsula. Its origins lie in the Jurassic initial fragmentation of Gondwana. This fragmentation involved extreme intercratonic extension, Pacificward translation of rotating crustal blocks, and an ignimbrite flare-up. Relative motion between South America, Africa, and East Antarctica during the opening of the southern ocean basins resulted in mid-Cretaceous uplift of the Pacific margin cordillera and translation of elevated crustal blocks eastward to form the North and South Scotia Ridges. The South Sandwich volcanic arc system originated in Neogene westward-directed subduction beneath oceanic crust formed between South America and Antarctica and serves as an excellent tectonic laboratory. The physiography of the entire Scotia arc region has profoundly influenced the onset and development of the Antarctic Circumpolar Current and migration of marine and terrestrial biota.</t>
  </si>
  <si>
    <t>[Dalziel, Ian W. D.; Lawver, Lawrence A.; Norton, Ian O.; Gahagan, Lisa M.] Univ Texas Austin, Inst Geophys, Jackson Sch Geosci, Austin, TX 78758 USA</t>
  </si>
  <si>
    <t>University of Texas System; University of Texas Austin</t>
  </si>
  <si>
    <t>Dalziel, IWD (corresponding author), Univ Texas Austin, Inst Geophys, Jackson Sch Geosci, Austin, TX 78758 USA.</t>
  </si>
  <si>
    <t>ian@ig.utexas.edu; lawver@ig.utexas.edu; norton@ig.utexas.edu; plates@ig.utexas.edu</t>
  </si>
  <si>
    <t>Dalziel, Ian W. D./G-5926-2010</t>
  </si>
  <si>
    <t>10.1146/annurev-earth-050212-124155</t>
  </si>
  <si>
    <t>WOS:000321742600029</t>
  </si>
  <si>
    <t>Lenton, TM</t>
  </si>
  <si>
    <t>Gadgil, A; Liverman, DM</t>
  </si>
  <si>
    <t>Lenton, Timothy M.</t>
  </si>
  <si>
    <t>Environmental Tipping Points</t>
  </si>
  <si>
    <t>ANNUAL REVIEW OF ENVIRONMENT AND RESOURCES, VOL 38</t>
  </si>
  <si>
    <t>Annual Review of Environment and Resources</t>
  </si>
  <si>
    <t>early warning; Earth system; ecosystems; global change; sustainability</t>
  </si>
  <si>
    <t>EARLY-WARNING SIGNALS; ANTARCTIC ICE-SHEET; ALTERNATIVE STABLE STATES; AFRICAN HUMID PERIOD; CLIMATE-CHANGE; REGIME SHIFTS; NATURAL DISTURBANCES; NORTHERN AFRICA; ABRUPT CHANGES; GLOBAL CHANGE</t>
  </si>
  <si>
    <t>Tipping points-where a small perturbation triggers a large response-can occur in many complex environmental systems. They produce abrupt and sometimes irreversible change, are inherently difficult to predict, and thus pose considerable challenges to the occupants and managers of those systems. However, tipping points can also represent opportunities. Here, different mathematical types of tipping points and different environmental processes that can give rise to them are distinguished. Then, I chart the crucial role that tipping points played in creating the modern Earth system. Looking ahead, potential large-scale tipping points are briefly reviewed before highlighting systems that could harbor tipping points across mechanisms and scales. The prospects for anticipating tipping points, avoiding dangerous ones, and encouraging others are outlined. Finally, a series of virtuous tipping points are identified, which can help transform the relationships between human societies and the environmental systems we depend upon.</t>
  </si>
  <si>
    <t>Univ Exeter, Coll Life &amp; Environm Sci, Exeter EX4 4PS, Devon, England</t>
  </si>
  <si>
    <t>University of Exeter</t>
  </si>
  <si>
    <t>Lenton, TM (corresponding author), Univ Exeter, Coll Life &amp; Environm Sci, Exeter EX4 4PS, Devon, England.</t>
  </si>
  <si>
    <t>t.m.lenton@exeter.ac.uk</t>
  </si>
  <si>
    <t>Lenton, Tim M/X-1893-2018</t>
  </si>
  <si>
    <t>Lenton, Tim M/0000-0002-6725-7498</t>
  </si>
  <si>
    <t>Natural Environment Research Council [NE/F005474/2] Funding Source: researchfish; NERC [NE/F005474/2] Funding Source: UKRI</t>
  </si>
  <si>
    <t>Natural Environment Research Council(UK Research &amp; Innovation (UKRI)Natural Environment Research Council (NERC)); NERC(UK Research &amp; Innovation (UKRI)Natural Environment Research Council (NERC))</t>
  </si>
  <si>
    <t>1543-5938</t>
  </si>
  <si>
    <t>978-0-8243-2338-7</t>
  </si>
  <si>
    <t>ANNU REV ENV RESOUR</t>
  </si>
  <si>
    <t>Annu. Rev. Environ. Resour</t>
  </si>
  <si>
    <t>10.1146/annurev-environ-102511-084654</t>
  </si>
  <si>
    <t>Environmental Sciences; Environmental Studies</t>
  </si>
  <si>
    <t>Book Citation Index – Social Sciences &amp; Humanities (BKCI-SSH); Book Citation Index – Science (BKCI-S); Science Citation Index Expanded (SCI-EXPANDED); Social Science Citation Index (SSCI)</t>
  </si>
  <si>
    <t>BHU62</t>
  </si>
  <si>
    <t>WOS:000326691100003</t>
  </si>
  <si>
    <t>Twining, BS; Baines, SB</t>
  </si>
  <si>
    <t>Twining, Benjamin S.; Baines, Stephen B.</t>
  </si>
  <si>
    <t>The Trace Metal Composition of Marine Phytoplankton</t>
  </si>
  <si>
    <t>ecological stoichiometry; iron; zinc; synchrotron X-ray fluorescence; metallome; GEOTRACES</t>
  </si>
  <si>
    <t>DISSOLVED IRON CONCENTRATIONS; SUB-ANTARCTIC WATERS; NITROGEN-FIXATION; ELEMENTAL STOICHIOMETRY; SUPEROXIDE DISMUTASES; PHOSPHORUS LIMITATION; ALKALINE-PHOSPHATASE; ORGANIC COMPLEXATION; SPATIAL VARIABILITY; ELECTRON-TRANSPORT</t>
  </si>
  <si>
    <t>Trace metals are required for numerous processes in phytoplankton and can influence the growth and structure of natural phytoplankton communities. The metal contents of phytoplankton reflect biochemical demands as well as environmental availability and influence the distribution of metals in the ocean. Metal quotas of natural populations can be assessed from analyses of individual cells or bulk particle assemblages or inferred from ratios of dissolved metals and macronutrients in the water column. Here, we review the available data from these approaches for temperate, equatorial, and Antarctic waters in the Pacific and Atlantic Oceans. The data show a generalized metal abundance ranking of Fe approximate to Zn &gt; Mn approximate to Ni approximate to Cu &gt;&gt; Co approximate to Cd; however, there are notable differences between taxa and regions that inform our understanding of ocean metal biogeochemistry. Differences in the quotas estimated by the various techniques also provide information on metal behavior. Therefore, valuable information is lost when a single metal stoichiometry is assumed for all phytoplankton.</t>
  </si>
  <si>
    <t>[Twining, Benjamin S.] Bigelow Lab Ocean Sci, East Boothbay, ME 04544 USA; [Baines, Stephen B.] SUNY Stony Brook, Dept Ecol &amp; Evolut, Stony Brook, NY 11794 USA</t>
  </si>
  <si>
    <t>Bigelow Laboratory for Ocean Sciences; State University of New York (SUNY) System; State University of New York (SUNY) Stony Brook</t>
  </si>
  <si>
    <t>Twining, BS (corresponding author), Bigelow Lab Ocean Sci, East Boothbay, ME 04544 USA.</t>
  </si>
  <si>
    <t>btwining@bigelow.org; sbaines@ms.cc.sunysb.edu</t>
  </si>
  <si>
    <t>Baines, Stephen/0000-0002-9114-8769; Twining, Benjamin/0000-0002-1365-9192</t>
  </si>
  <si>
    <t>Directorate For Geosciences; Division Of Ocean Sciences [0962201] Funding Source: National Science Foundation; Division Of Ocean Sciences; Directorate For Geosciences [0928289] Funding Source: National Science Foundation</t>
  </si>
  <si>
    <t>Directorate For Geosciences; Division Of Ocean Sciences(National Science Foundation (NSF)NSF - Directorate for Geosciences (GEO)); Division Of Ocean Sciences; Directorate For Geosciences(National Science Foundation (NSF)NSF - Directorate for Geosciences (GEO))</t>
  </si>
  <si>
    <t>10.1146/annurev-marine-121211-172322</t>
  </si>
  <si>
    <t>WOS:000316390400010</t>
  </si>
  <si>
    <t>Maestro, A; López-Martínez, J; Bohoyo, F</t>
  </si>
  <si>
    <t>Maestro, A.; Lopez-Martinez, J.; Bohoyo, F.</t>
  </si>
  <si>
    <t>Mesozoic to recent evolution of intraplate stress fields under multiple remote stresses: The case of Signy Island (South Orkney Microcontinent, Antarctica)</t>
  </si>
  <si>
    <t>REGIONAL JOINT SETS; PLATE BOUNDARY; TECTONIC EVOLUTION; POWELL BASIN; TRENCH COLLISION; SCOTIA RIDGE; OCEAN-BASIN; JANE BASIN; EBRO BASIN; ROCKS</t>
  </si>
  <si>
    <t>Palaeostresses inferred from approximately 3200 brittle mesostructures measured at 43 sites in Signy Island show a stress field characterized by compressional, strike-slip and extensional stress states. There is a dominant NW-SE horizontal compression direction as well as three (NNW-SSE, WNW-ESE and ENE-WSW) secondarys sigma(1) horizontal stress directions. Orientation of sigma(3) shows a main mode trending NW-SE together with secondary north-south and NE-SW extensional stress directions. The NNW-SSE horizontal compression is consistent with the stretching-shearing direction defined from the fold-axis trend. This is owing to a subduction-related tectonic regime during early to middle Jurassic times. In middle Jurassic/early Cretaceous times, the tectonic regime changes to extensional with north-south extensional stress directions. The early processes of subduction of the northern sector of the Weddell Sea oceanic crust below the South Orkney Microcontinent, from the Paleocene until the middle Miocene, is related to the sigma(1) direction WNW-ESE to NW-SE. The spreading of Powell Basin took place from the late Eocene to the early Miocene and is the cause of east-west and NE-SW extensional processes in the southern South Orkney Microcontinent. Finally, the NW-SE sigma(3) direction is related to the current left-lateral strike-slip movement between the Scotia and Antarctic plates.</t>
  </si>
  <si>
    <t>[Maestro, A.; Bohoyo, F.] Inst Geol &amp; Minero Espana, Madrid 28760, Spain; [Maestro, A.; Lopez-Martinez, J.] Univ Autonoma Madrid, Fac Ciencias, Dept Geol &amp; Geoquim, E-28049 Madrid, Spain</t>
  </si>
  <si>
    <t>Autonomous University of Madrid</t>
  </si>
  <si>
    <t>Maestro, A (corresponding author), Inst Geol &amp; Minero Espana, C Calera 1, Madrid 28760, Spain.</t>
  </si>
  <si>
    <t>a.maestro@igme.es</t>
  </si>
  <si>
    <t>Lopez-Martinez, Jeronimo/C-5744-2011; Maestro, Adolfo/ABG-7268-2021; Bohoyo, Fernando/AAZ-5990-2021; Bohoyo, Fernando/C-1062-2011; Maestro Gonzalez, Adolfo/K-2434-2014</t>
  </si>
  <si>
    <t>Lopez-Martinez, Jeronimo/0000-0002-1750-8287; Bohoyo, Fernando/0000-0002-1044-8816; Bohoyo, Fernando/0000-0002-1044-8816; Maestro Gonzalez, Adolfo/0000-0002-7474-725X</t>
  </si>
  <si>
    <t>10.1144/SP381.4</t>
  </si>
  <si>
    <t>WOS:000343054800005</t>
  </si>
  <si>
    <t>Balks, MR; López-Martínez, J; Goryachkin, SV; Mergelov, NS; Schaefer, CEGR; Simas, FNB; Almond, PC; Claridge, GGC; McLeod, M; Scarrow, J</t>
  </si>
  <si>
    <t>Balks, Megan R.; Lopez-Martinez, Jeronimo; Goryachkin, Sergey V.; Mergelov, Nikita S.; Schaefer, Carlos E. G. R.; Simas, Felipe N. B.; Almond, Peter C.; Claridge, Graeme G. C.; McLeod, Malcolm; Scarrow, Joshua</t>
  </si>
  <si>
    <t>Windows on Antarctic soil-landscape relationships: comparison across selected regions of Antarctica</t>
  </si>
  <si>
    <t>SOUTH-SHETLAND ISLANDS; KING GEORGE ISLAND; EAST ANTARCTICA; MARITIME ANTARCTICA; BYERS PENINSULA; WRIGHT VALLEY; VICTORIA LAND; CRYOSOLS; CLASSIFICATION; PERMAFROST</t>
  </si>
  <si>
    <t>This paper brings together topographic cross-section 'windows' from across Antarctica to illustrate soil-landscapes from the margins of the polar plateau in the Transantarctic Mountains and McMurdo Dry Valleys, through East Antarctic coastal areas, to the northern Antarctic Peninsula Region. Soils identified range from Gelisols in the Ross Sea Region, through Gelisols and Entisols in coastal East Antarctica, to a mixture of Gelisols, Entisols, Spodosols and Inceptisols in the northern Antarctic Peninsula Region where permafrost is not ubiquitous. The relative impacts of the soil-forming factors are considered. At a continental scale climate is the main driver of the differences observed between soils in different areas. At local scales strong soil-topographic relationships are observed. Organisms, time and parent material are dominant influences on soil properties only in relatively localized situations. Organisms dominate in areas of organic matter or guano accumulation and time is a dominant influence on exceptionally old upland surfaces in the McMurdo Dry Valleys. The US Department of Agriculture's Soil Taxonomy gives a useful overall appraisal of Antarctic soils; however, for detailed work, there is a need to introduce some new categories at subgroup level to better capture the range of soils described.</t>
  </si>
  <si>
    <t>[Balks, Megan R.; Scarrow, Joshua] Univ Waikato, Hamilton 3240, New Zealand; [Lopez-Martinez, Jeronimo] Univ Autonoma Madrid, Fac Ciencias, Dept Geol &amp; Geoquim, E-28049 Madrid, Spain; [Goryachkin, Sergey V.; Mergelov, Nikita S.] RAS, Inst Geog, Moscow 119017, Russia; [Schaefer, Carlos E. G. R.; Simas, Felipe N. B.] Univ Fed Vicosa, Dept Solos, BR-36571000 Vicosa, MG, Brazil; [Almond, Peter C.] Lincoln Univ, Dept Soil &amp; Phys Sci, Christchurch, New Zealand; [McLeod, Malcolm] Landcare Res, Hamilton 3240, New Zealand</t>
  </si>
  <si>
    <t>University of Waikato; Autonomous University of Madrid; Russian Academy of Sciences; Institute of Geography, Russian Academy of Sciences; Universidade Federal de Vicosa; Lincoln University - New Zealand; Landcare Research - New Zealand</t>
  </si>
  <si>
    <t>Balks, MR (corresponding author), Univ Waikato, Private Bag 3105, Hamilton 3240, New Zealand.</t>
  </si>
  <si>
    <t>m.balks@waikato.ac.nz</t>
  </si>
  <si>
    <t>Lopez-Martinez, Jeronimo/C-5744-2011; Schaefer, Carlos Ernesto/AAY-4977-2020; Mergelov, Nikita S/D-2585-2015; Goryachkin, Sergey/H-3357-2016</t>
  </si>
  <si>
    <t>Lopez-Martinez, Jeronimo/0000-0002-1750-8287; Ernesto Goncalves Reynaud Schaefer, Carlos/0000-0001-5735-3227; Ernesto Goncalves Reynaud Schaefer, Carlos/0000-0001-7060-1598; Mergelov, Nikita/0000-0001-5796-5960; Goryachkin, Sergey/0000-0002-3489-6584</t>
  </si>
  <si>
    <t>10.1144/SP381.9</t>
  </si>
  <si>
    <t>WOS:000343054800023</t>
  </si>
  <si>
    <t>Harley, Simon L.; Fitzsimons, Ian C. W.; Zhao, Yue</t>
  </si>
  <si>
    <t>Antarctica and supercontinent evolution: historical perspectives, recent advances and unresolved issues</t>
  </si>
  <si>
    <t>DRONNING MAUD LAND; PRINCE-CHARLES MOUNTAINS; EAST-AFRICAN OROGEN; U-PB GEOCHRONOLOGY; CENTRAL TRANSANTARCTIC MOUNTAINS; NORTHERN VICTORIA LAND; MARIE-BYRD-LAND; GRANULITE-FACIES METAMORPHISM; GRENVILLE-AGE METAMORPHISM; SOR-RONDANE MOUNTAINS</t>
  </si>
  <si>
    <t>The Antarctic rock record spans some 3.5 billion years of history, and has made important contributions to our understanding of how Earth's continents assemble and disperse through time. Correlations between Antarctica and other southern continents were critical to the concept of Gondwana, the Palaeozoic supercontinent used to support early arguments for continental drift, while evidence for Proterozoic connections between Antarctica and North America led to the 'SWEAT' configuration (linking SW USA to East Antarctica) for an early Neoproterozoic supercontinent known as Rodinia. Antarctica also contains relicts of an older Palaeo-to Mesoproterozoic supercontinent known as Nuna, along with several Archaean fragments that belonged to one or more 'supercratons' in Neoarchaean times. It thus seems likely that Antarctica contains remnants of most, if not all, of Earth's supercontinents, and Antarctic research continues to provide insights into their palaeogeography and geological evolution. One area of research is the latest Neoproterozoic- Mesozoic active margin of Gondwana, preserved in Antarctica as the Ross Orogen and a number of outboard terranes that now form West Antarctica. Major episodes of magmatism, deformation and metamorphism along this palaeo-Pacific margin at 590-500 and 300-230 Ma can be linked to reduced convergence along the internal collisional orogens that formed Gondwana and Pangaea, respectively; indicating that accretionary systems are sensitive to changes in the global plate tectonic budget. Other research has focused on Grenville-age (c. 1.0 Ga) and PanAfrican (c. 0.5 Ga) metamorphism in the East Antarctic Craton. These global-scale events record the amalgamation of Rodinia and Gondwana, respectively. Three coastal segments of Grenville- age metamorphism in the Indian Ocean sector of Antarctica are each linked to the c. 1.0 Ga collision between older cratons but are separated by two regions of pervasive Pan-African metamorphism ascribed to Neoproterozoic ocean closure. The tectonic setting of these events is poorly constrained given the sparse exposure, deep erosion level and likelihood that younger metamorphic events have reactivated older structures. The projection of these orogens under the ice is also controversial, but it is likely that at least one of the Pan-African orogens links up with the Shackleton Range on the palaeo-Pacific margin of the craton. Sedimentary detritus and glacial erratics at the edge of the ice sheet provide evidence for the c. 1.0 and 0.5 Ga orogenesis in the continental interior, while geophysical data reveal prominent geological boundaries under the ice, but there are insufficient data to trace these features to exposed structures of known age. Until we can resolve the subglacial geometry and tectonic setting of the c. 0.5 and 1.0 Ga metamorphism, there will be no consensus on the configuration of Rodinia, or the size and shape of the continents that existed immediately before and after this supercontinent. Given this uncertainty, it is premature to speculate on the role of Antarctica in earlier supercontinents, but it is likely that Antarctica will continue to provide important constraints when our attention shifts to these earlier events.</t>
  </si>
  <si>
    <t>[Harley, Simon L.] Univ Edinburgh, Sch Geosci, Edinburgh EH9 3JW, Midlothian, Scotland; [Fitzsimons, Ian C. W.] Curtin Univ, Dept Appl Geol, Perth, WA 6845, Australia; [Zhao, Yue] Chinese Acad Geol Sci, Inst Geomech, Beijing 100081, Peoples R China</t>
  </si>
  <si>
    <t>University of Edinburgh; Curtin University; China Geological Survey; Chinese Academy of Geological Sciences; Institute of Geomechanics, Chinese Academy of Geological Sciences</t>
  </si>
  <si>
    <t>Harley, SL (corresponding author), Univ Edinburgh, Sch Geosci, Edinburgh EH9 3JW, Midlothian, Scotland.</t>
  </si>
  <si>
    <t>Simon.Harley@ed.ac.uk</t>
  </si>
  <si>
    <t>Fitzsimons, Ian/A-3707-2012; Yakymchuk, Chris/H-1297-2013</t>
  </si>
  <si>
    <t>Fitzsimons, Ian/0000-0002-8907-7455; Harley, Simon/0000-0002-1903-939X</t>
  </si>
  <si>
    <t>10.1144/SP383.9</t>
  </si>
  <si>
    <t>WOS:000342894000001</t>
  </si>
  <si>
    <t>Liu, XC; Zhao, Y; Hu, JM</t>
  </si>
  <si>
    <t>Liu, Xiaochun; Zhao, Yue; Hu, Jianmin</t>
  </si>
  <si>
    <t>The c. 1000-900 Ma and c. 550-500 Ma tectonothermal events in the Prince Charles Mountains-Prydz Bay region, East Antarctica, and their relations to supercontinent evolution</t>
  </si>
  <si>
    <t>U-PB AGES; DETRITAL ZIRCON GEOCHRONOLOGY; ECLOGITE-FACIES METAMORPHISM; MALANI IGNEOUS SUITE; T-T PATH; RAUER-GROUP; LARSEMANN HILLS; VESTFOLD HILLS; SM-ND; GROVE MOUNTAINS</t>
  </si>
  <si>
    <t>The Prince Charles Mountains (PCM)-Prydz Bay region in East Antarctica experienced the late Mesoproterozoic/early Neoproterozoic (c. 1000-900 Ma) and late Neoproterozoic/ Cambrian (c. 550-500 Ma) tectonothermal events. The late Mesoproterozoic/early Neoproterozoic tectonothermal event dominates the Rayner Complex and spreads over the main part of the Prydz Belt. This event includes two episodes (or stages) of metamorphism accompanying the intrusion of syn-to post-orogenic granitoids at c. 1000-960 Ma and c. 940-900 Ma. The c. 1000-960 Ma metamorphism in the northern PCM and Mawson Coast records medium-to low-pressure granulite facies conditions accompanied by a near-isobaric cooling path, whereas the c. 940-900 Ma metamorphism in Kemp Land reaches relatively higher P-T conditions followed by a near-isothermal decompression or decompressive cooling path. The late Mesoproterozoic/ early Neoproterozoic orogeny (i.e. the Rayner orogeny) involved a long-lived (c. 1380-1020 Ma) magmatic accretion along continental/oceanic arcs and a protracted or two-stage collision of the Indian craton with a portion of East Antarctica, forming the Indian-Antarctic continental block independent of the Rodinia supercontinent. The late Neoproterozoic/Cambrian tectonothermal event pervasively overprinted on both Archaean-Proterozoic basements and cover sequences in the Prydz Belt. Except for high-pressure granulite boulders from the Grove Mountains, the metamorphism of most rocks records medium-pressure granulite facies conditions with a clockwise P-T path. In contrast, this event is lower grade (greenschist-amphibolite facies) and localized in the PCM. Regionally, the late Neoproterozoic/Cambrian tectonothermal event seems to have developed on the southeastern margin of the Indo-Antarctic continental block, suggesting that the major suture should be located southeastwards of the presently exposed Prydz Belt. The precise dating for different rock types reveals that the late Neoproterozoic/ Cambrian orogeny (i.e. the Prydz orogeny) commenced at c. 570 Ma and lasted until c. 490 Ma, which is roughly contemporaneous with the late collisional stage of the Brasiliano/ Pan-African orogenic systems in Gondwanaland. Therefore, the final assembly of the Gondwana supercontinent may have been completed by the collision of a number of cratonic blocks during the same time period.</t>
  </si>
  <si>
    <t>[Liu, Xiaochun; Zhao, Yue; Hu, Jianmin] Chinese Acad Geol Sci, Inst Geomech, Beijing 100081, Peoples R China</t>
  </si>
  <si>
    <t>China Geological Survey; Institute of Geomechanics, Chinese Academy of Geological Sciences; Chinese Academy of Geological Sciences</t>
  </si>
  <si>
    <t>Liu, XC (corresponding author), Chinese Acad Geol Sci, Inst Geomech, Beijing 100081, Peoples R China.</t>
  </si>
  <si>
    <t>liuxchqw@yahoo.com.cn</t>
  </si>
  <si>
    <t>10.1144/SP383.6</t>
  </si>
  <si>
    <t>WOS:000342894000005</t>
  </si>
  <si>
    <t>Keeley, NB; Cromey, CJ; Goodwin, EO; Gibbs, MT; Macleod, CM</t>
  </si>
  <si>
    <t>Keeley, N. B.; Cromey, C. J.; Goodwin, E. O.; Gibbs, M. T.; Macleod, C. M.</t>
  </si>
  <si>
    <t>Predictive depositional modelling (DEPOMOD) of the interactive effect of current flow and resuspension on ecological impacts beneath salmon farms</t>
  </si>
  <si>
    <t>Aquaculture; Benthic; Biodeposition; Enrichment; Dispersive; Depositional modelling; DEPOMOD; Marlborough Sounds</t>
  </si>
  <si>
    <t>BENTHIC IMPACT; SHELLFISH AQUACULTURE; FINFISH AQUACULTURE; ORGANIC ENRICHMENT; MEDITERRANEAN SEA; WASTE; ENVIRONMENT; SEDIMENTS; COMMUNITIES; INDICATORS</t>
  </si>
  <si>
    <t>Sediment resuspension is an important factor in controlling the impact of any localised point source impacts such as salmon farms; at high-flow (dispersive) sites, resuspension can significantly reduce potential effects. Depositional modelling (DEPOMOD) is widely used to predict localised seabed impacts and includes an optional flow-related resuspension module. This study examined the observed impacts at 5 farms with contrasting flow regimes to evaluate the role of modelled resuspension dynamics in determining impacts. When resuspension was included in the model, net particle export (i.e. no significant net downward flux of organic material) was predicted at the most dispersive sites. However, significant seabed effects were observed, suggesting that although the model outputs were theoretically plausible, they were inconsistent with the observational data. When the model was run without resuspension, the results were consistent with the field survey data. This retrospective validation allows a more realistic estimation of the depositional flux required, suggesting that approximately twice the flux was needed to induce an effect level at the dispersive sites equivalent to that at the non-dispersive sites. Moderate enrichment was associated with a flux of similar to 0.4 and similar to 1 kg m(-2) yr(-1), whilst highly enriched conditions occurred in response to 6 and 13 kg m(-2) yr(-1), for low and dispersive sites, respectively. This study shows that the association between current flow, sediment resuspension and ecological impacts is more complex than presently encapsulated within DEPOMOD. Consequently, where depositional models are employed at dispersive sites, validation data should be obtained to ensure that the impacts are accurately predicted.</t>
  </si>
  <si>
    <t>[Keeley, N. B.; Goodwin, E. O.] Cawthron Inst, Nelson 7010, New Zealand; [Cromey, C. J.; Macleod, C. M.] Univ Tasmania, Inst Marine &amp; Antarct Sci, Hobart, Tas 7001, Australia; [Cromey, C. J.] SV Whanake, Falkland Islands, S Atlantic Ocea, England; [Gibbs, M. T.] AECOM, Brisbane, Qld 4006, Australia</t>
  </si>
  <si>
    <t>; Macleod, Catriona/J-7176-2014</t>
  </si>
  <si>
    <t>Gibbs, Mark/0000-0002-9632-1567; Macleod, Catriona/0000-0002-0539-6361</t>
  </si>
  <si>
    <t>Cawthron Institute (Nelson, New Zealand); Institute of Marine and Antarctic Sciences (IMAS), University of Tasmania; New Zealand King Salmon Company Ltd.</t>
  </si>
  <si>
    <t>This research was supported by the Cawthron Institute (Nelson, New Zealand) through internal investment funding (IIF), with additional support from the Institute of Marine and Antarctic Sciences (IMAS), University of Tasmania. We also acknowledge the support of New Zealand King Salmon Company Ltd., who allowed the research to be conducted at their farms, made available much of the source data and supported the dissemination of the findings.</t>
  </si>
  <si>
    <t>10.3354/aei00068</t>
  </si>
  <si>
    <t>158PT</t>
  </si>
  <si>
    <t>WOS:000319985300008</t>
  </si>
  <si>
    <t>Maas, EW; Law, CS; Hall, JA; Pickmere, S; Currie, KI; Chang, FH; Voyles, KM; Caird, D</t>
  </si>
  <si>
    <t>Maas, Elizabeth W.; Law, Cliff S.; Hall, Julie A.; Pickmere, Stu; Currie, Kim I.; Chang, F. H.; Voyles, K. Matt; Caird, Dianna</t>
  </si>
  <si>
    <t>Effect of ocean acidification on bacterial abundance, activity and diversity in the Ross Sea, Antarctica</t>
  </si>
  <si>
    <t>Ocean acidification; Bacterial abundance; Extracellular enzymes; Bacterial diversity; RNA-T-RFLP; Ross Sea</t>
  </si>
  <si>
    <t>PELAGIC MARINE-BACTERIA; MICROBIAL COMMUNITY; PHYTOPLANKTON ASSEMBLAGES; SEAWATER ACIDIFICATION; CO2 SEQUESTRATION; GROWTH; PCO(2); DYNAMICS; IMPACT; WATERS</t>
  </si>
  <si>
    <t>Three ocean acidification experiments were conducted on water from the same location in the Ross Sea, Southern Ocean, to ascertain how surface-water mixed populations, including the microbial community, would respond to changes in pH (pH 7.80 and 7.65). Bacterial extracellular enzymes, abundances, thymidine uptake rate, the diversity of the active fraction of the bacterial community and phytoplankton diversity were measured in response to changes in pH. Bacterial abundance increased at lower pH, and the active fraction of the bacteria decreased, concurrently becoming less diverse within 8 d. However, as the active fraction of the bacterial community evolved, changes in bacterial extracellular enzyme rates occurred, with phosphatase, beta-glucosidase and lipase activity increasing up to 2-fold in the acidified incubations. These results suggest that carbohydrates and lipids may be hydrolysed faster with more rapid regeneration of nutrients at lower pH. The changes observed in our experiments indicate that the bacteria in the Ross Sea adapt quickly to lower pH but that bacterial diversity will be lost. However, this loss of diversity did not adversely affect bacterial activity and in fact enhanced their ability to break down carbohydrates and lipids and recycle phosphate. These changes will alter the rate of carbon and phosphate regeneration, potentially accelerating decomposition in surface waters and short-circuiting the biological pump.</t>
  </si>
  <si>
    <t>[Maas, Elizabeth W.; Law, Cliff S.; Hall, Julie A.; Chang, F. H.; Voyles, K. Matt; Caird, Dianna] Natl Inst Water &amp; Atmospher Res, Wellington, New Zealand; [Pickmere, Stu] Natl Inst Water &amp; Atmospher Res, Hamilton, New Zealand; [Currie, Kim I.] Univ Otago, Ctr Chem &amp; Phys Oceanog, Natl Inst Water &amp; Atmospher Res, Dunedin, New Zealand</t>
  </si>
  <si>
    <t>National Institute of Water &amp; Atmospheric Research (NIWA) - New Zealand; National Institute of Water &amp; Atmospheric Research (NIWA) - New Zealand; University of Otago; National Institute of Water &amp; Atmospheric Research (NIWA) - New Zealand</t>
  </si>
  <si>
    <t>Maas, EW (corresponding author), Natl Inst Water &amp; Atmospher Res, Private Bag 14901, Wellington, New Zealand.</t>
  </si>
  <si>
    <t>els.maas@niwa.co.nz</t>
  </si>
  <si>
    <t>Law, Cliff/0000-0002-7669-2475</t>
  </si>
  <si>
    <t>New Zealand government under the New Zealand International Polar Year-Census of Antarctic Marine Life Project [Phase 1: So001IPY, Phase 2: IPY2007-01]; Marsden Fund Council</t>
  </si>
  <si>
    <t>New Zealand government under the New Zealand International Polar Year-Census of Antarctic Marine Life Project; Marsden Fund Council(Royal Society of New ZealandMarsden Fund (NZ))</t>
  </si>
  <si>
    <t>This research was funded by the New Zealand government under the New Zealand International Polar Year-Census of Antarctic Marine Life Project (Phase 1: So001IPY; Phase 2: IPY2007-01). We gratefully acknowledge project governance by the Ministry of Fisheries Science Team and the Ocean Survey 20/20 CAML Advisory Group (Land Information New Zealand, Ministry of Fisheries, Antarctica New Zealand, Ministry of Foreign Affairs and Trade and National Institute of Water and Atmospheric Research). We thank the officers, crew and scientific staff on RV 'Tangaroa'. The authors thank K. Thompson (NIWA) for bacterial production and flow cytometer analysis. E.W.M. and C.S.L. are currently partially supported by the Marsden Fund Council from government funding administered by the Royal Society of New Zealand.</t>
  </si>
  <si>
    <t>10.3354/ame01633</t>
  </si>
  <si>
    <t>199MU</t>
  </si>
  <si>
    <t>WOS:000322999500001</t>
  </si>
  <si>
    <t>Abell, GCJ; Ross, DJ; Keane, JP; Oakes, JM; Eyre, BD; Robert, SS; Volkman, JK</t>
  </si>
  <si>
    <t>Abell, G. C. J.; Ross, D. J.; Keane, J. P.; Oakes, J. M.; Eyre, B. D.; Robert, S. S.; Volkman, J. K.</t>
  </si>
  <si>
    <t>Nitrifying and denitrifying microbial communities and their relationship to nutrient fluxes and sediment geochemistry in the Derwent Estuary, Tasmania</t>
  </si>
  <si>
    <t>Nitrification; Denitrification; Estuarine sediment; Nutrient fluxes; Bacteria; Archaea</t>
  </si>
  <si>
    <t>AMMONIA-OXIDIZING ARCHAEA; SECONDARY-TREATED PAPER; ENVIRONMENTAL GRADIENTS; RELATIVE ABUNDANCE; STABLE-ISOTOPES; DIVERSITY; BACTERIA; NITROGEN; GENES; AMOA</t>
  </si>
  <si>
    <t>Mineralisation, nitrification and denitrification in sediments are key processes that contribute to the removal of nitrogen from coastal waters. Together these processes are important in preventing the buildup of nitrogen, which can lead to eutrophication in estuarine systems. Spatial and temporal patterns in the composition of nitrifier (bacterial [AOB] and archaeal ammonia oxidizers [AOA]; amoA), denitrifier (nirS) and total bacterial and archaeal (16S rRNA gene) communities in sediment from the Derwent Estuary in southeast Tasmania, Australia, were contrasted with key environmental parameters and benthic nutrient fluxes. Spatial and temporal factors were significant in terms of shaping microbial community composition. Organic matter composition (C:N isotope ratios, %N and %C) was significantly related to the abundance of the different microbial guilds. There was a significant correlation between both the sediment nitrogen content and carbon stable isotope ratio with community composition for total bacteria, AOA and denitrifiers. Sediment chlorophyll a was significantly associated with AOB composition and carbon isotope ratio was related to total archaeal community composition.</t>
  </si>
  <si>
    <t>[Abell, G. C. J.; Robert, S. S.; Volkman, J. K.] CSIRO, Hobart, Tas 7000, Australia; [Ross, D. J.; Keane, J. P.] Univ Tasmania, Inst Marine &amp; Antarctic Studies, Hobart, Tas 7001, Australia; [Oakes, J. M.; Eyre, B. D.] So Cross Univ, Ctr Coastal Biogeochem, Lismore, NSW 2480, Australia</t>
  </si>
  <si>
    <t>Commonwealth Scientific &amp; Industrial Research Organisation (CSIRO); University of Tasmania; Southern Cross University</t>
  </si>
  <si>
    <t>Abell, GCJ (corresponding author), CSIRO, Hobart, Tas 7000, Australia.</t>
  </si>
  <si>
    <t>guy.abell@csiro.au</t>
  </si>
  <si>
    <t>Volkman, John K/A-6592-2008; Abell, Guy C J/A-1767-2010; Eyre, Bradley/C-2527-2013; Ross, Donald/F-7607-2012; Oakes, Joanne/A-2165-2009</t>
  </si>
  <si>
    <t>Eyre, Bradley/0000-0001-5502-0680; Ross, Donald/0000-0002-8659-3833; Keane, John Patrick/0000-0001-8950-5176; Oakes, Joanne/0000-0002-9287-2652</t>
  </si>
  <si>
    <t>Australian Research Council Linkage grant [LP0775365]; Derwent Estuary Program; Norske Skog, Boyer; Australian Research Council [LP0775365] Funding Source: Australian Research Council</t>
  </si>
  <si>
    <t>Australian Research Council Linkage grant(Australian Research Council); Derwent Estuary Program; Norske Skog, Boyer; Australian Research Council(Australian Research Council)</t>
  </si>
  <si>
    <t>We thank Andy Revill and Rebecca Esmay for nitrogen and carbon analyses and Rick Smith for assistance with the figures. This work was partially funded under an Australian Research Council Linkage grant (LP0775365) awarded to D.J.R. and B.D.E. with the industry support of the Derwent Estuary Program and Norske Skog, Boyer.</t>
  </si>
  <si>
    <t>10.3354/ame01642</t>
  </si>
  <si>
    <t>WOS:000322999500005</t>
  </si>
  <si>
    <t>Olsen, LM; Van Ardelan, M; Hewes, CD; Holm-Hansen, O; Reiss, C; Bizsel, N; Sakshaug, E; Vadstein, O</t>
  </si>
  <si>
    <t>Olsen, Lasse Mork; Van Ardelan, Murat; Hewes, Christopher D.; Holm-Hansen, Osmund; Reiss, Christian; Bizsel, Nihayet; Sakshaug, Egil; Vadstein, Olav</t>
  </si>
  <si>
    <t>Microbial biogeography during austral summer 2007 in the surface waters around the South Shetland Islands, Antarctica</t>
  </si>
  <si>
    <t>Microbial biogeography; Microbial community; Natural iron enrichment; Southern Ocean</t>
  </si>
  <si>
    <t>GRADIENT GEL-ELECTROPHORESIS; PHYTOPLANKTON BIOMASS; SPATIAL VARIABILITY; COMMUNITY STRUCTURE; ELEPHANT ISLAND; ASSEMBLAGES; BACTERIOPLANKTON; CHLOROPHYLL; PENINSULA; BACTERIAL</t>
  </si>
  <si>
    <t>Recent studies have concluded that different water bodies in the ocean can contain different microbial communities. The goal of the present study was to determine if biogeographic patterns are present for aquatic microbes in waters which meet around the South Shetland Islands (SSI), Antarctica. Prokaryotic and eukaryotic marine microbial communities were monitored during the 2007 austral summer by use of polymerase chain reaction (PCR) and denaturing gradient gel electrophoresis (DGGE) of small subunit ribosomal DNA. Hydrographic properties, nutrients and chlorophyll a were also measured. There was an onshore to offshore gradient in temperature, salinity and iron concentration and a unimodal distribution of chlorophyll a concentration in relation to the middle of this gradient that occurred near the SSI. The differences in microbial community structure among stations in the studied area were correlated with both geographical distance and environmental factors. For eukaryotes, the correlation was strongest for environment, whereas it was strongest for geographical distance for the prokaryotes. Eukaryotic and prokaryotic community structures were highly correlated. Surface water from the Weddell Sea had a different community of eukaryotes than the water in the Antarctic Circumpolar Current in the Drake Passage, whereas the prokaryotic community was not significantly different. The area close to the SSI where the 2 water types mix had the highest chlorophyll concentration and significantly different communities of eukaryotes and prokaryotes from both of the inflowing water types. These results suggest that the prokaryote community structure was more affected by productivity than by environmental variables.</t>
  </si>
  <si>
    <t>[Olsen, Lasse Mork; Sakshaug, Egil] Norwegian Univ Sci &amp; Technol NTNU, Dept Biol, N-7491 Trondheim, Norway; [Van Ardelan, Murat] Norwegian Univ Sci &amp; Technol NTNU, Dept Chem, N-7491 Trondheim, Norway; [Hewes, Christopher D.; Holm-Hansen, Osmund] Univ Calif San Diego, Scripps Inst Oceanog, Div Marine Biol Res, Polar Res Program, La Jolla, CA 92093 USA; [Reiss, Christian] NOAA Fisheries, Antarctic Ecosyst Res Div, La Jolla, CA 92037 USA; [Bizsel, Nihayet] Dokuz Eylul Univ, Inst Marine Sci &amp; Technol, TR-35340 Izmir, Turkey; [Vadstein, Olav] Norwegian Univ Sci &amp; Technol NTNU, Dept Biotechnol, N-7491 Trondheim, Norway</t>
  </si>
  <si>
    <t>Norwegian University of Science &amp; Technology (NTNU); Norwegian University of Science &amp; Technology (NTNU); University of California System; University of California San Diego; Scripps Institution of Oceanography; National Oceanic Atmospheric Admin (NOAA) - USA; Dokuz Eylul University; Norwegian University of Science &amp; Technology (NTNU)</t>
  </si>
  <si>
    <t>Olsen, LM (corresponding author), Norwegian Univ Sci &amp; Technol NTNU, Dept Biol, N-7491 Trondheim, Norway.</t>
  </si>
  <si>
    <t>lasse.mork.olsen@ntnu.no</t>
  </si>
  <si>
    <t>Ardelan, Murat V./J-6492-2013; Bizsel, Nihayet/A-6763-2018</t>
  </si>
  <si>
    <t>Olsen, Lasse Mork/0000-0003-1328-2687</t>
  </si>
  <si>
    <t>Norwegian Polar Institute [3557-103]; US AMLR Program [NA17RJ1231]</t>
  </si>
  <si>
    <t>Norwegian Polar Institute; US AMLR Program</t>
  </si>
  <si>
    <t>Thanks to the crew on RV 'Yuzhmorgeologiya' and the NOAA US Antartctic Marine Living Resources (AMLR) program team for help with logistics and sample collection, M. Ostensen for DGGE analysis, S. Lierhagen for HR-ICP-MS analysis, S. Norland for the Gel2k program and C. Harrod for comments on an earlier version of the manuscript. This project was funded by the Norwegian Polar Institute (grant 3557-103, E.S.) and the US AMLR Program, administered by the Antarctic Ecosystem Research Division at NOAA's Southwest Fisheries Research Center, La Jolla, CA, USA, under grant NA17RJ1231 (O.H.H.). Views contained herein are those of the authors and do not reflect those of NPI or NOAA.</t>
  </si>
  <si>
    <t>10.3354/ame01650</t>
  </si>
  <si>
    <t>206CA</t>
  </si>
  <si>
    <t>WOS:000323492600003</t>
  </si>
  <si>
    <t>Garzio, LM; Steinberg, DK; Erickson, M; Ducklow, HW</t>
  </si>
  <si>
    <t>Garzio, Lori M.; Steinberg, Deborah K.; Erickson, Matthew; Ducklow, Hugh W.</t>
  </si>
  <si>
    <t>Microzooplankton grazing along the Western Antarctic Peninsula</t>
  </si>
  <si>
    <t>Microzooplankton; Protozoa; Grazing; Western Antarctic Peninsula; Southern Ocean; Climate</t>
  </si>
  <si>
    <t>PROTOZOOPLANKTON COMMUNITY STRUCTURE; MICROBIAL FOOD-WEB; SOUTHERN-OCEAN; PHYTOPLANKTON GROWTH; CILIATE MICROZOOPLANKTON; HETEROTROPHIC PROTISTS; BACTERIAL PRODUCTION; ATLANTIC SECTOR; COASTAL WATERS; AUSTRAL SUMMER</t>
  </si>
  <si>
    <t>The significance of microzooplankton as grazers in pelagic ecosystems has been established, yet relatively few studies of microzooplankton grazing, compared to that of macrozooplankton, have been conducted in the Southern Ocean. We report phytoplankton and bacterial growth and grazing mortality rates along the Western Antarctic Peninsula (WAP), a region of rapid climate change. Growth and grazing rates were determined by dilution experiments at select stations along the WAP in January of 2009 to 2011 and in the nearshore waters near Palmer Station in February and March 2011. Microzooplankton exerted higher grazing pressure on bacteria compared to phytoplankton along the WAP and also selectively grazed on smaller phytoplankton (picoautotrophs and nanophytoplankton) and on the more actively growing (high nucleic acid) bacterial cells. Among all phytoplankton size classes, growth rates ranged from undetectable (i.e. not significant; NS) to 0.99 d(-1), grazing mortality rates were NS to 0.56 d(-1), and microzooplankton removed &lt;100% of daily phytoplankton production in all but one experiment. For high and low nucleic acid content bacteria, growth rates were NS to 0.95 d(-1), and grazing mortality rates were NS to 0.43 d(-1); microzooplankton often removed &gt;100% of daily bacterial production. There was a significant (albeit weak) exponential relationship between temperature and phytoplankton mortality, although the range of experimental temperatures was small. The present study provides a reference point of microzooplankton grazing impact along the WAP in the summer and contributes valuable information to studies modeling the flow of carbon through the WAP food web, improving our ability to predict climate-induced changes in the WAP ecosystem.</t>
  </si>
  <si>
    <t>[Garzio, Lori M.; Steinberg, Deborah K.] Virginia Inst Marine Sci, Coll William &amp; Mary, Gloucester Point, VA 23062 USA; [Erickson, Matthew] Woods Hole Oceanog Inst, Woods Hole, MA 02543 USA; [Ducklow, Hugh W.] Lamont Doherty Earth Observ, Palisades, NY 10964 USA</t>
  </si>
  <si>
    <t>William &amp; Mary; Virginia Institute of Marine Science; Woods Hole Oceanographic Institution; Columbia University</t>
  </si>
  <si>
    <t>Garzio, LM (corresponding author), Virginia Inst Marine Sci, Coll William &amp; Mary, POB 1346, Gloucester Point, VA 23062 USA.</t>
  </si>
  <si>
    <t>lori.m.garzio@gmail.com; debbies@vims.edu</t>
  </si>
  <si>
    <t>Steinberg, Deborah K./0000-0001-9884-4655</t>
  </si>
  <si>
    <t>National Science Foundation from Division of Polar Programs Antarctic Organisms and Ecosystems Program [ANT-0823101]; 1st Advantage Federal Credit Union of Newport News, Virginia, USA; Directorate For Geosciences; Division Of Polar Programs [1344502] Funding Source: National Science Foundation; Office of Polar Programs (OPP); Directorate For Geosciences [1440435] Funding Source: National Science Foundation</t>
  </si>
  <si>
    <t>National Science Foundation from Division of Polar Programs Antarctic Organisms and Ecosystems Program; 1st Advantage Federal Credit Union of Newport News, Virginia, USA; Directorate For Geosciences; Division Of Polar Programs(National Science Foundation (NSF)NSF - Directorate for Geosciences (GEO)); Office of Polar Programs (OPP); Directorate For Geosciences(National Science Foundation (NSF)NSF - Directorate for Geosciences (GEO))</t>
  </si>
  <si>
    <t>We thank D. W. Coats and D. Stoecker for help with microzooplankton identification, J. Stone for assistance with GIS, and D. Bronk, D. Stoecker, W. Smith Jr., and K. Tang for helpful feedback on this manuscript. Special thanks to M. Lunau for help with flow cytometry and to the Palmer Antarctica LTER project technicians and students for their help with the dilution experiments and with sample processing. We appreciate the support of the officers and crew of the ARSV 'Laurence M. Gould' and Raytheon Polar Services scientific support personnel, both on board ship and at Palmer Station. The Palmer LTER is supported by National Science Foundation award ANT-0823101 from the Division of Polar Programs Antarctic Organisms and Ecosystems Program. Additional funding to support the participation of L. M. G. on a Palmer LTER cruise was provided by A. G. 'Casey' Duplantier Jr. and the 1st Advantage Federal Credit Union of Newport News, Virginia, USA. This is Contribution No. 3308 of the Virginia Institute of Marine Science, The College of William and Mary.</t>
  </si>
  <si>
    <t>10.3354/ame01655</t>
  </si>
  <si>
    <t>237UQ</t>
  </si>
  <si>
    <t>WOS:000325896800004</t>
  </si>
  <si>
    <t>Zhu, YL</t>
  </si>
  <si>
    <t>Zhu Ya-Li</t>
  </si>
  <si>
    <t>Interdecadal Variations of Winter Temperatures in East China During the Past 100 Years and Related Atmospheric Circulation</t>
  </si>
  <si>
    <t>ATMOSPHERIC AND OCEANIC SCIENCE LETTERS</t>
  </si>
  <si>
    <t>East China; winter temperature; global warming; decadal change</t>
  </si>
  <si>
    <t>The winter temperature changes in East China during the past 100 years are investigated by using the Twentieth Century Version 2 (20th-v2) Reanalysis. Four typical warm (P1, 1911-30; P4, 1991-2010) and cold (P2, 1938-57; P3, 1961-80) periods are identified for the East China winter temperature index. Comparison of 160-station observational data, NCAR sea level pressure (SLP) data, and NCEP/NCAR Reanalysis shows that the 20th-v2 Reanalysis can successfully depict the major features of the warming from P3 to P4, which is part of the global warming phenomenon. The cooling from P1 to P2 is a regional phenomenon under global warming. However, both changes are consistent with the phase change of the Arctic Oscillation (AO), while the second change is also accompanied by the phase change of Antarctic Oscillation (AAO) from negative to positive. Original sources of the interdecadal shifts of the AO and winter temperature in East China require further research.</t>
  </si>
  <si>
    <t>[Zhu Ya-Li] Chinese Acad Sci, Nansen Zhu Int Res Ctr, Inst Atmospher Phys, Beijing 100029, Peoples R China; [Zhu Ya-Li] Chinese Acad Sci, Climate Change Res Ctr, Beijing 100029, Peoples R China</t>
  </si>
  <si>
    <t>Chinese Academy of Sciences; Institute of Atmospheric Physics, CAS; Chinese Academy of Sciences</t>
  </si>
  <si>
    <t>Zhu, YL (corresponding author), Chinese Acad Sci, Nansen Zhu Int Res Ctr, Inst Atmospher Phys, Beijing 100029, Peoples R China.</t>
  </si>
  <si>
    <t>zhuyl@mail.iap.ac.cn</t>
  </si>
  <si>
    <t>strategic technological program of the Chinese Academy of Sciences [XDA05090405]; National Basic Research Program of China [2009CB421406, 2010CB950304]; Special Fund for the Public Welfare Industry (Meteorology) [GYHY201006022, GYHY200906018]</t>
  </si>
  <si>
    <t>strategic technological program of the Chinese Academy of Sciences; National Basic Research Program of China(National Basic Research Program of China); Special Fund for the Public Welfare Industry (Meteorology)</t>
  </si>
  <si>
    <t>This work is supported jointly by the strategic technological program of the Chinese Academy of Sciences (Grant No. XDA05090405), the National Basic Research Program of China (Grant Nos. 2009CB421406 and 2010CB950304), and the Special Fund for the Public Welfare Industry (Meteorology; Grant Nos. GYHY201006022 and GYHY200906018).</t>
  </si>
  <si>
    <t>1674-2834</t>
  </si>
  <si>
    <t>2376-6123</t>
  </si>
  <si>
    <t>ATMOS OCEAN SCI LETT</t>
  </si>
  <si>
    <t>Atmos. Ocean. Sci. Lett.</t>
  </si>
  <si>
    <t>10.3878/j.issn.1674-2834.12.0094</t>
  </si>
  <si>
    <t>VC3RL</t>
  </si>
  <si>
    <t>WOS:000433703200011</t>
  </si>
  <si>
    <t>Fan, K; Liu, H</t>
  </si>
  <si>
    <t>Fan Ke; Liu Hui</t>
  </si>
  <si>
    <t>Evaluation of Atmospheric Circulation in the Southern Hemisphere in 20CRv2</t>
  </si>
  <si>
    <t>atmospheric circulation; Southern Hemisphere; climate variability; 20CRv2</t>
  </si>
  <si>
    <t>Evaluation of the mean climate and climate variability in the Southern Hemisphere (SH) in the Twentieth Century Reanalysis data version 2 (20CRv2) is conducted and the results are compared with the NCEP/NCAR version 2 Reanalysis data (NCEPv2) and the Hadley Center sea-level pressure data (HadSLPv2). The results show that SH polar High, SH subtropical High, upper level split jet, cross-equatorial flow, Antarctic Oscillation (AAO), and the pattern of Pacific-South-America (PSA) has been effectively captured by 20CRv2 during 1979-2010, with an apparent zonal asymmetry of AAO in the austral winter (June-July-August, JJA). The notable upward linear trend of AAO in the entire period of 1871-2010 is represented in both 20CRv2 and HadSlPv2. The most remarkable discrepancy of the SH climate variability between 20CRv2 and HadSLPv2 occurred in 1897-1920 and was partly caused by such factors as the paucity of meteorological and oceanographic data in the SH to be assimilated, the handling of the specified sea-ice concentration in South Pole, and imperfect climate models. The consistency of these reanalysis data is increased with the use of a large amount of satellite observation and radiosonde data, particularly after 1979.</t>
  </si>
  <si>
    <t>[Fan Ke; Liu Hui] Chinese Acad Sci, Nansen Zhu Int Res Ctr, Inst Atmospher Phys, Beijing 100029, Peoples R China; [Liu Hui] Univ Chinese Acad Sci, Beijing 100049, Peoples R China</t>
  </si>
  <si>
    <t>Chinese Academy of Sciences; Institute of Atmospheric Physics, CAS; Chinese Academy of Sciences; University of Chinese Academy of Sciences, CAS</t>
  </si>
  <si>
    <t>Fan, K (corresponding author), Chinese Acad Sci, Nansen Zhu Int Res Ctr, Inst Atmospher Phys, Beijing 100029, Peoples R China.</t>
  </si>
  <si>
    <t>fanke@mail.iap.ac.cn</t>
  </si>
  <si>
    <t>Fan, K/GXH-3734-2022; Fan, Ke/AAJ-2315-2020</t>
  </si>
  <si>
    <t>Strategic Technological Program of the Chinese Academy of Sciences [XDA05090426]; National Basic Research Program of China [2010CB950304]; Key Program of the Chinese Academy of Sciences [KZCX2-YW-QN202]</t>
  </si>
  <si>
    <t>Strategic Technological Program of the Chinese Academy of Sciences; National Basic Research Program of China(National Basic Research Program of China); Key Program of the Chinese Academy of Sciences(Chinese Academy of Sciences)</t>
  </si>
  <si>
    <t>This work was jointly supported by the Strategic Technological Program of the Chinese Academy of Sciences (Grant No. XDA05090426), the National Basic Research Program of China (Grant No. 2010CB950304), and the Key Program of the Chinese Academy of Sciences (Grant KZCX2-YW-QN202).</t>
  </si>
  <si>
    <t>10.3878/j.issn.1674-2834.13.0009</t>
  </si>
  <si>
    <t>WOS:000433703200019</t>
  </si>
  <si>
    <t>Coen, MC; Andrews, E; Asmi, A; Baltensperger, U; Bukowiecki, N; Day, D; Fiebig, M; Fjaeraa, AM; Flentje, H; Hyvärinen, A; Jefferson, A; Jennings, SG; Kouvarakis, G; Lihavainen, H; Myhre, CL; Malm, WC; Mihapopoulos, N; Molenar, JV; O'Dowd, C; Ogren, JA; Schichtel, BA; Sheridan, P; Virkkula, A; Weingartner, E; Weller, R; Laj, P</t>
  </si>
  <si>
    <t>Coen, M. Collaud; Andrews, E.; Asmi, A.; Baltensperger, U.; Bukowiecki, N.; Day, D.; Fiebig, M.; Fjaeraa, A. M.; Flentje, H.; Hyvarinen, A.; Jefferson, A.; Jennings, S. G.; Kouvarakis, G.; Lihavainen, H.; Myhre, C. Lund; Malm, W. C.; Mihapopoulos, N.; Molenar, J. V.; O'Dowd, C.; Ogren, J. A.; Schichtel, B. A.; Sheridan, P.; Virkkula, A.; Weingartner, E.; Weller, R.; Laj, P.</t>
  </si>
  <si>
    <t>Aerosol decadal trends - Part 1: In-situ optical measurements at GAW and IMPROVE stations</t>
  </si>
  <si>
    <t>FILTER-BASED MEASUREMENTS; VISIBLE-LIGHT ABSORPTION; LONG-TERM OBSERVATIONS; NUMBER CONCENTRATIONS; ANTHROPOGENIC AEROSOLS; SURFACE MEASUREMENTS; RADIATIVE PROPERTIES; PARTICULATE MATTER; RELATIVE-HUMIDITY; BACKGROUND SITES</t>
  </si>
  <si>
    <t>Currently many ground-based atmospheric stations include in-situ measurements of aerosol physical and optical properties, resulting in more than 20 long-term (&gt; 10 yr) aerosol measurement sites in the Northern Hemisphere and Antarctica. Most of these sites are located at remote locations and monitor the aerosol particle number concentration, wavelength-dependent light scattering, backscattering, and absorption coefficients. The existence of these multi-year datasets enables the analysis of long-term trends of these aerosol parameters, and of the derived light scattering Angstrom exponent and backscatter fraction. Since the aerosol variables are not normally distributed, three different methods (the seasonal Mann-Kendall test associated with the Sen's slope, the generalized least squares fit associated with an autoregressive bootstrap algorithm for confidence intervals, and the least-mean square fit applied to logarithms of the data) were applied to detect the long-term trends and their magnitudes. To allow a comparison among measurement sites, trends on the most recent 10 and 15 yr periods were calculated. No significant trends were found for the three continental European sites. Statistically significant trends were found for the two European marine sites but the signs of the trends varied with aerosol property and location. Statistically significant decreasing trends for both scattering and absorption coefficients (mean slope of -2.0% yr(-1)) were found for most North American stations, although positive trends were found for a few desert and high-altitude sites. The difference in the timing of emission reduction policy for the Europe and US continents is a likely explanation for the decreasing trends in aerosol optical parameters found for most American sites compared to the lack of trends observed in Europe. No significant trends in scattering coefficient were found for the Arctic or Antarctic stations, whereas the Arctic station had a negative trend in absorption coefficient. The high altitude Pacific island station of Mauna Loa presents positive trends for both scattering and absorption coefficients.</t>
  </si>
  <si>
    <t>[Coen, M. Collaud] MeteoSwiss, Fed Off Meteorol &amp; Climatol, CH-1530 Payerne, Switzerland; [Andrews, E.; Jefferson, A.] Univ Colorado, CIRES, Boulder, CO 80305 USA; [Andrews, E.; Ogren, J. A.; Sheridan, P.] NOAA, Earth Syst Res Lab, Boulder, CO 80305 USA; [Asmi, A.; Virkkula, A.] Univ Helsinki, Dept Phys, Helsinki, Finland; [Baltensperger, U.; Bukowiecki, N.; Weingartner, E.] Paul Scherrer Inst, Lab Atmospher Chem, CH-5232 Villigen, Switzerland; [Day, D.; Malm, W. C.] Colorado State Univ, Cooperat Inst Res Atmosphere, Ft Collins, CO 80523 USA; [Fiebig, M.; Fjaeraa, A. M.; Myhre, C. Lund] NILU Norwegian Inst Air Res, N-2027 Kjeller, Norway; [Flentje, H.] German Weather Serv, Meteorol Observ Hohenpeissenberg, D-82383 Hohenpeissenberg, Germany; [Jennings, S. G.; O'Dowd, C.] Natl Univ Ireland Galway, Sch Phys, Galway, Ireland; [Kouvarakis, G.; Mihapopoulos, N.] Univ Crete, Dept Chem, Environm Chem Proc Lab, Iraklion 71003, Greece; [Hyvarinen, A.; Lihavainen, H.] Finnish Meteorol Inst, Helsinki 00560, Finland; [Molenar, J. V.] Air Resource Specialists Inc, Ft Collins, CO 80525 USA; [Schichtel, B. A.] Natl Pk Serv, Ft Collins, CO 80523 USA; [Weller, R.] Alfred Wegener Inst Polar &amp; Marine Res, D-27570 Bremerhaven, Germany; [Laj, P.] UJF Grenoble 1, CNRS, LGGE UMR 5183, F-38041 Grenoble, France</t>
  </si>
  <si>
    <t>Federal Office of Meteorology &amp; Climatology (MeteoSwiss); University of Colorado System; University of Colorado Boulder; National Oceanic Atmospheric Admin (NOAA) - USA; University of Helsinki; Swiss Federal Institutes of Technology Domain; Paul Scherrer Institute; Colorado State University; NILU; Deutscher Wetterdienst; Ollscoil na Gaillimhe-University of Galway; University of Crete; Finnish Meteorological Institute; United States Department of the Interior; Helmholtz Association; Alfred Wegener Institute, Helmholtz Centre for Polar &amp; Marine Research; Communaute Universite Grenoble Alpes; Universite Grenoble Alpes (UGA); Centre National de la Recherche Scientifique (CNRS)</t>
  </si>
  <si>
    <t>Coen, MC (corresponding author), MeteoSwiss, Fed Off Meteorol &amp; Climatol, CH-1530 Payerne, Switzerland.</t>
  </si>
  <si>
    <t>martine.collaudcoen@meteoswiss.ch</t>
  </si>
  <si>
    <t>Virkkula, Aki/B-8575-2014; Bukowiecki, Nicolas/D-1941-2009; Asmi, Ari/H-5658-2012; Asmi, Ari/JVZ-6088-2024; Collaud Coen, Martine/I-5607-2012; O'Dowd, Colin D/K-8904-2012; Lihavainen, Heikki/N-4840-2014; Myhre, Cathrine L Lund/M-4508-2014; andrews, elisabeth/A-7104-2018; Mihalopoulos, Nikolaos/ABF-2255-2020; Ogren, John A/M-8255-2015; Hyvärinen, Antti-Pekka/A-9025-2011; Lihavainen, Heikki/IAQ-5287-2023; Fiebig, Markus/I-4872-2012; Mihalopoulos, Nikolaos/H-5327-2016; Weingartner, Ernest/B-6793-2009</t>
  </si>
  <si>
    <t>Virkkula, Aki/0000-0003-4874-7552; Asmi, Ari/0000-0003-3933-4684; Collaud Coen, Martine/0000-0001-6482-2941; O'Dowd, Colin D/0000-0002-3068-2212; Myhre, Cathrine L Lund/0000-0003-3587-5926; andrews, elisabeth/0000-0002-9394-024X; Ogren, John A/0000-0002-7895-9583; Hyvärinen, Antti-Pekka/0000-0001-7938-071X; Lihavainen, Heikki/0000-0002-6135-4473; Fiebig, Markus/0000-0002-3380-3470; Mihalopoulos, Nikolaos/0000-0002-1282-0896; Laj, Paolo/0000-0002-6586-0664; Weingartner, Ernest/0000-0002-2427-4634</t>
  </si>
  <si>
    <t>MeteoSwiss within Swiss program of the Global Atmosphere Watch (GAW) of the WMO; European Union [262254]; Europe FP6 project European Supersites for Atmospheric Aerosol Research (EUSAAR); Europe FP5 project Construction</t>
  </si>
  <si>
    <t>MeteoSwiss within Swiss program of the Global Atmosphere Watch (GAW) of the WMO; European Union(European Union (EU)); Europe FP6 project European Supersites for Atmospheric Aerosol Research (EUSAAR)(Marie Curie ActionsEuropean Union (EU)); Europe FP5 project Construction</t>
  </si>
  <si>
    <t>The authors would like to thank the numerous, but unfortunately unnamed, technical and scientific staff members of the stations included in these analyses, whose dedication to quality for decades have made this paper possible. We also thank the International Foundation High Altitude Research Stations Jungfraujoch and Gornergrat (HFSJG), which made it possible to carry out the experiments at the High Altitude Research Station at the Jungfraujoch and the support by MeteoSwiss within the Swiss program of the Global Atmosphere Watch (GAW) of the WMO. European sites and measurements were also supported by the Co-operative Programme for Monitoring and Evaluation of the Long-range Transmission of Air pollutants in Europe (EMEP) under UNECE. The research leading to these results has received funding from the European Union Seventh Framework Programme (FP7/2007-2013) under the ACTRIS project with grant agreement #262254 as well as from the Europe FP6 project European Supersites for Atmospheric Aerosol Research (EUSAAR) and the Europe FP5 project Construction, use and delivery of an European aerosol database (CREATE).</t>
  </si>
  <si>
    <t>10.5194/acp-13-869-2013</t>
  </si>
  <si>
    <t>079LP</t>
  </si>
  <si>
    <t>WOS:000314172200024</t>
  </si>
  <si>
    <t>Buys, Z; Brough, N; Huey, LG; Tanner, DJ; von Glasow, R; Jones, AE</t>
  </si>
  <si>
    <t>Buys, Z.; Brough, N.; Huey, L. G.; Tanner, D. J.; von Glasow, R.; Jones, A. E.</t>
  </si>
  <si>
    <t>High temporal resolution Br2, BrCl and BrO observations in coastal Antarctica</t>
  </si>
  <si>
    <t>TROPOSPHERIC OZONE DEPLETION; GROUND-BASED MEASUREMENTS; BOUNDARY-LAYER; ARRIVAL HEIGHTS; POLAR SUNRISE; FROST FLOWERS; ICE; CHEMISTRY; SNOW; HOBR</t>
  </si>
  <si>
    <t>There are few observations of speciated inorganic bromine in polar regions against which to test current theory. Here we report the first high temporal resolution measurements of Br-2, BrCl and BrO in coastal Antarctica, made at Halley during spring 2007 using a Chemical Ionisation Mass Spectrometer (CIMS). We find indications for an artefact in daytime BrCl measurements arising from conversion of HOBr, similar to that already identified for observations of Br-2 made using a similar CIMS method. Using the MISTRA model, we estimate that the artefact represents a conversion of HOBr to Br-2 of the order of several tens of percent, while that for HOBr to BrCl is less but non-negligible. If the artefact is indeed due to HOBr conversion, then nighttime observations were unaffected. It also appears that all daytime BrO observations were artefact-free. Mixing ratios of BrO, Br-2 and BrCl ranged from instrumental detection limits to 13 pptv (daytime), 45 pptv (nighttime), and 6 pptv (nighttime), respectively. We see considerable variability in the Br-2 and BrCl observations over the measurement period which is strongly linked to the prevailing meteorology, and thus air mass origin. Higher mixing ratios of these species were generally observed when air had passed over the sea-ice zone prior to arrival at Halley, than from over the continent. Variation in the diurnal structure of BrO is linked to previous model work where differences in the photolysis spectra of Br-2 and O-3 is suggested to lead to a BrO maximum at sunrise and sunset, rather than a noon-time maxima. This suite of Antarctic data provides the first analogue to similar measurements made in the Arctic, and of note is that our maximum measured BrCl (nighttime) is less than half of the maximum measured during a similar period (spring-time) in the Arctic (also nighttime). This difference in maximum measured BrCl may also be the cause of a difference in the Br-2 : BrCl ratio between the Arctic and Antarctic. An unusual event of transcontinental air mass transport appears to have been responsible for severe surface ozone depletion observed at Halley over a 2-day period. The halogen source region appears to be the Bellingshausen Sea, to the west of the Antarctic Peninsula, with the air mass having spent 3 1/2 days in complete darkness crossing the continent prior to arrival at Halley.</t>
  </si>
  <si>
    <t>[Buys, Z.; Brough, N.; Jones, A. E.] British Antarctic Survey, NERC, Cambridge, England; [Buys, Z.; von Glasow, R.] Univ E Anglia, Sch Environm Sci, Norwich NR4 7TJ, Norfolk, England; [Huey, L. G.; Tanner, D. J.] Georgia Inst Technol, Sch Earth &amp; Atmospher Sci, Atlanta, GA 30332 USA</t>
  </si>
  <si>
    <t>UK Research &amp; Innovation (UKRI); Natural Environment Research Council (NERC); NERC British Antarctic Survey; University of East Anglia; University System of Georgia; Georgia Institute of Technology</t>
  </si>
  <si>
    <t>Buys, Z (corresponding author), British Antarctic Survey, NERC, High Cross,Madingley Rd, Cambridge, England.</t>
  </si>
  <si>
    <t>zakysa@bas.ac.uk</t>
  </si>
  <si>
    <t>brough, neil/AAG-8550-2019; von Glasow, Roland/E-2125-2011</t>
  </si>
  <si>
    <t>brough, neil/0000-0002-2316-5292; von Glasow, Roland/0000-0002-3944-2784</t>
  </si>
  <si>
    <t>Natural Environment Research Council; NERC [bas0100024] Funding Source: UKRI; Natural Environment Research Council [bas0100024]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</si>
  <si>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</si>
  <si>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Zak Buys' studentship was funded by the Natural Environment Research Council through a BAS Algorithm grant.</t>
  </si>
  <si>
    <t>10.5194/acp-13-1329-2013</t>
  </si>
  <si>
    <t>096LR</t>
  </si>
  <si>
    <t>Green Accepted, Green Submitted, gold</t>
  </si>
  <si>
    <t>WOS:000315406100015</t>
  </si>
  <si>
    <t>Jones, AE; Wolff, EW; Brough, N; Bauguitte, SJB; Weller, R; Yela, M; Navarro-Comas, M; Ochoa, HA; Theys, N</t>
  </si>
  <si>
    <t>Jones, A. E.; Wolff, E. W.; Brough, N.; Bauguitte, S. J. -B.; Weller, R.; Yela, M.; Navarro-Comas, M.; Ochoa, H. A.; Theys, N.</t>
  </si>
  <si>
    <t>The spatial scale of ozone depletion events derived from an autonomous surface ozone network in coastal Antarctica</t>
  </si>
  <si>
    <t>TROPOSPHERIC BRO COLUMNS; BOUNDARY-LAYER; SEA-ICE; FROST FLOWERS; BROMINE; CHEMISTRY; MECHANISM; CLIMATE; SALT</t>
  </si>
  <si>
    <t>To probe the spatial extent of tropospheric ozone depletion events during Antarctic spring, a network of 10 autonomous ozone monitors was established around the Dronning Maud Land sector of Antarctica for a full calendar year. Together with manned stations in the area, the network covered a similar to 1200 km stretch of coast, as well as a transect similar to 300 km inland and to similar to 2000m above sea level (a.s.l.). Here we present results from the spring period (August to October 2008). While some ozone depletion events were evident at only a single site, implying localised ozone destruction, others were evident across the network. The fact that, on occasions, ozone depletion events were observed at all coastal sites simultaneously, suggests the depleted air mass had a scale of at least 1200 km. As the ozone-poor air was advected from the Weddell Sea sea ice zone, the data imply that large areas over the Weddell Sea sea ice zone are significantly depleted in ozone on occasions during Antarctic spring.</t>
  </si>
  <si>
    <t>[Jones, A. E.; Wolff, E. W.; Brough, N.; Bauguitte, S. J. -B.] British Antarctic Survey, Nat Environm Res Council, Cambridge CB3 0ET, England; [Weller, R.] Alfred Wegener Inst Polar &amp; Marine Res, Bremerhaven, Germany; [Yela, M.; Navarro-Comas, M.] INTA, Area Invest &amp; Instrumentac Atmosfer, Torrejon De Ardoz, Spain; [Ochoa, H. A.] DNA IAA, Buenos Aires, DF, Argentina; [Theys, N.] Belgian Inst Spatial Aeron IASB BIRA, Brussels, Belgium</t>
  </si>
  <si>
    <t>UK Research &amp; Innovation (UKRI); Natural Environment Research Council (NERC); NERC British Antarctic Survey; Helmholtz Association; Alfred Wegener Institute, Helmholtz Centre for Polar &amp; Marine Research; Consejo Superior de Investigaciones Cientificas (CSIC); CSIC - Centro de Astrobiologia (INTA)</t>
  </si>
  <si>
    <t>Jones, AE (corresponding author), British Antarctic Survey, Nat Environm Res Council, Cambridge CB3 0ET, England.</t>
  </si>
  <si>
    <t>aejo@bas.ac.uk</t>
  </si>
  <si>
    <t>Wolff, Eric W/D-7925-2014; brough, neil/AAG-8550-2019; Navarro-Comas, Monica/J-6297-2014; Yela Gonzalez, Margarita/J-7346-2016</t>
  </si>
  <si>
    <t>Wolff, Eric W/0000-0002-5914-8531; brough, neil/0000-0002-2316-5292; Navarro-Comas, Monica/0000-0002-6347-8955; Yela Gonzalez, Margarita/0000-0003-3775-3156; Jones, Anna/0000-0002-2040-4841</t>
  </si>
  <si>
    <t>Natural Environment Research Council; Spanish Polar Program [POL2006-00382, CGL2004- 05419-C02-01]; Belgian Prodex Atmospheric Composition, Chemistry and Climate (A3C); NERC [bas0100024] Funding Source: UKRI; Natural Environment Research Council [bas0100024] Funding Source: researchfish</t>
  </si>
  <si>
    <t>Natural Environment Research Council(UK Research &amp; Innovation (UKRI)Natural Environment Research Council (NERC)); Spanish Polar Program; Belgian Prodex Atmospheric Composition, Chemistry and Climate (A3C); NERC(UK Research &amp; Innovation (UKRI)Natural Environment Research Council (NERC)); Natural Environment Research Council(UK Research &amp; Innovation (UKRI)Natural Environment Research Council (NERC))</t>
  </si>
  <si>
    <t>AEJ is grateful to John Turner and Gareth Marshall (BAS) for discussions around the meteorology presented in Sect. 3, and to Tony Philips for generating some publication quality figures. The autonomous network, the Halley observations, and the overall data analysis were part of the British Antarctic Survey's Polar Science for Planet Earth programme funded by the Natural Environment Research Council. The Belgrano data is obtained by collaboration agreements between Direccion Nacional del Antartico/Instituto Antartico Argentino and the Instituto Nacional de Tecnica Aeroespacial of Spain. Work on the Belgrano data was partially funded by Spanish Polar Program (POL2006-00382 and CGL2004- 05419-C02-01 projects). The research in Belgium was funded by the Belgian Prodex Atmospheric Composition, Chemistry and Climate (A3C).</t>
  </si>
  <si>
    <t>10.5194/acp-13-1457-2013</t>
  </si>
  <si>
    <t>Green Accepted, Green Submitted, Green Published, gold</t>
  </si>
  <si>
    <t>WOS:000315406100023</t>
  </si>
  <si>
    <t>Trudinger, CM; Enting, IG; Rayner, PJ; Etheridge, DM; Buizert, C; Rubino, M; Krummel, PB; Blunier, T</t>
  </si>
  <si>
    <t>Trudinger, C. M.; Enting, I. G.; Rayner, P. J.; Etheridge, D. M.; Buizert, C.; Rubino, M.; Krummel, P. B.; Blunier, T.</t>
  </si>
  <si>
    <t>How well do different tracers constrain the firn diffusivity profile?</t>
  </si>
  <si>
    <t>POLAR FIRN; GAS CONCENTRATIONS; ANTARCTIC ICE; AIR MOVEMENT; LAW DOME; MODEL; TRANSPORT; DENSIFICATION; COEFFICIENTS; RADIOCARBON</t>
  </si>
  <si>
    <t>Firn air transport models are used to interpret measurements of the composition of air in firn and bubbles trapped in ice in order to reconstruct past atmospheric composition. The diffusivity profile in the firn is usually calibrated by comparing modelled and measured concentrations for tracers with known atmospheric history. However, in most cases this is an under-determined inverse problem, often with multiple solutions giving an adequate fit to the data (this is known as equifinality). Here we describe a method to estimate the firn diffusivity profile that allows multiple solutions to be identified, in order to quantify the uncertainty in diffusivity due to equifinality. We then look at how well different combinations of tracers constrain the firn diffusivity profile. Tracers with rapid atmospheric variations like CH3CCl3, HFCs and (CO2)-C-14 are most useful for constraining molecular diffusivity, while delta N-15(2) is useful for constraining parameters related to convective mixing near the surface. When errors in the observations are small and Gaussian, three carefully selected tracers are able to constrain the molecular diffusivity profile well with minimal equifinality. However, with realistic data errors or additional processes to constrain, there is benefit to including as many tracers as possible to reduce the uncertainties. We calculate CO2 age distributions and their spectral widths with uncertainties for five firn sites (NEEM, DE08-2, DSSW20K, South Pole 1995 and South Pole 2001) with quite different characteristics and tracers available for calibration. We recommend moving away from the use of a firn model with one calibrated parameter set to infer atmospheric histories, and instead suggest using multiple parameter sets, preferably with multiple representations of uncertain processes, to assist in quantification of the uncertainties.</t>
  </si>
  <si>
    <t>[Trudinger, C. M.; Etheridge, D. M.; Rubino, M.; Krummel, P. B.] CSIRO Marine &amp; Atmospher Res, Ctr Australian Weather &amp; Climate Res, Aspendale, Vic, Australia; [Enting, I. G.] Univ Melbourne, MASCOS, Melbourne, Vic 3010, Australia; [Rayner, P. J.] Univ Melbourne, Sch Earth Sci, Melbourne, Vic 3010, Australia; [Buizert, C.; Rubino, M.; Blunier, T.] Univ Copenhagen, Niels Bohr Inst, Ctr Ice &amp; Climate, DK-2100 Copenhagen, Denmark; [Buizert, C.] Oregon State Univ, Coll Earth Ocean &amp; Atmospher Sci, Corvallis, OR 97331 USA</t>
  </si>
  <si>
    <t>Commonwealth Scientific &amp; Industrial Research Organisation (CSIRO); University of Melbourne; Melbourne Bioinformatics; University of Melbourne; Melbourne Bioinformatics; University of Copenhagen; Niels Bohr Institute; Oregon State University</t>
  </si>
  <si>
    <t>Trudinger, CM (corresponding author), CSIRO Marine &amp; Atmospher Res, Ctr Australian Weather &amp; Climate Res, Aspendale, Vic, Australia.</t>
  </si>
  <si>
    <t>cathy.trudinger@csiro.au</t>
  </si>
  <si>
    <t>Rubino, Mauro/Q-5578-2016; Trudinger, Cathy/A-2532-2008; Krummel, Paul B/A-4293-2013; Etheridge, David M/B-7334-2013; Blunier, Thomas/M-4609-2014</t>
  </si>
  <si>
    <t>Krummel, Paul B/0000-0002-4884-3678; Rayner, Peter/0000-0001-7707-6298; Enting, Ian/0000-0002-9667-3271; Blunier, Thomas/0000-0002-6065-7747; Etheridge, David/0000-0001-7970-2002; Rubino, Mauro/0000-0002-8721-4508; Buizert, Christo/0000-0002-2227-1747; Trudinger, Cathy/0000-0002-4844-2153</t>
  </si>
  <si>
    <t>Department of Climate Change and Energy Efficiency; Bureau of Meteorology; CSIRO; Centre for Ice and Climate at the University of Copenhagen; Australian Research Council; Australian Professorial Fellowship [DP1096309]; NOAA Climate and Global Change Fellowship Program; Office Of The Director; Office Of Internatl Science &amp;Engineering [0968391] Funding Source: National Science Foundation</t>
  </si>
  <si>
    <t>Department of Climate Change and Energy Efficiency; Bureau of Meteorology(Bureau of Meteorology - Australia); CSIRO(Commonwealth Scientific &amp; Industrial Research Organisation (CSIRO)); Centre for Ice and Climate at the University of Copenhagen; Australian Research Council(Australian Research Council); Australian Professorial Fellowship(Australian Research Council); NOAA Climate and Global Change Fellowship Program(National Oceanic Atmospheric Admin (NOAA) - USA); Office Of The Director; Office Of Internatl Science &amp;Engineering(National Science Foundation (NSF)NSF - Office of the Director (OD))</t>
  </si>
  <si>
    <t>This work has been undertaken as part of the Australian Climate Change Science Program, funded jointly by the Department of Climate Change and Energy Efficiency, the Bureau of Meteorology and CSIRO. CSIRO's research in this area was also funded by the Centre for Ice and Climate at the University of Copenhagen. The Centre of Excellence of Mathematics and Statistics of Complex Systems (MASCOS) has been funded by the Australian Research Council. I. Enting's fellowship at MASCOS was funded in part by CSIRO. P. Rayner is in receipt of an Australian Professorial Fellowship (DP1096309). C. Buizert was supported by the NOAA Climate and Global Change Fellowship Program, administered by the University Corporation for Atmospheric Research. We would like to thank all those involved in the logistics, drilling, sampling and analysis for the firn air campaigns at DE08-2, South Pole 1995, DSSW20K, South Pole 2001 and NEEM 2008. We thank Patricia Martinerie for useful discussions and sharing atmospheric histories, Jeff Severinghaus for advice on equations for eddy diffusion and Mark Battle for providing data and advice for the South Pole firn sites. We acknowledge Ben Miller (now at CIRES/University of Colorado) for the Cape Grim Air Archive measurements of HCFC-141b used in this work. We thank Jeff Severinghaus and an anonymous reviewer for helpful comments and suggestions.</t>
  </si>
  <si>
    <t>10.5194/acp-13-1485-2013</t>
  </si>
  <si>
    <t>WOS:000315406100025</t>
  </si>
  <si>
    <t>Kuttippurath, J; Lefèvre, F; Pommereau, JP; Roscoe, HK; Goutail, F; Pazmiño, A; Shanklin, JD</t>
  </si>
  <si>
    <t>Kuttippurath, J.; Lefevre, F.; Pommereau, J-P; Roscoe, H. K.; Goutail, F.; Pazmino, A.; Shanklin, J. D.</t>
  </si>
  <si>
    <t>Antarctic ozone loss in 1979-2010: first sign of ozone recovery</t>
  </si>
  <si>
    <t>STRATOSPHERIC OZONE; ARCTIC WINTER; COLUMN OZONE; SOLAR-CYCLE; DEPLETION; TRENDS; HOLE; REANALYSIS; CHEMISTRY; TRANSPORT</t>
  </si>
  <si>
    <t>A long-term ozone loss time series is necessary to understand the evolution of ozone in Antarctica. Therefore, we construct the time series using ground-based, satellite and bias-corrected multi-sensor reanalysis (MSR) data sets for the period 1989-2010. The trends in ozone over 1979-2010 are also estimated to further elucidate its evolution in the wake of decreasing halogen levels in the stratosphere. Our analysis with ground-based observations shows that the average ozone loss in the Antarctic is about -33 to -50% (-90 to -155DU (Dobson Unit)) in 1989-1992, and then stayed at around -48% (-160 DU). The ozone loss in the warmer winters (e.g. 2002 and 2004) is lower (-37 to -46 %), and in the very cold winters (e.g. 2003 and 2006) it is higher (-52 to -55 %). These loss estimates are in good agreement with those estimated from satellite observations, where the differences are less than +/- 3 %. The ozone trends based on the equivalent effective Antarctic stratospheric chlorine (EEASC) and piecewise linear trend (PWLT) functions for the vortex averaged ground-based, Total Ozone Mapping Spectrometer/Ozone Monitoring Instrument (TOMS/OMI), and MSR data averaged over September-November exhibit about -4.6 DU yr(-1) over 1979-1999, corroborating the role of halogens in the ozone decrease during the period. The ozone trends computed for the 2000-2010 period are about +1 DU yr(-1) for EEASC and +2.6 DU yr(-1) for the PWLT functions. The larger positive PWLT trends for the 2000-2010 period indicate the influence of dynamics and other basis functions on the increase of ozone. The trends in both periods are significant at 95% confidence intervals for all analyses. Therefore, our study suggests that Antarctic ozone shows a significant positive trend toward its recovery, and hence, leaves a clear signature of the successful implementation of the Montreal Protocol.</t>
  </si>
  <si>
    <t>[Kuttippurath, J.; Lefevre, F.; Pommereau, J-P; Goutail, F.; Pazmino, A.] Univ Versailles St Quentin, Univ Paris 06, LATMOS IPSL, CNRS INSU,UMR8190, Paris, France; [Roscoe, H. K.; Shanklin, J. D.] British Antarctic Survey, Cambridge CB3 0ET, England</t>
  </si>
  <si>
    <t>Centre National de la Recherche Scientifique (CNRS); CNRS - National Institute for Earth Sciences &amp; Astronomy (INSU); Universite Paris Saclay; Sorbonne Universite; UK Research &amp; Innovation (UKRI); Natural Environment Research Council (NERC); NERC British Antarctic Survey</t>
  </si>
  <si>
    <t>Kuttippurath, J (corresponding author), Univ Versailles St Quentin, Univ Paris 06, LATMOS IPSL, CNRS INSU,UMR8190, Paris, France.</t>
  </si>
  <si>
    <t>jayanarayanan.kuttippurath@latmos.ipsl.fr</t>
  </si>
  <si>
    <t>Kuttippurath, Jayanarayanan/M-2878-2019; Kuttippurath, Jayanarayanan/E-6441-2017</t>
  </si>
  <si>
    <t>Kuttippurath, Jayanarayanan/0000-0003-4073-8918; Kuttippurath, Jayanarayanan/0000-0003-4073-8918</t>
  </si>
  <si>
    <t>IPEV (Institut Paul Emile Victor); INSU (Institut des Sciences de l'Univers); CNES (Centre National d'Etudes Spatiales); EC [RECONCILE-226365-FP7-ENV-2008-1]; French CNES/ACE; ESA/MULTI-TASTE projects; CNRS-INSU; Natural Environment Research Council [bas0100023] Funding Source: researchfish; NERC [bas0100023] Funding Source: UKRI</t>
  </si>
  <si>
    <t>IPEV (Institut Paul Emile Victor); INSU (Institut des Sciences de l'Univers); CNES (Centre National d'Etudes Spatiales)(Centre National D'etudes Spatiales); EC(European Union (EU)European Commission Joint Research Centre); French CNES/ACE; ESA/MULTI-TASTE projects; CNRS-INSU(Centre National de la Recherche Scientifique (CNRS)); Natural Environment Research Council(UK Research &amp; Innovation (UKRI)Natural Environment Research Council (NERC)); NERC(UK Research &amp; Innovation (UKRI)Natural Environment Research Council (NERC))</t>
  </si>
  <si>
    <t>J. K. thanks Marion Marchand and Slimane Bekki for their encouragement and help to complete this work. The authors thank Eric Nash (NASA GSFC) for the vortex edge data for the 1988-2009 period and Paul Newman (NASA GSFC) and Murry Salby (Macquarie University, Australia) for the EEASC data and the discussions with them. The authors thank Cathy Boonne of Centre for Atmospheric Chemistry Products and Services (ETHER) for providing the REPROBUS model code and data. The authors are grateful to two anonymous referees and the Editor for their critical and constructive comments that helped to improve the quality of this work. The authors are also grateful to principal investigators of various ground-based and satellite ozone observation programs: U. Friess, University of Heidelberg, Germany; J. Araujo, Departamento Alta Atmosfera, Argentina; K. Miyagawa, Japan Meteorological Agency, Japan; S. Nichol, National Institute of Water and Atmospheric Research, New Zealand; Z. Wenhua, Polar Research Institute, China; R. D. Evans, NOAA Earth System Research Laboratory, USA; R. McPeters, NASA Goddard Space Flight Center, USA; and H. Eskes and R. van der A, Royal Netherlands Meteorological Institute, Netherlands. The participation of BAS in this study is part of BAS's Polar Science for Planet Earth programme, funded by the Natural Environment Research Council of UK. The BAS Antarctic station (Faraday/Vernadsky, Halley and Rothera) data are taken from http://www.antarctica.ac.uk/met/jds/ozone/ and are publicly available. The TOMS data are retrieved from http://ozoneaq.gsfc.nasa.gov/. The MSR/GOME-2 data are obtained from the TEMIS web interface (http://www.temis.nl). The proxy data used in the trend analysis are obtained from the websites given in the text. The ground-based data used in this publication were obtained as part of the Network for the Detection of Atmospheric Composition Change (NDACC) and are publicly available (see http://www.ndacc.org). The French stations are supported by IPEV (Institut Paul Emile Victor), INSU (Institut des Sciences de l'Univers) and CNES (Centre National d'Etudes Spatiales), and the SAOZ ozone data are publicly available on the ETHER (http://ether.ipsl.jussieu.fr). A good part of the ground-based data used in this work are also taken from World Ozone and Ultraviolet Radiation Data Centre (WOUDC) and are publicly available (see http://www.woudc.org). We take this opportunity to thank the respective national governing bodies, research establishments and station scientists, who maintain the stations. This work was partly supported by the EC as a part of the FP7 project RECONCILE, Grant number: RECONCILE-226365-FP7-ENV-2008-1. This work was also supported by the French CNES/ACE and ESA/MULTI-TASTE projects.; The publication of this article is financed by CNRS-INSU.</t>
  </si>
  <si>
    <t>10.5194/acp-13-1625-2013</t>
  </si>
  <si>
    <t>WOS:000315406100034</t>
  </si>
  <si>
    <t>Lee, YH; Lamarque, JF; Flanner, MG; Jiao, C; Shindell, DT; Berntsen, T; Bisiaux, MM; Cao, J; Collins, WJ; Curran, M; Edwards, R; Faluvegi, G; Ghan, S; Horowitz, LW; McConnell, JR; Ming, J; Myhre, G; Nagashima, T; Naik, V; Rumbold, ST; Skeie, RB; Sudo, K; Takemura, T; Thevenon, F; Xu, B; Yoon, JH</t>
  </si>
  <si>
    <t>Lee, Y. H.; Lamarque, J. -F.; Flanner, M. G.; Jiao, C.; Shindell, D. T.; Berntsen, T.; Bisiaux, M. M.; Cao, J.; Collins, W. J.; Curran, M.; Edwards, R.; Faluvegi, G.; Ghan, S.; Horowitz, L. W.; McConnell, J. R.; Ming, J.; Myhre, G.; Nagashima, T.; Naik, V.; Rumbold, S. T.; Skeie, R. B.; Sudo, K.; Takemura, T.; Thevenon, F.; Xu, B.; Yoon, J. -H.</t>
  </si>
  <si>
    <t>Evaluation of preindustrial to present-day black carbon and its albedo forcing from Atmospheric Chemistry and Climate Model Intercomparison Project (ACCMIP)</t>
  </si>
  <si>
    <t>BIOMASS BURNING EMISSIONS; AEROSOL LIGHT-ABSORPTION; LONG-TERM TRENDS; ICE CORE; SNOW; DEPOSITION; TRANSPORT; SOOT; SIMULATION; IMPACT</t>
  </si>
  <si>
    <t>As part of the Atmospheric Chemistry and Climate Model Intercomparison Project (ACCMIP), we evaluate the historical black carbon (BC) aerosols simulated by 8 ACCMIP models against observations including 12 ice core records, long-term surface mass concentrations, and recent Arctic BC snowpack measurements. We also estimate BC albedo forcing by performing additional simulations using offline models with prescribed meteorology from 1996-2000. We evaluate the vertical profile of BC snow concentrations from these offline simulations using the recent BC snowpack measurements. Despite using the same BC emissions, the global BC burden differs by approximately a factor of 3 among models due to differences in aerosol removal parameterizations and simulated meteorology: 34 Gg to 103 Gg in 1850 and 82 Gg to 315 Gg in 2000. However, the global BC burden from preindustrial to present-day increases by 2.5-3 times with little variation among models, roughly matching the 2.5-fold increase in total BC emissions during the same period. We find a large divergence among models at both Northern Hemisphere (NH) and Southern Hemisphere (SH) high latitude regions for BC burden and at SH high latitude regions for deposition fluxes. The ACCMIP simulations match the observed BC surface mass concentrations well in Europe and North America except at Ispra. However, the models fail to predict the Arctic BC seasonality due to severe under-estimations during winter and spring. The simulated vertically resolved BC snow concentrations are, on average, within a factor of 2-3 of the BC snowpack measurements except for Greenland and the Arctic Ocean. For the ice core evaluation, models tend to adequately capture both the observed temporal trends and the magnitudes at Greenland sites. However, models fail to predict the decreasing trend of BC depositions/ice core concentrations from the 1950s to the 1970s in most Tibetan Plateau ice cores. The distinct temporal trend at the Tibetan Plateau ice cores indicates a strong influence from Western Europe, but the modeled BC increases in that period are consistent with the emission changes in Eastern Europe, the Middle East, South and East Asia. At the Alps site, the simulated BC suggests a strong influence from Europe, which agrees with the Alps ice core observations. At Zuoqiupu on the Tibetan Plateau, models successfully simulate the higher BC concentrations observed during the non-monsoon season compared to the monsoon season but overpredict BC in both seasons. Despite a large divergence in BC deposition at two Antarctic ice core sites, some models with a BC lifetime of less than 7 days are able to capture the observed concentrations. In 2000 relative to 1850, globally and annually averaged BC surface albedo forcing from the offline simulations ranges from 0.014 to 0.019 W m(-2) among the ACCMIP models. Comparing offline and online BC albedo forcings computed by some of the same models, we find that the global annual mean can vary by up to a factor of two because of different aerosol models or different BC-snow parameterizations and snow cover. The spatial distributions of the offline BC albedo forcing in 2000 show especially high BC forcing (i.e., over 0.1 W m(-2)) over Manchuria, Karakoram, and most of the Former USSR. Models predict the highest global annual mean BC forcing in 1980 rather than 2000, mostly driven by the high fossil fuel and biofuel emissions in the Former USSR in 1980.</t>
  </si>
  <si>
    <t>[Lee, Y. H.; Shindell, D. T.; Faluvegi, G.] NASA, Goddard Inst Space Studies, New York, NY 10025 USA; [Lee, Y. H.; Shindell, D. T.; Faluvegi, G.] Columbia Earth Inst, New York, NY USA; [Lamarque, J. -F.] Natl Ctr Atmospher Res, Boulder, CO 80307 USA; [Flanner, M. G.; Jiao, C.] Univ Michigan, Dept Atmospher Ocean &amp; Space Sci, Ann Arbor, MI 48109 USA; [Berntsen, T.; Myhre, G.] CICERO, Oslo, Norway; [Berntsen, T.] Univ Oslo, Dept Geosci, Oslo, Norway; [Bisiaux, M. M.; McConnell, J. R.] Univ Nevada, Desert Res Inst, Nevada Syst Higher Educ, Reno, NV 89506 USA; [Cao, J.] Chinese Acad Sci, Inst Earth Environm, State Key Lab Loess &amp; Quaternary Geol, Xian, Peoples R China; [Collins, W. J.; Rumbold, S. T.] Met Off, Hadley Ctr, Exeter, Devon, England; [Edwards, R.] Curtin Univ Technol, Dept Imaging &amp; Appl Phys, Bentley, WA 6102, Australia; [Ghan, S.; Yoon, J. -H.] Pacific NW Natl Lab, Richland, WA 99352 USA; [Horowitz, L. W.] NOAA, Geophys Fluid Dynam Lab, Princeton, NJ USA; [Ming, J.] China Meteorol Adm, Natl Climate Ctr, Beijing, Peoples R China; [Nagashima, T.; Skeie, R. B.] Natl Inst Environm Studies, Tsukuba, Ibaraki, Japan; [Naik, V.] NOAA, UCAR, Geophys Fluid Dynam Lab, Princeton, NJ USA; [Sudo, K.] Nagoya Univ, Grad Sch Environm Studies, Dept Earth &amp; Environm Sci, Nagoya, Aichi 4648601, Japan; [Takemura, T.] Kyushu Univ, Res Inst Appl Mech, Fukuoka 812, Japan; [Thevenon, F.] Univ Geneva, FA Forel Inst, Versoix, Switzerland; [Xu, B.] Chinese Acad Sci, Inst Tibetan Plateau Res, Key Lab Tibetan Environm Changes &amp; Land Surface P, Beijing, Peoples R China</t>
  </si>
  <si>
    <t>National Aeronautics &amp; Space Administration (NASA); NASA Goddard Space Flight Center; Goddard Institute for Space Studies; Columbia University; National Center Atmospheric Research (NCAR) - USA; University of Michigan System; University of Michigan; University of Oslo; Nevada System of Higher Education (NSHE); University of Nevada Reno; Desert Research Institute NSHE; Chinese Academy of Sciences; Institute of Earth Environment, CAS; Met Office - UK; Hadley Centre; Curtin University; United States Department of Energy (DOE); Pacific Northwest National Laboratory; National Oceanic Atmospheric Admin (NOAA) - USA; China Meteorological Administration; National Institute for Environmental Studies - Japan; National Oceanic Atmospheric Admin (NOAA) - USA; National Center Atmospheric Research (NCAR) - USA; Nagoya University; Kyushu University; University of Geneva; Chinese Academy of Sciences; Institute of Tibetan Plateau Research, CAS</t>
  </si>
  <si>
    <t>Lee, YH (corresponding author), NASA, Goddard Inst Space Studies, New York, NY 10025 USA.</t>
  </si>
  <si>
    <t>yunha.lee@nasa.gov</t>
  </si>
  <si>
    <t>YOON, JIN-HO/A-1672-2009; Ghan, Steven J/H-4301-2011; Horowitz, Larry W/D-8048-2014; Flanner, Mark/C-6139-2011; Myhre, Gunnar/J-5483-2014; Ming, Jing/C-2975-2008; Thevenon, Florian/E-3496-2010; Skeie, Ragnhild Bieltvedt/K-1173-2015; Naik, Vaishali/A-4938-2013; Gao, Jian/M-5906-2014; Shindell, Drew/D-4636-2012; Lee, Yunha/Q-7222-2016; Collins, William/A-5895-2010; Naik, Vaishali/Y-5661-2019; Myhre, Gunnar/A-3598-2008; Jiao, Chaoyi/F-9065-2015; Sudo, Kengo/I-6394-2014; Junji, Cao/D-3259-2014; Takemura, Toshihiko/C-2822-2009; Edwards, Ross/B-1433-2013; Lamarque, Jean-Francois/L-2313-2014</t>
  </si>
  <si>
    <t>Horowitz, Larry W/0000-0002-5886-3314; Flanner, Mark/0000-0003-4012-174X; Myhre, Gunnar/0000-0002-4309-476X; Ming, Jing/0000-0001-5527-3768; Skeie, Ragnhild Bieltvedt/0000-0003-1246-4446; Naik, Vaishali/0000-0002-2254-1700; Shindell, Drew/0000-0003-1552-4715; Lee, Yunha/0000-0001-7478-2672; Collins, William/0000-0002-7419-0850; Naik, Vaishali/0000-0002-2254-1700; Sudo, Kengo/0000-0002-5013-4168; Junji, Cao/0000-0003-1000-7241; Takemura, Toshihiko/0000-0002-2859-6067; Edwards, Ross/0000-0002-9233-8775; Faluvegi, Gregory/0000-0001-9011-3663; Ghan, Steven/0000-0001-8355-8699; Lamarque, Jean-Francois/0000-0002-4225-5074; Rumbold, Steven/0000-0001-8138-4541; Berntsen, Terje/0000-0001-5971-5930</t>
  </si>
  <si>
    <t>Atmospheric Chemistry and Climate (AC&amp; C), a project of International Global Atmospheric Chemistry (IGAC) and Stratospheric Processes And their Role in Climate (SPARC); NASA; US Department of Energy Office of Science Decadal and Regional Climate Prediction using Earth System Models (EaSM) program; Department of Energy (DOE) by Battelle Memorial Institute [DE-AC06-76RLO 1830]; Joint DECC and Defra Integrated Climate Programme [GA01101]; Norwegian Research Council; National Science Foundation; Office of Science (BER) of the US Department of Energy; Environment Research and Technology Development Fund of the Ministry of the Environment, Japan [S7]; NILU; Norsk Polar Institute; Grants-in-Aid for Scientific Research [25241006] Funding Source: KAKEN; Directorate For Geosciences [1023387] Funding Source: National Science Foundation; Directorate For Geosciences; Office of Polar Programs (OPP) [0839093] Funding Source: National Science Foundation; Directorate For Geosciences; Office of Polar Programs (OPP) [0909541, 0856845, 1023672] Funding Source: National Science Foundation; Office of Polar Programs (OPP) [1023387] Funding Source: National Science Foundation</t>
  </si>
  <si>
    <t>Atmospheric Chemistry and Climate (AC&amp; C), a project of International Global Atmospheric Chemistry (IGAC) and Stratospheric Processes And their Role in Climate (SPARC); NASA(National Aeronautics &amp; Space Administration (NASA)); US Department of Energy Office of Science Decadal and Regional Climate Prediction using Earth System Models (EaSM) program(United States Department of Energy (DOE)); Department of Energy (DOE) by Battelle Memorial Institute(United States Department of Energy (DOE)); Joint DECC and Defra Integrated Climate Programme; Norwegian Research Council(Research Council of Norway); National Science Foundation(National Science Foundation (NSF)); Office of Science (BER) of the US Department of Energy(United States Department of Energy (DOE)); Environment Research and Technology Development Fund of the Ministry of the Environment, Japan(Ministry of the Environment, Japan); NILU; Norsk Polar Institute; Grants-in-Aid for Scientific Research(Ministry of Education, Culture, Sports, Science and Technology, Japan (MEXT)Japan Society for the Promotion of ScienceGrants-in-Aid for Scientific Research (KAKENHI)); Directorate For Geosciences(National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</si>
  <si>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ACCMIP is organized under the auspices of Atmospheric Chemistry and Climate (AC&amp; C), a project of International Global Atmospheric Chemistry (IGAC) and Stratospheric Processes And their Role in Climate (SPARC) under the International Geosphere-Biosphere Project (IGBP) andWorld Climate Research Program (WCRP). The authors are thankful to the British Atmospheric Data Centre (BADC), which is part of the NERC National Centre for Atmospheric Science (NCAS), for collecting and archiving the ACCMIP data. Y. H. Lee, D. T. Shindell, and G. Faluvegi acknowledge the support of the NASA MAP and ACMAP programs. Resources supporting the two GISS models simulations were provided by the NASA High-End Computing (HEC) Program through the NASA Center for Climate Simulation (NCCS) at Goddard Space Flight Center. V. Naik and L. W. Horowitz acknowledge the efforts of GFDL's Global Atmospheric Model Development Team in the development of the GFDL-AM3 and the efforts of the Modeling Services Group for assistance with data processing. S. Ghan and J.-H. Yoon were supported by the US Department of Energy Office of Science Decadal and Regional Climate Prediction using Earth System Models (EaSM) program. The Pacific Northwest National Laboratory (PNNL) is operated for the Department of Energy (DOE) by Battelle Memorial Institute under contract DE-AC06-76RLO 1830. W. J. Collins and S. T. Rumbold were supported by the Joint DECC and Defra Integrated Climate Programme (GA01101). The CICERO-OsloCTM2 simulations were done within the projects SLAC (Short Lived Atmospheric Components) and EarthClim funded by the Norwegian Research Council. The CESM project, including NCAR-CAM3.5, is supported by the National Science Foundation and the Office of Science (BER) of the US Department of Energy. The National Center for Atmospheric Research is operated by the University Corporation for Atmospheric Research under sponsorship of the National Science Foundation. The MIROC-CHEM calculations were performed on the NIES supercomputer system (NEC SX-8R) and supported by the Environment Research and Technology Development Fund (S7) of the Ministry of the Environment, Japan. Development of historical records of BC in Greenland and Antarctic ice cores was funded by the National Science Foundation.; The authors would like to thank NOAA-ESRL-GMD aerosol group, Norwegian Institute for Air Research (NILU), Atmospheric Radiation Measurement (ARM) Climate Research Facility operated for DOE, Sangeeta Sharma (Environment Canada), Heikki Lihavainen (Finnish Meteorological Institute), Sandy Starkweather (NOAA), Ernest Weingartner (Paul Scherrer Institute), and Martine Collaud Coen (MeteoSwiss) for providing BC surface mass concentration data. Special thanks to Betsy Andrews at NOAA and Ann Mari Fj raa at NILU for helping us to obtain several BC surface mass concentrations datasets. We thank the EUSAAR-ACTRIS network for sampling BC at several EMEP stations. S. G. Jennings and Colin O'Dowd, Centre for Climate and Air Pollution Studies, School of Physics, National University of Ireland Galway are acknowledged for the use of surface black carbon data taken at the Mace Head Atmospheric Research Station on the west coast of Ireland. We also acknowledge the contribution of aethalometer BC data from Zeppelin, Ny-A lesund by K. Eleftheriadis, NCSR Demokritos and the support of NILU and Norsk Polar Institute. Finally, special thanks to Stephen Warren (Dept. of Atmospheric Science, Univ. ofWashington, Seattle, WA, USA) and Sarah Doherty (JISAO, Univ. of Washington, Seattle, WA, USA) for making available measurements of snow BC concentrations from the Arctic.</t>
  </si>
  <si>
    <t>10.5194/acp-13-2607-2013</t>
  </si>
  <si>
    <t>117NP</t>
  </si>
  <si>
    <t>Green Submitted, Green Accepted, Green Published, gold</t>
  </si>
  <si>
    <t>WOS:000316960500019</t>
  </si>
  <si>
    <t>Shindell, DT; Pechony, O; Voulgarakis, A; Faluvegi, G; Nazarenko, L; Lamarque, JF; Bowman, K; Milly, G; Kovari, B; Ruedy, R; Schmidt, GA</t>
  </si>
  <si>
    <t>Shindell, D. T.; Pechony, O.; Voulgarakis, A.; Faluvegi, G.; Nazarenko, L.; Lamarque, J. -F.; Bowman, K.; Milly, G.; Kovari, B.; Ruedy, R.; Schmidt, G. A.</t>
  </si>
  <si>
    <t>Interactive ozone and methane chemistry in GISS-E2 historical and future climate simulations</t>
  </si>
  <si>
    <t>COUPLED ATMOSPHERE-OCEAN; TROPOSPHERIC OZONE; GREENHOUSE-GAS; IN-SITU; MODEL; SATELLITE; EMISSIONS; PREINDUSTRIAL; TEMPERATURE; AEROSOLS</t>
  </si>
  <si>
    <t>The new generation GISS climate model includes fully interactive chemistry related to ozone in historical and future simulations, and interactive methane in future simulations. Evaluation of ozone, its tropospheric precursors, and methane shows that the model captures much of the large-scale spatial structure seen in recent observations. While the model is much improved compared with the previous chemistry-climate model, especially for ozone seasonality in the stratosphere, there is still slightly too rapid stratospheric circulation, too little stratosphere-to-troposphere ozone flux in the Southern Hemisphere and an Antarctic ozone hole that is too large and persists too long. Quantitative metrics of spatial and temporal correlations with satellite datasets as well as spatial autocorrelation to examine transport and mixing are presented to document improvements in model skill and provide a benchmark for future evaluations. The difference in radiative forcing (RF) calculated using modeled tropospheric ozone versus tropospheric ozone observed by TES is only 0.016 W m(-2). Historical 20th Century simulations show a steady increase in whole atmosphere ozone RF through 1970 after which there is a decrease through 2000 due to stratospheric ozone depletion. Ozone forcing increases throughout the 21st century under RCP8.5 owing to a projected recovery of stratospheric ozone depletion and increases in methane, but decreases under RCP4.5 and 2.6 due to reductions in emissions of other ozone precursors. RF from methane is 0.05 to 0.18 W m(-2) higher in our model calculations than in the RCP RF estimates. The surface temperature response to ozone through 1970 follows the increase in forcing due to tropospheric ozone. After that time, surface temperatures decrease as ozone RF declines due to stratospheric depletion. The stratospheric ozone depletion also induces substantial changes in surface winds and the Southern Ocean circulation, which may play a role in a slightly stronger response per unit forcing during later decades. Tropical precipitation shifts south during boreal summer from 1850 to 1970, but then shifts northward from 1970 to 2000, following upper tropospheric temperature gradients more strongly than those at the surface.</t>
  </si>
  <si>
    <t>[Shindell, D. T.; Pechony, O.; Voulgarakis, A.; Faluvegi, G.; Nazarenko, L.; Milly, G.; Kovari, B.; Ruedy, R.; Schmidt, G. A.] NASA, Goddard Inst Space Studies, New York, NY 10025 USA; [Shindell, D. T.; Pechony, O.; Voulgarakis, A.; Faluvegi, G.; Nazarenko, L.; Milly, G.; Kovari, B.; Ruedy, R.; Schmidt, G. A.] Columbia Earth Inst, New York, NY USA; [Lamarque, J. -F.] Natl Ctr Atmospher Res, Boulder, CO 80307 USA; [Bowman, K.] CALTECH, Jet Prop Lab, Pasadena, CA USA</t>
  </si>
  <si>
    <t>National Aeronautics &amp; Space Administration (NASA); NASA Goddard Space Flight Center; Goddard Institute for Space Studies; Columbia University; National Center Atmospheric Research (NCAR) - USA; California Institute of Technology; National Aeronautics &amp; Space Administration (NASA); NASA Jet Propulsion Laboratory (JPL)</t>
  </si>
  <si>
    <t>Shindell, DT (corresponding author), NASA, Goddard Inst Space Studies, New York, NY 10025 USA.</t>
  </si>
  <si>
    <t>drew.t.shindell@nasa.gov</t>
  </si>
  <si>
    <t>Schmidt, Gavin/D-4427-2012; Bowman, Kevin/L-8786-2019; Shindell, Drew/D-4636-2012; Lamarque, Jean-Francois/L-2313-2014</t>
  </si>
  <si>
    <t>Schmidt, Gavin/0000-0002-2258-0486; Bowman, Kevin/0000-0002-8659-1117; Shindell, Drew/0000-0003-1552-4715; Faluvegi, Gregory/0000-0001-9011-3663; Lamarque, Jean-Francois/0000-0002-4225-5074; Ruedy, Reto/0000-0002-1270-1088; Voulgarakis, Apostolos/0000-0002-6656-4437</t>
  </si>
  <si>
    <t>NASA ACMAP; MAP; NASA High-End Computing (HEC) Program through the NASA Center for Climate Simulation (NCCS) at Goddard Space Flight Center; National Science Foundation</t>
  </si>
  <si>
    <t>NASA ACMAP(National Aeronautics &amp; Space Administration (NASA)); MAP; NASA High-End Computing (HEC) Program through the NASA Center for Climate Simulation (NCCS) at Goddard Space Flight Center; National Science Foundation(National Science Foundation (NSF))</t>
  </si>
  <si>
    <t>We thank Susan Strahan for providing the N2O and Age-of-air data, and NASA ACMAP and MAP for funding. Resources supporting this work were provided by the NASA High-End Computing (HEC) Program through the NASA Center for Climate Simulation (NCCS) at Goddard Space Flight Center. The SCIAMACHY methane retrievals (WFMDv2.0.2) were obtained from the Institute of Environmental Physics (IUP), University of Bremen, Germany and we thank Oliver Schneising and Michael Buchwitz for their assistance. Model output is available via the WGCM PCDMI ESG gateway. The National Center for Atmospheric Research is operated by the University Corporation for Atmospheric Research under sponsorship of the National Science Foundation.</t>
  </si>
  <si>
    <t>10.5194/acp-13-2653-2013</t>
  </si>
  <si>
    <t>WOS:000316960500021</t>
  </si>
  <si>
    <t>Frey, MM; Brough, N; France, JL; Anderson, PS; Traulle, O; King, MD; Jones, AE; Wolff, EW; Savarino, J</t>
  </si>
  <si>
    <t>Frey, M. M.; Brough, N.; France, J. L.; Anderson, P. S.; Traulle, O.; King, M. D.; Jones, A. E.; Wolff, E. W.; Savarino, J.</t>
  </si>
  <si>
    <t>The diurnal variability of atmospheric nitrogen oxides (NO and NO2) above the Antarctic Plateau driven by atmospheric stability and snow emissions</t>
  </si>
  <si>
    <t>BOUNDARY-LAYER HEIGHT; SOUTH-POLE; DOME-C; GAS-PHASE; CHEMISTRY; PHOTOLYSIS; GREENLAND; NITRATE; SUMMIT; FLUXES</t>
  </si>
  <si>
    <t>Atmospheric nitrogen oxides (NO and NO2) were observed at Dome C, East Antarctica (75.1 degrees S, 123.3 degrees E, 3233 m), for a total of 50 days, from 10 December 2009 to 28 January 2010. Average (+/- 1 sigma) mixing ratios at 1.0m of NO and NO2, the latter measured for the first time on the East Antarctic Plateau, were 111 (+/- 89) and 98 (+/- 89) pptv, respectively. Atmospheric mixing ratios are on average comparable to those observed previously at South Pole, but in contrast show strong diurnal variability: a minimum around local noon and a maximum in the early evening coincide with the development and collapse of a convective boundary layer. The asymmetric diurnal cycle of NOx concentrations and likely any other chemical tracer with a photolytic surface source is driven by the turbulent diffusivity and height of the atmospheric boundary layer, with the former controlling the magnitude of the vertical flux and the latter the size of the volume into which snow emissions are transported. In particular, the average (+/- 1 sigma) NOx emission flux from 22 December 2009 to 28 January 2010, estimated from atmospheric concentration gradients, was 8.2 (+/- 7.4) x 10(12) molecule m(-2) s(-1) belongs to the largest values measured so far in the polar regions and explains the 3-fold increase in mixing ratios in the early evening when the boundary layer becomes very shallow. Dome C is likely not representative for the entire East Antarctic Plateau but illustrates the need of an accurate description of the boundary layer above snow in atmospheric chemistry models. A simple nitrate photolysis model matches the observed median diurnal NOx flux during the day but has significant low bias during the night. The difference is significant taking into account the total random error in flux observations and model uncertainties due to the variability of NO3- concentrations in snow and potential contributions from NO2- photolysis. This highlights uncertainties in the parameterization of the photolytic NOx source in natural snowpacks, such as the poorly constrained quantum yield of nitrate photolysis. A steadystate analysis of the NO2 : NO ratios indicates that peroxy (HO2 + RO2) or other radical concentrations in the boundary layer of Dome C are either higher than measured elsewhere in the polar regions or other processes leading to enhanced NO2 have to be invoked. These results confirm the existence of a strongly oxidising canopy enveloping the East Antarctic Plateau in summer.</t>
  </si>
  <si>
    <t>[Frey, M. M.; Brough, N.; Anderson, P. S.; Jones, A. E.; Wolff, E. W.] British Antarctic Survey, Nat Environm Res Council, Cambridge CB3 0ET, England; [France, J. L.; King, M. D.] Univ London, Dept Earth Sci, Egham, Surrey, England; [Anderson, P. S.] Scottish Assoc Marine Sci, Oban PA37 1QA, Argyll, Scotland; [Traulle, O.] Meteo France CNRS, URA 1357, CNRM GAME, Toulouse, France; [Savarino, J.] Univ Grenoble 1, CNRS INSU, Lab Glaciol &amp; Geophys Environm, F-38402 St Martin Dheres, France</t>
  </si>
  <si>
    <t>UK Research &amp; Innovation (UKRI); Natural Environment Research Council (NERC); NERC British Antarctic Survey; University of London; Royal Holloway University London; UHI Millennium Institute; Meteo France; Centre National de la Recherche Scientifique (CNRS); Centre National de la Recherche Scientifique (CNRS); CNRS - National Institute for Earth Sciences &amp; Astronomy (INSU); Communaute Universite Grenoble Alpes; Universite Grenoble Alpes (UGA)</t>
  </si>
  <si>
    <t>Frey, MM (corresponding author), British Antarctic Survey, Nat Environm Res Council, Cambridge CB3 0ET, England.</t>
  </si>
  <si>
    <t>maey@bas.ac.uk</t>
  </si>
  <si>
    <t>King, Martin/B-1308-2009; brough, neil/AAG-8550-2019; Frey, Markus/G-1756-2012; Wolff, Eric W/D-7925-2014; Savarino, Joel/H-9730-2012; France, James/L-9719-2015</t>
  </si>
  <si>
    <t>King, Martin/0000-0002-0089-7693; brough, neil/0000-0002-2316-5292; Frey, Markus/0000-0003-0535-0416; Wolff, Eric W/0000-0002-5914-8531; Savarino, Joel/0000-0002-6708-9623; France, James/0000-0002-8785-1240; Jones, Anna/0000-0002-2040-4841</t>
  </si>
  <si>
    <t>Institut Paul Emile Victor (IPEV - Programme 1011 NITEDC); Natural Environment Research Council through the British Antarctic Survey Polar Science for Planet Earth Programme; French national atmospheric program LEFE-CHAT; NERC [NE/F0004796/1, NE/F010788]; NERC FSF [S55.0608, S84.0609]; RHUL research strategy fund awards; Natural Environment Research Council [bas0100024, fsf010001] Funding Source: researchfish; NERC [fsf010001, bas0100024] Funding Source: UKRI</t>
  </si>
  <si>
    <t>Institut Paul Emile Victor (IPEV - Programme 1011 NITEDC); Natural Environment Research Council through the British Antarctic Survey Polar Science for Planet Earth Programme; French national atmospheric program LEFE-CHAT; NERC(UK Research &amp; Innovation (UKRI)Natural Environment Research Council (NERC)); NERC FSF; RHUL research strategy fund awards; Natural Environment Research Council(UK Research &amp; Innovation (UKRI)Natural Environment Research Council (NERC)); NERC(UK Research &amp; Innovation (UKRI)Natural Environment Research Council (NERC))</t>
  </si>
  <si>
    <t>This work has been made possible thanks to partial support by Institut Paul Emile Victor (IPEV - Programme 1011 NITEDC). MMF is funded by the Natural Environment Research Council through the British Antarctic Survey Polar Science for Planet Earth Programme. We acknowledge also support by the French national atmospheric program LEFE-CHAT managed by INSU/CNRS. Sonic data were provided by C. Genthon, LGGE (IPEV - Programme 1013 and OSUG CENACLAM observatory) and Eric Fossat, OCA. We thank B. Jourdain and the IPEV - Programme CESOA for providing ozone data, PNRA for meteorological data and IPEV for logistic support. JLF and MDK wish to thank NERC for support under grants NE/F0004796/1 and NE/F010788 and NERC FSF through grants S55.0608 and S84.0609 and RHUL research strategy fund awards.</t>
  </si>
  <si>
    <t>10.5194/acp-13-3045-2013</t>
  </si>
  <si>
    <t>WOS:000316961000007</t>
  </si>
  <si>
    <t>Erbland, J; Vicars, WC; Savarino, J; Morin, S; Frey, MM; Frosini, D; Vince, E; Martins, JMF</t>
  </si>
  <si>
    <t>Erbland, J.; Vicars, W. C.; Savarino, J.; Morin, S.; Frey, M. M.; Frosini, D.; Vince, E.; Martins, J. M. F.</t>
  </si>
  <si>
    <t>Air-snow transfer of nitrate on the East Antarctic Plateau - Part 1: Isotopic evidence for a photolytically driven dynamic equilibrium in summer</t>
  </si>
  <si>
    <t>ATMOSPHERIC NITRATE; ICE CORES; DOME C; FRESH-WATER; NITROGEN; DELTA-O-17; EMISSIONS; HNO3; CONSTRAINTS; PHOTOLYSIS</t>
  </si>
  <si>
    <t>Here we report the measurement of the comprehensive isotopic composition (delta N-15, Delta O-17 and delta O-18) of nitrate at the air-snow interface at Dome C, Antarctica (DC, 75 degrees 06'S, 123 degrees 19'E), and in snow pits along a transect across the East Antarctic Ice Sheet (EAIS) between 66 degrees S and 78 degrees S. In most of the snow pits, nitrate loss (either by physical release or UV photolysis of nitrate) is observed and fractionation constants associated are calculated. Nitrate collected from snow pits on the plateau (snow accumulation rate below 50 kg m(-2)a(-1)) displays average fractionation constants of (-59 +/- 10) parts per thousand, (+2.0 +/- 1.0)parts per thousand and (+8.7 +/- 2.4)parts per thousand for delta N-15, Delta O-17 and delta O-18, respectively. In contrast, snow pits sampled on the coast show distinct isotopic signatures with average fractionation constants of (-16 +/- 14) parts per thousand, (-0.2 +/- 1.5)parts per thousand and (+3.1 +/- 5.8) parts per thousand, for delta N-15, Delta O-17 and delta O-18, respectively. Our observations corroborate that photolysis (associated with a N-15/N-14 fractionation constant of the order of -48 parts per thousand according to Frey et al. (2009)) is the dominant nitrate loss process on the East Antarctic Plateau, while on the coast the loss is less pronounced and could involve both physical release and photochemical processes. Year-round isotopic measurements at DC show a close relationship between the Delta O-17 of atmospheric nitrate and Delta O-17 of nitrate in skin layer snow, suggesting a photolytically driven isotopic equilibrium imposed by nitrate recycling at this interface. Atmospheric nitrate deposition may lead to fractionation of the nitrogen isotopes and explain the almost constant shift of the order of 25 parts per thousand between the delta N-15 values in the atmospheric and skin layer nitrate at DC. Asymptotic delta N-15(NO3-) values calculated for each snow pit are found to be correlated with the inverse of the snow accumulation rate (ln(delta N-15(as.) + 1) = (5.76 +/- 0.47) . (kg m(-2) a(-1)/A)+(0.01 +/- 0.02)), confirming the strong relationship between the snow accumulation rate and the degree of isotopic fractionation, consistent with previous observations by Freyer et al. (1996). Asymptotic Delta O-17(NO3-) values on the plateau are smaller than the values found in the skin layer most likely due to oxygen isotope exchange between the nitrate photoproducts and water molecules from the surrounding ice. However, the apparent fractionation in Delta O-17 is small, thus allowing the preservation of a portion of the atmospheric signal.</t>
  </si>
  <si>
    <t>[Erbland, J.; Vicars, W. C.; Savarino, J.] UJF Grenoble 1 CNRS, LGGE UMR5183, Grenoble, France; [Morin, S.] Meteo France CNRS, CNRM GAME URA1357, CEN, Grenoble, France; [Frey, M. M.] British Antarctic Survey, Nat Environm Res Council, Cambridge CB3 0ET, England; [Frosini, D.] Univ Florence, Dept Chem, Sesto Fiorentino, Italy; [Vince, E.; Martins, J. M. F.] UJF Grenoble 1 CNRS INSU G INP IRD, LTHE UMR5564, Grenoble, France</t>
  </si>
  <si>
    <t>Communaute Universite Grenoble Alpes; Universite Grenoble Alpes (UGA); Centre National de la Recherche Scientifique (CNRS); Centre National de la Recherche Scientifique (CNRS); Meteo France; UK Research &amp; Innovation (UKRI); Natural Environment Research Council (NERC); NERC British Antarctic Survey; University of Florence; Communaute Universite Grenoble Alpes; Institut National Polytechnique de Grenoble; Universite Grenoble Alpes (UGA); Centre National de la Recherche Scientifique (CNRS); Institut de Recherche pour le Developpement (IRD)</t>
  </si>
  <si>
    <t>Erbland, J (corresponding author), UJF Grenoble 1 CNRS, LGGE UMR5183, Grenoble, France.</t>
  </si>
  <si>
    <t>joseph.erbland@ujf-grenoble.fr</t>
  </si>
  <si>
    <t>Savarino, Joel/H-9730-2012; Frey, Markus/G-1756-2012; Morin, Samuel/E-8005-2011; Martins, Jean M.F./B-2715-2008; Martins, Jean/AAF-4186-2021</t>
  </si>
  <si>
    <t>Savarino, Joel/0000-0002-6708-9623; Frey, Markus/0000-0003-0535-0416; Morin, Samuel/0000-0002-1781-687X; Martins, Jean M.F./0000-0003-0314-1311; Martins, Jean/0000-0003-0314-1311; Erbland, Joseph/0000-0002-1186-1370</t>
  </si>
  <si>
    <t>Agence Nationale de la Recherche (ANR) [ANR-07-VULN-013, ANR-09-BLAN-0226]; LICENCE (LEFE-CHAT), a scientific programme of the Institut National des Sciences de l'Univers (INSU/CNRS); IPICS programme (CNRS); IPEV [NITEDC - 1011]; Natural Environment Research Council [bas0100024] Funding Source: researchfish; NERC [bas0100024] Funding Source: UKRI</t>
  </si>
  <si>
    <t>Agence Nationale de la Recherche (ANR)(Agence Nationale de la Recherche (ANR)); LICENCE (LEFE-CHAT), a scientific programme of the Institut National des Sciences de l'Univers (INSU/CNRS); IPICS programme (CNRS); IPEV; Natural Environment Research Council(UK Research &amp; Innovation (UKRI)Natural Environment Research Council (NERC)); NERC(UK Research &amp; Innovation (UKRI)Natural Environment Research Council (NERC))</t>
  </si>
  <si>
    <t>We thank A. Maggi, J.-Y. Thore (Universite de Strasbourg, France) and K. Agabi (Universite Nice Sophia Antipolis, France) as well as the winterover crews of the Concordia (Dome C) base for their help with the snow sampling in the field. The French Polar Institute (IPEV) is thanked for its logistical support in Antarctica. V. Lipenkov (AARI, St Petersburg, Russia) is thanked for providing the V09-1 and V09-2 snow pits from Vostok. We thank G. Krinner for downloading the ERA-Interim temperature data, G. Picard for processing them and G. Krinner and S. Parouty for providing the snow accumulation data. The Agence Nationale de la Recherche (ANR) is gratefully acknowledged for its financial support through the VANISH (contract ANR-07-VULN-013) and OPALE (contract ANR-09-BLAN-0226) projects. This study has also benefited partial funding from LICENCE (LEFE-CHAT), a scientific programme of the Institut National des Sciences de l'Univers (INSU/CNRS), as well as from the IPICS programme (CNRS) and from IPEV (programme NITEDC - 1011). We thank B. Alexander, one anonymous reviewer and the Hastings' lab group for useful comments and suggestions during the review process. This study would not have been possible without the courage and experience of the Antarctic pilots flying over Antarctica. We remember our colleague, Bob Heath, and his crew, who devoted their life to Antarctic research.</t>
  </si>
  <si>
    <t>10.5194/acp-13-6403-2013</t>
  </si>
  <si>
    <t>182TL</t>
  </si>
  <si>
    <t>WOS:000321767200018</t>
  </si>
  <si>
    <t>Spolaor, A; Vallelonga, P; Plane, JMC; Kehrwald, N; Gabrieli, J; Varin, C; Turetta, C; Cozzi, G; Kumar, R; Boutron, C; Barbante, C</t>
  </si>
  <si>
    <t>Spolaor, A.; Vallelonga, P.; Plane, J. M. C.; Kehrwald, N.; Gabrieli, J.; Varin, C.; Turetta, C.; Cozzi, G.; Kumar, R.; Boutron, C.; Barbante, C.</t>
  </si>
  <si>
    <t>Halogen species record Antarctic sea ice extent over glacial-interglacial periods</t>
  </si>
  <si>
    <t>BOUNDARY-LAYER HALOGENS; SOUTHERN-OCEAN; TALOS DOME; IODINE SPECIATION; SALT AEROSOL; EAST ANTARCTICA; FROST FLOWERS; AGE SCALE; CHEMISTRY; CORE</t>
  </si>
  <si>
    <t>Sea ice is an integral part of the earth's climate system because it affects planetary albedo, sea-surface salinity, and the atmosphere-ocean exchange of reactive gases and aerosols. Bromine and iodine chemistry is active at polar sea ice margins with the occurrence of bromine explosions and the biological production of organoiodine from sea ice algae. Satellite measurements demonstrate that concentrations of bromine oxide (BrO) and iodine oxide (IO) decrease over sea ice toward the Antarctic interior. Here we present speciation measurements of bromine and iodine in the TALDICE (TALos Dome Ice CorE) ice core (159 degrees 11'E, 72 degrees 49'S; 2315 m a.s.l.) spanning the last 215 ky. The Talos Dome ice core is located 250 km inland and is sensitive to marine air masses intruding onto the Antarctic Plateau. Talos Dome bromide (Br-) is positively correlated with temperature and negatively correlated with sodium (Na). Based on the Br-/Na seawater ratio, bromide is depleted in the ice during glacial periods and enriched during interglacial periods. Total iodine, consisting of iodide (I-) and iodate (IO3-), peaks during glacials with lower values during interglacial periods. Although IO3- is considered the most stable iodine species in the atmosphere it was only observed in the TALDICE record during glacial maxima. Sea ice dynamics are arguably the primary driver of halogen fluxes over glacial-interglacial timescales, by altering the distance between the sea ice edge and the Antarctic plateau and by altering the surface area of sea ice available to algal colonization. Based on our results we propose the use of both halogens for examining Antarctic variability of past sea ice extent.</t>
  </si>
  <si>
    <t>[Spolaor, A.] Univ Siena, Dept Earth Sci, I-53100 Siena, Italy; [Spolaor, A.; Gabrieli, J.; Turetta, C.; Cozzi, G.; Barbante, C.] Univ Venice, Inst Dynam Environm Proc, CNR, I-30123 Venice, Italy; [Vallelonga, P.] Niels Bohr Inst, Ctr Ice &amp; Climate, DK-2100 Copenhagen, Denmark; [Plane, J. M. C.] Univ Leeds, Sch Chem, Leeds LS2 9JT, W Yorkshire, England; [Kehrwald, N.; Varin, C.; Barbante, C.] Univ Ca Foscari Venice, Dept Environm Sci Informat &amp; Stat, I-30123 Venice, Italy; [Kumar, R.] Multanimal Modi Postgrad, Dept Chem, Modinagar 201204, UP, India; [Boutron, C.] UJF, CNRS, UMR 5183, Lab Glaciol &amp; Geophys Environm, F-38402 St Martin Dheres, France</t>
  </si>
  <si>
    <t>University of Siena; Universita Ca Foscari Venezia; Consiglio Nazionale delle Ricerche (CNR); Istituto per la Dinamica dei Processi Ambientali (IDPA-CNR); University of Copenhagen; Niels Bohr Institute; University of Leeds; Universita Ca Foscari Venezia; Communaute Universite Grenoble Alpes; Universite Grenoble Alpes (UGA); Centre National de la Recherche Scientifique (CNRS)</t>
  </si>
  <si>
    <t>Spolaor, A (corresponding author), Univ Siena, Dept Earth Sci, Via Laterina 8, I-53100 Siena, Italy.</t>
  </si>
  <si>
    <t>andrea.spolaor@unive.it</t>
  </si>
  <si>
    <t>VARIN, CRISTIANO/Q-4484-2018; Cozzi, Giulio/R-4554-2019; Spolaor, Andrea/AAX-8808-2020; Turetta, Clara/O-2849-2015; Barbante, Carlo/B-3195-2011; Kehrwald, Natalie M/A-3848-2013; VARIN, CRISTIANO/E-8269-2015; Vallelonga, Paul/I-9650-2016; Plane, John/C-7444-2015</t>
  </si>
  <si>
    <t>VARIN, CRISTIANO/0000-0002-5591-5705; Cozzi, Giulio/0000-0001-8796-4176; Spolaor, Andrea/0000-0001-8635-9193; Turetta, Clara/0000-0003-3130-2901; Kehrwald, Natalie M/0000-0002-9160-2239; Jacopo, Gabrieli/0009-0001-7005-7390; Vallelonga, Paul/0000-0003-1055-7235; Plane, John/0000-0003-3648-6893; Barbante, Carlo/0000-0003-4177-2288</t>
  </si>
  <si>
    <t>European Union Marie Curie IIF Fellowship (TDICOSO) [MIF1-CT-2006-039529]</t>
  </si>
  <si>
    <t>European Union Marie Curie IIF Fellowship (TDICOSO)</t>
  </si>
  <si>
    <t>We thank Roberto Udisti for TALDICE MSA and SO42- data. This work was supported by European Union Marie Curie IIF Fellowship (MIF1-CT-2006-039529, TDICOSO) within the VII Framework Program. The Talos Dome Ice Core Project (TALDICE), a joint European programme, is funded by national contributions from Italy, France, Germany, Switzerland and the United Kingdom. Primary logistical support was provided by PNRA at Talos Dome. This is TALDICE publication no 29.</t>
  </si>
  <si>
    <t>10.5194/acp-13-6623-2013</t>
  </si>
  <si>
    <t>WOS:000321767200034</t>
  </si>
  <si>
    <t>Kallenborn, R; Breivik, K; Eckhardt, S; Lunder, CR; Mano, S; Schlabach, M; Stohl, A</t>
  </si>
  <si>
    <t>Kallenborn, R.; Breivik, K.; Eckhardt, S.; Lunder, C. R.; Mano, S.; Schlabach, M.; Stohl, A.</t>
  </si>
  <si>
    <t>Long-term monitoring of persistent organic pollutants (POPs) at the Norwegian Troll station in Dronning Maud Land, Antarctica</t>
  </si>
  <si>
    <t>DISPERSION MODEL FLEXPART; RANGE TRANSPORT; FATE; AIR; PROGRAM</t>
  </si>
  <si>
    <t>A first long-term monitoring of selected persistent organic pollutants (POPs) in Antarctic air has been conducted at the Norwegian research station Troll (Dronning Maud Land). As target contaminants 32 PCB congeners, alpha- and gamma-hexachlorocyclohexane (HCH), trans-and cis-chlordane, trans-and cis-nonachlor, p,p'- and o,p-DDT, DDD, DDE as well as hexachlorobenzene (HCB) were selected. The monitoring program with weekly samples taken during the period 2007-2010 was coordinated with the parallel program at the Norwegian Arctic monitoring site (Zeppelin mountain, Ny-Alesund, Svalbard) in terms of priority compounds, sampling schedule as well as analytical methods. The POP concentration levels found in Antarctica were considerably lower than Arctic atmospheric background concentrations. Similar to observations for Arctic samples, HCB is the predominant POP compound, with levels of around 22 pg m(-3) throughout the entire monitoring period. In general, the following concentration distribution was found for the Troll samples analyzed: HCB &gt; Sum HCH &gt; Sum PCB &gt; Sum DDT &gt; Sum chlordanes. Atmospheric long-range transport was identified as a major contamination source for POPs in Antarctic environments. Several long-range transport events with elevated levels of pesticides and/or compounds with industrial sources were identified based on retroplume calculations with a Lagrangian particle dispersion model (FLEXPART).</t>
  </si>
  <si>
    <t>[Kallenborn, R.; Breivik, K.; Eckhardt, S.; Lunder, C. R.; Mano, S.; Schlabach, M.; Stohl, A.] Norwegian Inst Air Res NILU, Kjeller, Norway; [Kallenborn, R.] Norwegian Univ Life Sci, Dept Chem Biotechnol &amp; Food Sci IKBM, As, Norway; [Breivik, K.] Univ Oslo, Dept Chem, Oslo, Norway</t>
  </si>
  <si>
    <t>NILU; Norwegian University of Life Sciences; University of Oslo</t>
  </si>
  <si>
    <t>Kallenborn, R (corresponding author), Norwegian Inst Air Res NILU, Kjeller, Norway.</t>
  </si>
  <si>
    <t>roland.kallenborn@umb.no</t>
  </si>
  <si>
    <t>Stohl, Andreas/A-7535-2008; Kallenborn, Roland/F-8368-2011; Breivik, Knut/D-2311-2011; Schlabach, Martin/J-3348-2013; Eckhardt, Sabine/I-4001-2012</t>
  </si>
  <si>
    <t>Stohl, Andreas/0000-0002-2524-5755; Kallenborn, Roland/0000-0003-1703-2538; Schlabach, Martin/0000-0003-3705-7943; Eckhardt, Sabine/0000-0001-6958-5375</t>
  </si>
  <si>
    <t>Norwegian Climate and Pollution Agency (KLIF); Norwegian Antarctic Research Expeditions (NARE)</t>
  </si>
  <si>
    <t>This work was financed through the Norwegian Climate and Pollution Agency (KLIF). Financial support from the Norwegian Antarctic Research Expeditions (NARE) was also received. FLEXPART modeling was supported by the Research Council of Norway in the framework of the CLIMSLIP project. We thank the year-round crews of the Norwegian Polar Institute (NPI) at the Antarctic Troll station for maintaining the sampling units and the competent sampling storage of the exposed samples as well as for shipping the samples to the NILU laboratory. The NILU laboratory team has performed well under rigorous sample preparation and analytical procedures according to comprehensive quality control requirements for ultra-trace analysis at the institute. Thanks to Hans Gundersen, Anders R. Borgen as well as Synnove G. Trandem for quantitative analysis and the work in the laboratory. The NILU field team, but especially Jan H. Wasseng, is thanked for annual maintenance of the equipment at the Troll station and calibration of sampling units.</t>
  </si>
  <si>
    <t>10.5194/acp-13-6983-2013</t>
  </si>
  <si>
    <t>191XL</t>
  </si>
  <si>
    <t>WOS:000322448300016</t>
  </si>
  <si>
    <t>Sapart, CJ; Martinerie, P; Witrant, E; Chappellaz, J; van de Wal, RSW; Sperlich, P; van der Veen, C; Bernard, S; Sturges, WT; Blunier, T; Schwander, J; Etheridge, D; Röckmann, T</t>
  </si>
  <si>
    <t>Sapart, C. J.; Martinerie, P.; Witrant, E.; Chappellaz, J.; van de Wal, R. S. W.; Sperlich, P.; van der Veen, C.; Bernard, S.; Sturges, W. T.; Blunier, T.; Schwander, J.; Etheridge, D.; Rockmann, T.</t>
  </si>
  <si>
    <t>Can the carbon isotopic composition of methane be reconstructed from multi-site firn air measurements?</t>
  </si>
  <si>
    <t>ATMOSPHERIC METHANE; POLAR ICE; GAS-TRANSPORT; CH4; C-13/C-12; EMISSIONS; RATIOS; TRACER; BUDGET; MODEL</t>
  </si>
  <si>
    <t>Methane is a strong greenhouse gas and large uncertainties exist concerning the future evolution of its atmospheric abundance. Analyzing methane atmospheric mixing and stable isotope ratios in air trapped in polar ice sheets helps in reconstructing the evolution of its sources and sinks in the past. This is important to improve predictions of atmospheric CH4 mixing ratios in the future under the influence of a changing climate. The aim of this study is to assess whether past atmospheric delta C-13(CH4) variations can be reliably reconstructed from firn air measurements. Isotope reconstructions obtained with a state of the art firn model from different individual sites show unexpectedly large discrepancies and are mutually inconsistent. We show that small changes in the diffusivity profiles at individual sites lead to strong differences in the firn fractionation, which can explain a large part of these discrepancies. Using slightly modified diffusivities for some sites, and neglecting samples for which the firn fractionation signals are strongest, a combined multisite inversion can be performed, which returns an isotope reconstruction that is consistent with firn data. However, the isotope trends are lower than what has been concluded from Southern Hemisphere (SH) archived air samples and high-accumulation ice core data. We conclude that with the current datasets and understanding of firn air transport, a high precision reconstruction of delta C-13 of CH4 from firn air samples is not possible, because reconstructed atmospheric trends over the last 50 yr of 0.3-1.5 parts per thousand are of the same magnitude as inherent uncertainties in the method, which are the firn fractionation correction (up to similar to 2 parts per thousand at individual sites), the Kr isobaric interference (up to similar to 0.8 parts per thousand, system dependent), inter-laboratory calibration offsets (similar to 0.2 parts per thousand) and uncertainties in past CH4 levels (similar to 0.5 parts per thousand).</t>
  </si>
  <si>
    <t>[Sapart, C. J.; van de Wal, R. S. W.; van der Veen, C.; Rockmann, T.] Univ Utrecht, Inst Marine &amp; Atmospher Res Utrecht IMAU, Utrecht, Netherlands; [Martinerie, P.; Chappellaz, J.; Bernard, S.] UJF Grenoble1, LGGE, CNRS, UMR5183, F-38041 Grenoble, France; [Witrant, E.] UJF Grenoble1, Grenoble Image Parole Signal Automat GIPSA Lab, CNRS, UMR5216, F-38402 St Martin Dheres, France; [Sperlich, P.; Blunier, T.] Univ Copenhagen, Niels Bohr Inst, CIC, DK-2100 Copenhagen, Denmark; [Sturges, W. T.] Univ E Anglia, Sch Environm Sci, Norwich NR15 1RL, Norfolk, England; [Schwander, J.] Univ Bern, Inst Phys, CH-3012 Bern, Switzerland; [Schwander, J.] Univ Bern, Oeschger Ctr Climate Change Res, CH-3012 Bern, Switzerland; [Etheridge, D.] CSIRO Marine &amp; Atmospher Res, Ctr Australian Weather &amp; Climate Res, Aspendale, Vic 3195, Australia; [Sperlich, P.] Max Planck Inst Biogeochem, D-07745 Jena, Germany</t>
  </si>
  <si>
    <t>Utrecht University; Communaute Universite Grenoble Alpes; Universite Grenoble Alpes (UGA); Centre National de la Recherche Scientifique (CNRS); Communaute Universite Grenoble Alpes; Institut National Polytechnique de Grenoble; Universite Grenoble Alpes (UGA); Centre National de la Recherche Scientifique (CNRS); University of Copenhagen; Niels Bohr Institute; University of East Anglia; University of Bern; University of Bern; Commonwealth Scientific &amp; Industrial Research Organisation (CSIRO); Max Planck Society</t>
  </si>
  <si>
    <t>Sapart, CJ (corresponding author), Univ Utrecht, Inst Marine &amp; Atmospher Res Utrecht IMAU, Utrecht, Netherlands.</t>
  </si>
  <si>
    <t>c.j.sapart@uu.nl</t>
  </si>
  <si>
    <t>Chappellaz, Jérôme A./A-4872-2011; Martinerie, Patricia/N-5731-2017; Etheridge, David M/B-7334-2013; Sperlich, Peter/B-4646-2018; van der Veen, Carina/F-5344-2011; van de wal, roderik/D-1705-2011; Rockmann, Thomas/F-4479-2015; Blunier, Thomas/M-4609-2014</t>
  </si>
  <si>
    <t>Martinerie, Patricia/0000-0002-6820-2296; van de wal, roderik/0000-0003-2543-3892; Sapart, Celia Julia/0000-0003-0745-4825; Etheridge, David/0000-0001-7970-2002; Sperlich, Peter/0000-0003-1455-0903; Rockmann, Thomas/0000-0002-6688-8968; Blunier, Thomas/0000-0002-6065-7747</t>
  </si>
  <si>
    <t>Belgium (FNRS-CFB); Belgium (FWO); Canada (NRCan/GSC); China (CAS); Denmark (FIST); France (IPEV); France (CNRS/INSU); France (CEA); France (ANR); Germany (AWI); Iceland (RannIs); Japan (NIPR); Korea (KOPRI); The Netherlands (NWO/ALW); Sweden (VR); Switzerland (SNF); United Kingdom (NERC); USA (US NSF); USA (Office of Polar Programs); Denmark (SNF); Belgium (FNRSCFB); France (INSU/CNRS); Japan (MEXT); Sweden (SPRS); United States of America (NSF); European Commission [EVK2-CT2001-00116]; Dutch Science Foundation (NWO) [851.30.020, 865.07.001]; CNRS/INSU program LEFE; Natural Environment Research Council [NE/F021194/1] Funding Source: researchfish; NERC [NE/F021194/1] Funding Source: UKRI</t>
  </si>
  <si>
    <t>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The Netherlands (NWO/ALW)(Netherlands Organization for Scientific Research (NWO)Netherlands Government); Sweden (VR)(Swedish Research Council); Switzerland (SNF); United Kingdom (NERC)(UK Research &amp; Innovation (UKRI)Natural Environment Research Council (NERC)); USA (US NSF)(National Science Foundation (NSF)); USA (Office of Polar Programs); Denmark (SNF); Belgium (FNRSCFB)(Fonds de la Recherche Scientifique - FNRS); France (INSU/CNRS)(Centre National de la Recherche Scientifique (CNRS)); Japan (MEXT)(Ministry of Education, Culture, Sports, Science and Technology, Japan (MEXT)); Sweden (SPRS); United States of America (NSF); European Commission(European Union (EU)European Commission Joint Research Centre); Dutch Science Foundation (NWO)(Netherlands Organization for Scientific Research (NWO)); CNRS/INSU program LEFE; Natural Environment Research Council(UK Research &amp; Innovation (UKRI)Natural Environment Research Council (NERC)); NERC(UK Research &amp; Innovation (UKRI)Natural Environment Research Council (NERC))</t>
  </si>
  <si>
    <t>We thank the teams involved in the firn air sampling at NEEM site during the 2008 and 2009 field seasons. NEEM is directed and organized by the Centre of Ice and Climate at the Niels Bohr Institute and US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United Kingdom (NERC) and the USA (US NSF, Office of Polar Programs). Aside from NEEM, firn air sampling programs were supported by: at DI, IPEV (France) and the Canadian Continental Polar Shelf Project; at BI, IPEV and the British Antarctic Survey; at VOS, IPEV; at SP: US-NSF; at DC, IPEV, ENEA (Italy) and the ESF/EC program EPICA; at DML: British Antarctic Survey; at DE08: the Australian Antarctic Division, the LGGE and CNRS; at NGRIP: Funding Agencies in Denmark (SNF), Belgium (FNRSCFB), France (IPEV and INSU/CNRS), Germany (AWI), Iceland (RannIs), Japan (MEXT), Sweden (SPRS), Switzerland (SNF) and the United States of America (NSF). We thank all participants in the fieldwork at the 11 sites for drilling and firn air sampling operations. LGGE_13C(CH4) analyses were supported by the European Commission project CRYOSTAT (EVK2-CT2001-00116) funded under the Energy, Environment and Sustainable Development Programme, 1998-2002. We would also like to acknowledge the Dutch Science Foundation (NWO) for funding (Projects: 851.30.020 &amp; 865.07.001). This work also received funding from CNRS/INSU program LEFE. CSIRO's contribution has been undertaken as part of the Australian Climate Change Science Program - An Australian Government initiative. Finally, we would like to thank the two reviewers for their useful comments and suggestions to improve the quality of the paper.</t>
  </si>
  <si>
    <t>10.5194/acp-13-6993-2013</t>
  </si>
  <si>
    <t>WOS:000322448300017</t>
  </si>
  <si>
    <t>Lamarque, JF; Dentener, F; McConnell, J; Ro, CU; Shaw, M; Vet, R; Bergmann, D; Cameron-Smith, P; Dalsoren, S; Doherty, R; Faluvegi, G; Ghan, SJ; Josse, B; Lee, YH; MacKenzie, IA; Plummer, D; Shindell, DT; Skeie, RB; Stevenson, DS; Strode, S; Zeng, G; Curran, M; Dahl-Jensen, D; Das, S; Fritzsche, D; Nolan, M</t>
  </si>
  <si>
    <t>Lamarque, J-F; Dentener, F.; McConnell, J.; Ro, C. -U.; Shaw, M.; Vet, R.; Bergmann, D.; Cameron-Smith, P.; Dalsoren, S.; Doherty, R.; Faluvegi, G.; Ghan, S. J.; Josse, B.; Lee, Y. H.; MacKenzie, I. A.; Plummer, D.; Shindell, D. T.; Skeie, R. B.; Stevenson, D. S.; Strode, S.; Zeng, G.; Curran, M.; Dahl-Jensen, D.; Das, S.; Fritzsche, D.; Nolan, M.</t>
  </si>
  <si>
    <t>Multi-model mean nitrogen and sulfur deposition from the Atmospheric Chemistry and Climate Model Intercomparison Project (ACCMIP): evaluation of historical and projected future changes</t>
  </si>
  <si>
    <t>PRECIPITATION; EMISSIONS; CARBON; PREINDUSTRIAL; AEROSOLS; ACIDITY; RECORD; ALBEDO; OZONE; GASES</t>
  </si>
  <si>
    <t>We present multi-model global datasets of nitrogen and sulfate deposition covering time periods from 1850 to 2100, calculated within the Atmospheric Chemistry and Climate Model Intercomparison Project (ACCMIP). The computed deposition fluxes are compared to surface wet deposition and ice core measurements. We use a new dataset of wet deposition for 2000-2002 based on critical assessment of the quality of existing regional network data. We show that for present day (year 2000 ACCMIP time slice), the ACCMIP results perform similarly to previously published multi-model assessments. For this time slice, we find a multi-model mean deposition of approximately 50 Tg(N) yr(-1) from nitrogen oxide emissions, 60 Tg(N) yr(-1) from ammonia emissions, and 83 Tg(S) yr(-1) from sulfur emissions. The analysis of changes between 1980 and 2000 indicates significant differences between model and measurements over the United States but less so over Europe. This difference points towards a potential misrepresentation of 1980 NH3 emissions over North America. Based on ice core records, the 1850 deposition fluxes agree well with Greenland ice cores, but the change between 1850 and 2000 seems to be overestimated in the Northern Hemisphere for both nitrogen and sulfur species. Using the Representative Concentration Pathways (RCPs) to define the projected climate and atmospheric chemistry related emissions and concentrations, we find large regional nitrogen deposition increases in 2100 in Latin America, Africa and parts of Asia under some of the scenarios considered. Increases in South Asia are especially large, and are seen in all scenarios, with 2100 values more than double their 2000 counterpart in some scenarios and reaching &gt; 1300 mg(N) m(-2) yr(-1) averaged over regional to continental-scale regions in RCP 2.6 and 8.5, similar to 30-50% larger than the values in any region currently (circa 2000). However, sulfur deposition rates in 2100 are in all regions lower than in 2000 in all the RCPs. The new ACCMIP multi-model deposition dataset provides state-of-the-science, consistent and evaluated time slice (spanning 1850-2100) global gridded deposition fields for use in a wide range of climate and ecological studies.</t>
  </si>
  <si>
    <t>[Lamarque, J-F] Natl Ctr Atmospher Res, NCAR Earth Syst Lab, Boulder, CO 80307 USA; [Dentener, F.] Commiss European Communities, Joint Res Ctr, I-21020 Ispra, Italy; [McConnell, J.] Univ Nevada, Desert Res Inst, Reno, NV 89506 USA; [Ro, C. -U.; Shaw, M.; Vet, R.] Environm Canada, Toronto, ON, Canada; [Bergmann, D.; Cameron-Smith, P.] Lawrence Livermore Natl Lab, Livermore, CA USA; [Dalsoren, S.; Skeie, R. B.] CICERO, Oslo, Norway; [Doherty, R.; MacKenzie, I. A.; Stevenson, D. S.] Univ Edinburgh, Sch Geosci, Edinburgh, Midlothian, Scotland; [Faluvegi, G.; Lee, Y. H.; Shindell, D. T.] NASA, Goddard Inst Space Studies, New York, NY 10025 USA; [Faluvegi, G.; Lee, Y. H.; Shindell, D. T.] Columbia Earth Inst, New York, NY USA; [Ghan, S. J.] Pacific NW Natl Lab, Richland, WA 99352 USA; [Josse, B.] Meteo France, GAME CNRM, CNRS Ctr Natl Rech Meteorol, Toulouse, France; [Plummer, D.] Environm Canada, Canadian Ctr Climate Modeling &amp; Anal, Victoria, BC, Canada; [Strode, S.] NASA, Goddard Space Flight Ctr, Greenbelt, MD 20771 USA; [Strode, S.] Univ Space Res Assoc, Columbia, MD USA; [Zeng, G.] Natl Inst Water &amp; Atmospher Res, Lauder, New Zealand; [Curran, M.] Australian Antarctic Div, Hobart, Tas, Australia; [Curran, M.] Antarctic Climate &amp; Ecosyst CRC, Hobart, Tas, Australia; [Dahl-Jensen, D.] Univ Copenhagen, Niels Bohr Inst, DK-2100 Copenhagen, Denmark; [Das, S.] Woods Hole Oceanog Inst, Woods Hole, MA 02543 USA; [Fritzsche, D.] Helmholtz Ctr Polar &amp; Marine Res, Alfred Wegener Inst, Res Unit Potsdam, Potsdam, Germany; [Nolan, M.] Univ Alaska Fairbanks, Fairbanks, AK USA</t>
  </si>
  <si>
    <t>National Center Atmospheric Research (NCAR) - USA; European Commission Joint Research Centre; EC JRC ISPRA Site; Nevada System of Higher Education (NSHE); Desert Research Institute NSHE; University of Nevada Reno; Environment &amp; Climate Change Canada; United States Department of Energy (DOE); Lawrence Livermore National Laboratory; University of Edinburgh; National Aeronautics &amp; Space Administration (NASA); NASA Goddard Space Flight Center; Goddard Institute for Space Studies; Columbia University; United States Department of Energy (DOE); Pacific Northwest National Laboratory; Centre National de la Recherche Scientifique (CNRS); Meteo France; Environment &amp; Climate Change Canada; Canadian Centre for Climate Modelling &amp; Analysis (CCCma); National Aeronautics &amp; Space Administration (NASA); NASA Goddard Space Flight Center; Universities Space Research Association (USRA); National Institute of Water &amp; Atmospheric Research (NIWA) - New Zealand; Australian Antarctic Division; University of Tasmania; University of Copenhagen; Niels Bohr Institute; Woods Hole Oceanographic Institution; Helmholtz Association; Alfred Wegener Institute, Helmholtz Centre for Polar &amp; Marine Research; University of Alaska System; University of Alaska Fairbanks</t>
  </si>
  <si>
    <t>Lamarque, JF (corresponding author), Natl Ctr Atmospher Res, NCAR Earth Syst Lab, POB 3000, Boulder, CO 80307 USA.</t>
  </si>
  <si>
    <t>lamar@ucar.edu</t>
  </si>
  <si>
    <t>Ghan, Steven J/H-4301-2011; mackenzie, ian a/E-9320-2013; Skeie, Ragnhild Bieltvedt/K-1173-2015; Cameron-Smith, Philip/E-2468-2011; Dahl-Jensen, Dorthe/AAO-6951-2020; Stevenson, David S/C-8089-2012; Lee, Yunha/Q-7222-2016; Ro, Chul-Un/R-3410-2019; Strode, Sarah/H-2248-2012; Shindell, Drew/D-4636-2012; Bergmann, Daniel J/F-9801-2011; Lamarque, Jean-Francois/L-2313-2014</t>
  </si>
  <si>
    <t>Skeie, Ragnhild Bieltvedt/0000-0003-1246-4446; Dahl-Jensen, Dorthe/0000-0002-1474-1948; Lee, Yunha/0000-0001-7478-2672; Ro, Chul-Un/0000-0001-9357-1854; Shindell, Drew/0000-0003-1552-4715; Bergmann, Daniel J/0000-0003-4357-6301; Stevenson, David/0000-0002-4745-5673; McConnell, Joseph/0000-0001-9051-5240; Dentener, Frank/0000-0001-7556-3076; Zeng, Guang/0000-0002-9356-5021; Lamarque, Jean-Francois/0000-0002-4225-5074; Fritzsche, Diedrich/0000-0002-0018-8993; Cameron-Smith, Philip/0000-0002-8802-8627; Dalsoren, Stig/0000-0002-6752-4728; Faluvegi, Gregory/0000-0001-9011-3663</t>
  </si>
  <si>
    <t>Atmospheric Chemistry and Climate (AC&amp;C), a project of International Global Atmospheric Chemistry (IGAC); Stratospheric Processes And their Role in Climate (SPARC) under the International Geosphere-Biosphere Programme (IGBP); World Climate Research Program (WCRP); NASA MAP program; NASA ACMAP program; US Department of Energy Office of Science Decadal and Regional Climate Prediction using Earth System Models (EaSM) program; DOE by Battelle Memorial Institute [DE-AC06-76RLO 1830]; US Dept. of Energy (BER); LLNL [DE-AC52-07NA27344]; NERSC [DE-AC02-05CH11231]; New Zealand Ministry of Science and Innovation; NASA; Office of Science and Technology through EPSRC High End Computing Programme; Norwegian Research Council; European Union; Meteo-France; CNRS; National Science Foundation; Office of Science (BER) of the US Department of Energy; Natural Environment Research Council [NE/K001329/1] Funding Source: researchfish; Directorate For Geosciences; Office of Polar Programs (OPP) [1023318, 0909541] Funding Source: National Science Foundation; Office of Polar Programs (OPP); Directorate For Geosciences [0839093, 1023672] Funding Source: National Science Foundation; NERC [NE/K001329/1] Funding Source: UKRI</t>
  </si>
  <si>
    <t>Atmospheric Chemistry and Climate (AC&amp;C), a project of International Global Atmospheric Chemistry (IGAC); Stratospheric Processes And their Role in Climate (SPARC) under the International Geosphere-Biosphere Programme (IGBP); World Climate Research Program (WCRP); NASA MAP program(National Aeronautics &amp; Space Administration (NASA)); NASA ACMAP program; US Department of Energy Office of Science Decadal and Regional Climate Prediction using Earth System Models (EaSM) program(United States Department of Energy (DOE)); DOE by Battelle Memorial Institute(United States Department of Energy (DOE)); US Dept. of Energy (BER)(United States Department of Energy (DOE)); LLNL; NERSC; New Zealand Ministry of Science and Innovation; NASA(National Aeronautics &amp; Space Administration (NASA)); Office of Science and Technology through EPSRC High End Computing Programme(UK Research &amp; Innovation (UKRI)Engineering &amp; Physical Sciences Research Council (EPSRC)); Norwegian Research Council(Research Council of Norway); European Union(European Union (EU)); Meteo-France; CNRS(Centre National de la Recherche Scientifique (CNRS)); National Science Foundation(National Science Foundation (NSF)); Office of Science (BER) of the US Department of Energy(United States Department of Energy (DOE));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 NERC(UK Research &amp; Innovation (UKRI)Natural Environment Research Council (NERC))</t>
  </si>
  <si>
    <t>ACCMIP is organized under the auspices of Atmospheric Chemistry and Climate (AC&amp;C), a project of International Global Atmospheric Chemistry (IGAC) and Stratospheric Processes And their Role in Climate (SPARC) under the International Geosphere-Biosphere Programme (IGBP) and World Climate Research Program (WCRP). The authors are grateful to the British Atmospheric Data Centre (BADC), which is part of the NERC National Centre for Atmospheric Science (NCAS), for collecting and archiving the ACCMIP data. D. Shindell, G. Faluvegi and Y. Lee acknowledge support from the NASA MAP and ACMAP programs. D. Plummer would like to thank the Canadian Foundation for Climate and Atmospheric Sciences for their long-running support of CMAM development. S. Ghan was supported by the US Department of Energy Office of Science Decadal and Regional Climate Prediction using Earth System Models (EaSM) program. The Pacific Northwest National Laboratory (PNNL) is operated for the DOE by Battelle Memorial Institute under contract DE-AC06-76RLO 1830. The work of D. Bergmann and P. Cameron-Smith was funded by the US Dept. of Energy (BER), performed under the auspices of LLNL under contract DE-AC52-07NA27344, and used the supercomputing resources of NERSC under contract No. DE-AC02-05CH11231. G. Zeng acknowledges NIWA HPCF facility and funding from New Zealand Ministry of Science and Innovation. The GEOSCCM work was supported by the NASA Modeling, Analysis and Prediction program, with computing resources provided by NASA's High-End Computing Program through the NASA Advanced Supercomputing Division. The STOC-HadAM3 work made use of the facilities of HECToR, the UK national high-performance computing service which is funded by the Office of Science and Technology through EPSRC High End Computing Programme. The CICERO-OsloCTM2 simulations were done within the projects SLAC (Short Lived Atmospheric Components) and EarthClim funded by the Norwegian Research Council and ECLIPSE (Evaluating the Climate and Air Quality Impacts of Short-Lived Pollutants) funded by the European Union. The MOCAGE simulations were supported by Meteo-France and CNRS. Supercomputing time was provided by Meteo-France/DSI supercomputing center. The CESM project (which includes CESM-CAM-Superfast, NCAR-CAM3.5 and NCAR-CAM5.1) is supported by the National Science Foundation and the Office of Science (BER) of the US Department of Energy. The National Center for Atmospheric Research is operated by the University Corporation for Atmospheric Research under sponsorship of the National Science Foundation. CMAP precipitation data are provided by the NOAA/OAR/ESRL PSD, Boulder, Colorado, USA, from their website at http://www.esrl.noaa.gov/psd/. We thank Robert Vet and his precipitation chemistry assessment team for making the WMO deposition dataset available prior to publication. We acknowledge the substantial efforts of the field and logistics personnel involved in collecting the ice cores including those from WAIS Divide, the Norwegian-United States Scientific Traverse of East Antarctica, and NEEM. We also thank Dan Pasteris and the other students and staff of the DRI ultra-trace ice core chemistry laboratory for help in analyzing the ice cores and the Office of Polar Programs at the National Science Foundation for supporting collection and analysis of the cores.</t>
  </si>
  <si>
    <t>10.5194/acp-13-7997-2013</t>
  </si>
  <si>
    <t>207TJ</t>
  </si>
  <si>
    <t>Green Submitted, Green Published, Green Accepted, gold</t>
  </si>
  <si>
    <t>WOS:000323626500005</t>
  </si>
  <si>
    <t>Schmale, J; Schneider, J; Nemitz, E; Tang, YS; Dragosits, U; Blackall, TD; Trathan, PN; Phillips, GJ; Sutton, M; Braban, CF</t>
  </si>
  <si>
    <t>Schmale, J.; Schneider, J.; Nemitz, E.; Tang, Y. S.; Dragosits, U.; Blackall, T. D.; Trathan, P. N.; Phillips, G. J.; Sutton, M.; Braban, C. F.</t>
  </si>
  <si>
    <t>Sub-Antarctic marine aerosol: dominant contributions from biogenic sources</t>
  </si>
  <si>
    <t>POSITIVE MATRIX FACTORIZATION; EXPERIMENT ACE 1; MASS-SPECTROMETER; ORGANIC AEROSOL; HIGH-RESOLUTION; SOUTHERN-OCEAN; CHEMICAL-COMPOSITION; GLOBAL DISTRIBUTION; ORNITHOGENIC SOILS; AMMONIA EMISSIONS</t>
  </si>
  <si>
    <t>Biogenic influences on the composition and characteristics of aerosol were investigated on Bird Island (54 degrees 00' S, 38 degrees 03' W) in the South Atlantic during November and December 2010. This remote marine environment is characterised by large seabird and seal colonies. The chemical composition of the submicron particles, measured by an aerosol mass spectrometer (AMS), was 21% non-sea-salt sulfate, 2% nitrate, 8% ammonium, 22% organics and 47% sea salt including sea salt sulfate. A new method to isolate the sea spray signature from the high-resolution AMS data was applied. Generally, the aerosol was found to be less acidic than in other marine environments due to the high availability of ammonia, from local fauna emissions. By positive matrix factorisation five different organic aerosol (OA) profiles could be isolated: an amino acid/amine factor (AA-OA, 18% of OA mass), a methanesulfonic acid OA factor (MSA-OA, 25%), a marine oxygenated OA factor (M-OOA, 41%), a sea spray OA fraction (SS-OA, 7%) and locally produced hydrocarbon-like OA (HOA, 9%). The AA-OA was dominant during the first two weeks of November and found to be related with the hatching of penguins in a nearby colony. This factor, rich in nitrogen (N : C ratio = 0.13), has implications for the biogeochemical cycling of nitrogen in the area as particulate matter is often transported over longer distances than gaseous N-rich compounds. The MSA-OA was mainly transported from more southerly latitudes where phytoplankton bloomed. The bloom was identified as one of three sources for particulate sulfate on Bird Island, next to sea salt sulfate and sulfate transported from South America. M-OOA was the dominant organic factor and found to be similar to marine OA observed at Mace Head, Ireland. An additional OA factor highly correlated with sea spray aerosol was identified (SS-OA). However, based on the available data the type of mixture, internal or external, could not be determined. Potassium was not associated with sea salt particles during 19% of the time, indicating the presence of biogenic particles in addition to the MSA-OA and AA-OA factors.</t>
  </si>
  <si>
    <t>[Schmale, J.; Schneider, J.; Phillips, G. J.] Max Planck Inst Chem, D-55128 Mainz, Germany; [Schmale, J.; Nemitz, E.; Tang, Y. S.; Dragosits, U.; Sutton, M.; Braban, C. F.] NERC Ctr Ecol &amp; Hydrol, Edinburgh, Midlothian, Scotland; [Blackall, T. D.] Kings Coll London, London, England; [Trathan, P. N.] British Antarctic Survey, Cambridge CB3 0ET, England</t>
  </si>
  <si>
    <t>Max Planck Society; UK Centre for Ecology &amp; Hydrology (UKCEH); University of London; King's College London; UK Research &amp; Innovation (UKRI); Natural Environment Research Council (NERC); NERC British Antarctic Survey</t>
  </si>
  <si>
    <t>Schmale, J (corresponding author), Inst Adv Sustainabil Studies eV, Potsdam, Germany.</t>
  </si>
  <si>
    <t>julia.schmale@gmail.com</t>
  </si>
  <si>
    <t>Schmale, Julia Yvonne/Q-3942-2019; Braban, Christine Fiona/J-3225-2012; Schneider, Johannes/A-2674-2010; Nemitz, Eiko/I-6121-2012; Phillips, Gavin James/A-6570-2009; Dragosits, Ulrike/A-1842-2010; Schneider, Johannes/JBJ-2119-2023; Schmale, Julia/F-8851-2016</t>
  </si>
  <si>
    <t>Schmale, Julia Yvonne/0000-0002-1048-7962; Schneider, Johannes/0000-0001-7169-3973; Phillips, Gavin James/0000-0003-4443-0822; Schneider, Johannes/0000-0001-7169-3973; Schmale, Julia/0000-0002-1048-7962; Braban, Christine/0000-0003-4275-0152; Tang, Sim/0000-0002-7814-3998</t>
  </si>
  <si>
    <t>NERC [AFI-CGS-069]; CEH Environmental Change Integrating Fund; Max Planck Institute for Chemistry; Natural Environment Research Council [bas0100025, ceh010023] Funding Source: researchfish; NERC [bas0100025] Funding Source: UKRI</t>
  </si>
  <si>
    <t>NERC(UK Research &amp; Innovation (UKRI)Natural Environment Research Council (NERC)); CEH Environmental Change Integrating Fund; Max Planck Institute for Chemistry(Max Planck Society); Natural Environment Research Council(UK Research &amp; Innovation (UKRI)Natural Environment Research Council (NERC)); NERC(UK Research &amp; Innovation (UKRI)Natural Environment Research Council (NERC))</t>
  </si>
  <si>
    <t>This work was supported through the NERC AFI-CGS-069 project, the CEH Environmental Change Integrating Fund, and the Max Planck Institute for Chemistry.</t>
  </si>
  <si>
    <t>10.5194/acp-13-8669-2013</t>
  </si>
  <si>
    <t>WOS:000324400600010</t>
  </si>
  <si>
    <t>Masclin, S; Frey, MM; Rogge, WF; Bales, RC</t>
  </si>
  <si>
    <t>Masclin, S.; Frey, M. M.; Rogge, W. F.; Bales, R. C.</t>
  </si>
  <si>
    <t>Atmospheric nitric oxide and ozone at the WAIS Divide deep coring site: a discussion of local sources and transport in West Antarctica</t>
  </si>
  <si>
    <t>SOUTH-POLE; BOUNDARY-LAYER; SURFACE-OZONE; NOX EMISSIONS; ICE CORES; SEASONAL-VARIATIONS; COASTAL ANTARCTICA; NITROGEN-OXIDES; ISCAT 2000; SNOW</t>
  </si>
  <si>
    <t>The first measurements of atmospheric nitric oxide (NO) along with observations of ozone (O-3), hydroperoxides (H2O2 and MHP) and snow nitrate (NO3-) on the West Antarctic Ice Sheet (WAIS) were carried out at the WAIS Divide deep ice-coring site between 10 December 2008 and 11 January 2009. Average +/- 1 sigma mixing ratios of NO were 19 +/- 31 pptv and confirmed prior model estimates for the summer boundary layer above WAIS. Mean +/- 1 sigma mixing ratios of O-3 of 14 +/- 4 ppbv were in the range of previous measurements from overland traverses across WAIS during summer, while average +/- 1 sigma concentrations of H2O2 and MHP revealed higher levels with mixing ratios of 743 +/- 362 and 519 +/- 238 pptv, respectively. An upper limit for daily average NO2 and NO emission fluxes from snow of 8.6x10(8) and 33.9x10(8) molecule cm(-2) s(-1), respectively, were estimated based on photolysis of measured NO3- and nitrite (NO2-) in the surface snowpack. The resulting high NOx emission flux may explain the little preservation of NO3- in snow (similar to 30 %) when compared to Summit, Greenland (75-93%). Assuming rapid and complete mixing into the overlying atmosphere, and steady state of NOx, these snow emissions are equivalent to an average (range) production of atmospheric NOx of 30 (21-566) pptv h(-1) for a typical atmospheric boundary-layer depth of 250 (354-13) m. These upper bounds indicate that local emissions from the snowpack are a significant source of short-lived nitrogen oxides above the inner WAIS. The net O-3 production of 0.8 ppbv day(-1) triggered with NO higher than 2 pptv is too small to explain the observed O-3 variability. Thus, the origins of the air masses reaching WAIS Divide during this campaign were investigated with a 4-day back-trajectory analysis every 4 h. The resulting 168 back trajectories revealed that in 75% of all runs air originated from the Antarctic coastal slopes (58%) and the inner WAIS (17%). For these air sources O-3 levels were on average 13 +/- 3 ppbv. The remaining 25% are katabatic outflows from the East Antarctic Plateau above 2500 m. When near-surface air from the East Antarctic Plateau reaches WAIS Divide through a rapid transport of less than 3 days, O-3 levels are on average 19 +/- 4 ppbv with maximum mixing ratios of 30 ppbv. Episodes of elevated ozone at WAIS Divide are therefore linked to air mass export off the East Antarctic Plateau, demonstrating that outflows from the highly oxidizing summer atmospheric boundary layer in the interior of the continent can episodically raise the mixing ratios of long-lived atmospheric chemical species such as O-3 and enhance the oxidative capacity of the atmosphere above WAIS.</t>
  </si>
  <si>
    <t>[Masclin, S.; Frey, M. M.; Rogge, W. F.; Bales, R. C.] Univ Calif, Merced, CA USA; [Frey, M. M.] British Antarctic Survey, Nat Environm Res Council, Cambridge CB3 0ET, England; [Rogge, W. F.; Bales, R. C.] Univ Calif, Sierra Nevada Res Inst, Merced, CA USA</t>
  </si>
  <si>
    <t>University of California System; University of California Merced; UK Research &amp; Innovation (UKRI); Natural Environment Research Council (NERC); NERC British Antarctic Survey; University of California System; University of California Merced</t>
  </si>
  <si>
    <t>Masclin, S (corresponding author), Univ Calif, Merced, CA USA.</t>
  </si>
  <si>
    <t>smasclin@ucmerced.edu</t>
  </si>
  <si>
    <t>Frey, Markus/G-1756-2012</t>
  </si>
  <si>
    <t>Frey, Markus/0000-0003-0535-0416</t>
  </si>
  <si>
    <t>National Science Foundations Office of Polar Programs [OPP-0636929]; NERC [bas0100024] Funding Source: UKRI; Natural Environment Research Council [bas0100024] Funding Source: researchfish; Directorate For Geosciences; Office of Polar Programs (OPP) [0944348] Funding Source: National Science Foundation</t>
  </si>
  <si>
    <t>National Science Foundations Office of Polar Programs(National Science Foundation (NSF));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</si>
  <si>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This work was supported by the National Science Foundations Office of Polar Programs (OPP-0636929). We thank G. Huey for the use of the nitric oxide detector. We also thank S. J. Oltmans for using his O3 measurements from South Pole, as well as B. Alexander and E. D. Sofen for their insight concerning the EFD and NO3- photolysis at WAIS Divide.</t>
  </si>
  <si>
    <t>10.5194/acp-13-8857-2013</t>
  </si>
  <si>
    <t>WOS:000324400600021</t>
  </si>
  <si>
    <t>Ziska, F; Quack, B; Abrahamsson, K; Archer, SD; Atlas, E; Bell, T; Butler, JH; Carpenter, LJ; Jones, CE; Harris, NRP; Hepach, H; Heumann, KG; Hughes, C; Kuss, J; Krüger, K; Liss, P; Moore, RM; Orlikowska, A; Raimund, S; Reeves, CE; Reifenhäuser, W; Robinson, AD; Schall, C; Tanhua, T; Tegtmeier, S; Turner, S; Wang, L; Wallace, D; Williams, J; Yamamoto, H; Yvon-Lewis, S; Yokouchi, Y</t>
  </si>
  <si>
    <t>Ziska, F.; Quack, B.; Abrahamsson, K.; Archer, S. D.; Atlas, E.; Bell, T.; Butler, J. H.; Carpenter, L. J.; Jones, C. E.; Harris, N. R. P.; Hepach, H.; Heumann, K. G.; Hughes, C.; Kuss, J.; Krueger, K.; Liss, P.; Moore, R. M.; Orlikowska, A.; Raimund, S.; Reeves, C. E.; Reifenhaeuser, W.; Robinson, A. D.; Schall, C.; Tanhua, T.; Tegtmeier, S.; Turner, S.; Wang, L.; Wallace, D.; Williams, J.; Yamamoto, H.; Yvon-Lewis, S.; Yokouchi, Y.</t>
  </si>
  <si>
    <t>Global sea-to-air flux climatology for bromoform, dibromomethane and methyl iodide</t>
  </si>
  <si>
    <t>MARINE BOUNDARY-LAYER; HALOGENATED ORGANIC-COMPOUNDS; TROPICAL ATLANTIC-OCEAN; BROMINE CHEMISTRY; GAS-EXCHANGE; WIND-SPEED; OZONE; STRATOSPHERE; EMISSION; HYDROCARBONS</t>
  </si>
  <si>
    <t>Volatile halogenated organic compounds containing bromine and iodine, which are naturally produced in the ocean, are involved in ozone depletion in both the troposphere and stratosphere. Three prominent compounds transporting large amounts of marine halogens into the atmosphere are bromoform (CHBr3), dibromomethane (CH2Br2) and methyl iodide (CH3I). The input of marine halogens to the stratosphere has been estimated from observations and modelling studies using low-resolution oceanic emission scenarios derived from top-down approaches. In order to improve emission inventory estimates, we calculate data-based high resolution global sea-to-air flux estimates of these compounds from surface observations within the HalOcAt (Halocarbons in the Ocean and Atmosphere) database (https://halocat.geomar.de/). Global maps of marine and atmospheric surface concentrations are derived from the data which are divided into coastal, shelf and open ocean regions. Considering physical and biogeochemical characteristics of ocean and atmosphere, the open ocean water and atmosphere data are classified into 21 regions. The available data are interpolated onto a 1 degrees x 1 degrees grid while missing grid values are interpolated with latitudinal and longitudinal dependent regression techniques reflecting the compounds' distributions. With the generated surface concentration climatologies for the ocean and atmosphere, global sea-to-air concentration gradients and sea-to-air fluxes are calculated. Based on these calculations we estimate a total global flux of 1.5/2.5 Gmol Br yr(-1) for CHBr3, 0.78/0.98 Gmol Br yr(-1) for CH2Br2 and 1.24/1.45 Gmol Br yr(-1) for CH3I (robust fit/ordinary least squares regression techniques). Contrary to recent studies, negative fluxes occur in each sea-to-air flux climatology, mainly in the Arctic and Antarctic regions. Hot spots for global polybromomethane emissions are located in the equatorial region, whereas methyl iodide emissions are enhanced in the subtropical gyre regions. Inter-annual and seasonal variation is contained within our flux calculations for all three compounds. Compared to earlier studies, our global fluxes are at the lower end of estimates, especially for bromoform. An under-representation of coastal emissions and of extreme events in our estimate might explain the mismatch between our bottom-up emission estimate and top-down approaches.</t>
  </si>
  <si>
    <t>[Ziska, F.; Quack, B.; Hepach, H.; Krueger, K.; Tanhua, T.; Tegtmeier, S.] GEOMAR, Helmholtz Zentrum Ozeanforsch Kiel, Kiel, Germany; [Abrahamsson, K.] Chalmers Univ Technol, Dept Analyt &amp; Marine Chem, S-41296 Gothenburg, Sweden; [Abrahamsson, K.] Gothenburg Univ, Gothenburg, Sweden; [Archer, S. D.] Plymouth Marine Lab, PMI, Plymouth, Devon, England; [Atlas, E.] Univ Miami, Rosenstiel Sch Marine &amp; Atmospher Sci, Miami, FL 33149 USA; [Bell, T.] Univ Calif Irvine, Dept Earth Syst Sci, Irvine, CA USA; [Butler, J. H.] NOAA, Earth Syst Res Lab, Global Monitoring Div, ESRL, Boulder, CO USA; [Carpenter, L. J.; Jones, C. E.] Univ York, Dept Chem, York YO10 5DD, N Yorkshire, England; [Harris, N. R. P.; Robinson, A. D.] Univ Cambridge, Dept Chem, Cambridge CB2 1EW, England; [Heumann, K. G.] Johannes Gutenberg Univ Mainz, Inst Anorgan Chem &amp; Analyt Chem, Mainz, Germany; [Hughes, C.] Univ E Anglia, Lab Global Marine &amp; Atmospher Chem, Norwich NR4 7TJ, Norfolk, England; [Kuss, J.; Orlikowska, A.] IOW, Rostock, Germany; [Liss, P.; Reeves, C. E.; Turner, S.] Univ E Anglia, Sch Environm Sci, Norwich NR4 7TJ, Norfolk, England; [Moore, R. M.; Wallace, D.] Dalhousie Univ, Dept Oceanog, Halifax, NS B3H 4R2, Canada; [Raimund, S.] CNRS, Stn Biol Roscoff, Equipe Chim Marine, UMR7144, F-29680 Roscoff, France; [Reifenhaeuser, W.] Bayer Landesamt Umwelt, Augsburg, Germany; [Schall, C.] Fresenius Med Care, D-66606 St Wendel, Germany; [Wang, L.] Rutgers State Univ, New Brunswick, NJ 08903 USA; [Williams, J.] Max Planck Inst Chem, Air Chem Dept, MPI, D-55128 Mainz, Germany; [Yamamoto, H.; Yokouchi, Y.] Natl Inst Environm Studies, Tsukuba, Ibaraki 3050053, Japan; [Yvon-Lewis, S.] Texas A&amp;M Univ, Dept Oceanog, College Stn, TX 77843 USA</t>
  </si>
  <si>
    <t>Helmholtz Association; GEOMAR Helmholtz Center for Ocean Research Kiel; Chalmers University of Technology; University of Gothenburg; Plymouth Marine Laboratory; University of Miami; University of California System; University of California Irvine; National Oceanic Atmospheric Admin (NOAA) - USA; University of York - UK; University of Cambridge; Johannes Gutenberg University of Mainz; University of East Anglia; Leibniz Institut fur Ostseeforschung Warnemunde; University of East Anglia; Dalhousie University; Sorbonne Universite; Centre National de la Recherche Scientifique (CNRS); CNRS - Institute of Ecology &amp; Environment (INEE); Rutgers University System; Rutgers University New Brunswick; Max Planck Society; National Institute for Environmental Studies - Japan; Texas A&amp;M University System; Texas A&amp;M University College Station</t>
  </si>
  <si>
    <t>Ziska, F (corresponding author), GEOMAR, Helmholtz Zentrum Ozeanforsch Kiel, Kiel, Germany.</t>
  </si>
  <si>
    <t>fziska@geomar.de</t>
  </si>
  <si>
    <t>Yvon-Lewis, Shari A/E-4108-2012; Carpenter, Lucy J/E-6742-2013; Carpenter, Laura/JPY-0437-2023; Tegtmeier, Susann/HIA-0554-2022; Bell, Tom/E-8488-2011; Atlas, Elliot/AAE-4605-2021; Tanhua, Toste/HLX-5402-2023; Williams, Jonathan/HJA-2081-2022; Atlas, Elliot/J-8171-2015; Williams, Jonathan/K-7686-2017; Abrahamsson, Katarina/A-7616-2010; Archer, Stephen/H-5490-2012</t>
  </si>
  <si>
    <t>Yvon-Lewis, Shari A/0000-0003-1378-8434; Bell, Tom/0000-0002-4108-7048; Archer, Stephen/0000-0001-6054-2424; Orlikowska, Anna/0000-0002-6929-767X; Harris, Neil/0000-0003-1256-3006; Atlas, Elliot/0000-0003-3847-5346; Kuss, Joachim/0000-0001-8586-6265; Carpenter, Lucy/0000-0002-6257-3950</t>
  </si>
  <si>
    <t>WGL project TransBrom; European commission under project SHIVA [226 224]; German Federal Ministry of Education and Research (BMBF) [03F0611A]; NERC UK SOLAS Knowledge Transfer grant [NE/E001696/1]; COST (European Cooperation in Science and Technology) [Action 735]; European Science Foundation; Natural Environment Research Council [NE/G014655/1, NE/E013287/1, pml010009, pml010002, NE/F020341/1, pml010007, NE/H020888/1] Funding Source: researchfish; NERC [pml010007, pml010009, NE/F020341/1, NE/E013287/1, pml010002, NE/H020888/1, NE/G014655/1] Funding Source: UKRI</t>
  </si>
  <si>
    <t>WGL project TransBrom; European commission under project SHIVA; German Federal Ministry of Education and Research (BMBF)(Federal Ministry of Education &amp; Research (BMBF)); NERC UK SOLAS Knowledge Transfer grant; COST (European Cooperation in Science and Technology)(European Cooperation in Science and Technology (COST)); European Science Foundation(European Science Foundation (ESF)); Natural Environment Research Council(UK Research &amp; Innovation (UKRI)Natural Environment Research Council (NERC)); NERC(UK Research &amp; Innovation (UKRI)Natural Environment Research Council (NERC))</t>
  </si>
  <si>
    <t>We thank all contributors sending their data to the HalOcAt database and for their helpful comments on the manuscript. We also thank our assisting student helpers Julian Kinzel, Christian Muller, Eike Humpel, Anja Muller and Theresa Conradi who populated the database, which started in 2009. This work was financially supported by the WGL project TransBrom, the European commission under the project SHIVA (grant no. 226 224) and by the German Federal Ministry of Education and Research (BMBF) during the project SOPRAN (grant no: 03F0611A). SOLAS Integration (Surface Ocean Lower Atmosphere Study; http://www.bodc.ac.uk/solas_integration/) helped instigate this project and Tom Bell and Peter Liss were supported in this by a NERC UK SOLAS Knowledge Transfer grant (NE/E001696/1). Part of this project was supported by COST (European Cooperation in Science and Technology) Action 735, a European Science Foundation-supported initiative. Additionally, we would like to thank the ECMWF for providing the ERA Interim reanalysis data. We thank two anonymous reviewers for their useful comments and advice.</t>
  </si>
  <si>
    <t>10.5194/acp-13-8915-2013</t>
  </si>
  <si>
    <t>WOS:000324400600023</t>
  </si>
  <si>
    <t>von Hobe, M; Bekki, S; Borrmann, S; Cairo, F; D'Amato, F; Di Donfrancesco, G; Dörnbrack, A; Ebersoldt, A; Ebert, M; Emde, C; Engel, I; Ern, M; Frey, W; Genco, S; Griessbach, S; Grooss, JU; Gulde, T; Günther, G; Hösen, E; Hoffmann, L; Homonnai, V; Hoyle, CR; Isaksen, ISA; Jackson, DR; Jánosi, IM; Jones, RL; Kandler, K; Kalicinsky, C; Keil, A; Khaykin, SM; Khosrawi, F; Kivi, R; Kuttippurath, J; Laube, JC; Lefèvre, F; Lehmann, R; Ludmann, S; Luo, BP; Marchand, M; Meyer, J; Mitev, V; Molleker, S; Müller, R; Oelhaf, H; Olschewski, F; Orsolini, Y; Peter, T; Pfeilsticker, K; Piesch, C; Pitts, MC; Poole, LR; Pope, FD; Ravegnani, F; Rex, M; Riese, M; Röckmann, T; Rognerud, B; Roiger, A; Rolf, C; Santee, ML; Scheibe, M; Schiller, C; Schlager, H; de Cumis, MS; Sitnikov, N; Sovde, OA; Spang, R; Spelten, N; Stordal, F; Suminska-Ebersoldt, O; Ulanovski, A; Ungermann, J; Viciani, S; Volk, CM; Scheidt, MV; von der Gathen, P; Walker, K; Wegner, T; Weigel, R; Weinbruch, S; Wetzel, G; Wienhold, FG; Wohltmann, I; Woiwode, W; Young, IAK; Yushkov, V; Zobrist, B; Stroh, F</t>
  </si>
  <si>
    <t>von Hobe, M.; Bekki, S.; Borrmann, S.; Cairo, F.; D'Amato, F.; Di Donfrancesco, G.; Doernbrack, A.; Ebersoldt, A.; Ebert, M.; Emde, C.; Engel, I.; Ern, M.; Frey, W.; Genco, S.; Griessbach, S.; Grooss, J. -U.; Gulde, T.; Guenther, G.; Hoesen, E.; Hoffmann, L.; Homonnai, V.; Hoyle, C. R.; Isaksen, I. S. A.; Jackson, D. R.; Janosi, I. M.; Jones, R. L.; Kandler, K.; Kalicinsky, C.; Keil, A.; Khaykin, S. M.; Khosrawi, F.; Kivi, R.; Kuttippurath, J.; Laube, J. C.; Lefevre, F.; Lehmann, R.; Ludmann, S.; Luo, B. P.; Marchand, M.; Meyer, J.; Mitev, V.; Molleker, S.; Mueller, R.; Oelhaf, H.; Olschewski, F.; Orsolini, Y.; Peter, T.; Pfeilsticker, K.; Piesch, C.; Pitts, M. C.; Poole, L. R.; Pope, F. D.; Ravegnani, F.; Rex, M.; Riese, M.; Roeckmann, T.; Rognerud, B.; Roiger, A.; Rolf, C.; Santee, M. L.; Scheibe, M.; Schiller, C.; Schlager, H.; de Cumis, M. Siciliani; Sitnikov, N.; Sovde, O. A.; Spang, R.; Spelten, N.; Stordal, F.; Suminska-Ebersoldt, O.; Ulanovski, A.; Ungermann, J.; Viciani, S.; Volk, C. M.; vom Scheidt, M.; von der Gathen, P.; Walker, K.; Wegner, T.; Weigel, R.; Weinbruch, S.; Wetzel, G.; Wienhold, F. G.; Wohltmann, I.; Woiwode, W.; Young, I. A. K.; Yushkov, V.; Zobrist, B.; Stroh, F.</t>
  </si>
  <si>
    <t>Reconciliation of essential process parameters for an enhanced predictability of Arctic stratospheric ozone loss and its climate interactions (RECONCILE): activities and results</t>
  </si>
  <si>
    <t>MESOSCALE TEMPERATURE-FLUCTUATIONS; LARGE HNO3-CONTAINING PARTICLES; REACTIVE UPTAKE COEFFICIENTS; QUASI-BIENNIAL OSCILLATION; NITRIC-ACID TRIHYDRATE; CRISTA-NF MEASUREMENTS; SOLAR ZENITH ANGLES; ANTARCTIC OZONE; SULFURIC-ACID; IN-SITU</t>
  </si>
  <si>
    <t>The international research project RECONCILE has addressed central questions regarding polar ozone depletion, with the objective to quantify some of the most relevant yet still uncertain physical and chemical processes and thereby improve prognostic modelling capabilities to realistically predict the response of the ozone layer to climate change. This overview paper outlines the scope and the general approach of RECONCILE, and it provides a summary of observations and modelling in 2010 and 2011 that have generated an in many respects unprecedented dataset to study processes in the Arctic winter stratosphere. Principally, it summarises important outcomes of RECONCILE including (i) better constraints and enhanced consistency on the set of parameters governing catalytic ozone destruction cycles, (ii) a better understanding of the role of cold binary aerosols in heterogeneous chlorine activation, (iii) an improved scheme of polar stratospheric cloud (PSC) processes that includes heterogeneous nucleation of nitric acid trihydrate (NAT) and ice on non-volatile background aerosol leading to better model parameterisations with respect to denitrification, and (iv) long transient simulations with a chemistryclimate model (CCM) updated based on the results of RECONCILE that better reproduce past ozone trends in Antarctica and are deemed to produce more reliable predictions of future ozone trends. The process studies and the global simulations conducted in RECONCILE show that in the Arctic, ozone depletion uncertainties in the chemical and microphysical processes are now clearly smaller than the sensitivity to dynamic variability.</t>
  </si>
  <si>
    <t>[von Hobe, M.; Ern, M.; Grooss, J. -U.; Guenther, G.; Meyer, J.; Mueller, R.; Riese, M.; Rolf, C.; Schiller, C.; Spang, R.; Spelten, N.; Suminska-Ebersoldt, O.; Ungermann, J.; Wegner, T.; Stroh, F.] Forschungszentrum Julich, Inst Energy &amp; Climate Res IEK 7, D-52425 Julich, Germany; [Bekki, S.; Kuttippurath, J.; Lefevre, F.; Marchand, M.] Univ Versailles St Quentin, LATMOS IPSL, Univ Paris 06, CNRS INSU, Paris, France; [Borrmann, S.; Frey, W.; Molleker, S.; Weigel, R.] Max Planck Inst Chem, Particle Chem Dept, D-55128 Mainz, Germany; [Cairo, F.; Genco, S.; Ravegnani, F.] CNR, ISAC, Inst Atmospher Sci &amp; Climate, I-00185 Rome, Italy; [D'Amato, F.; de Cumis, M. Siciliani; Viciani, S.] CNR INO Ist Nazl Ott, I-50125 Florence, Italy; [Doernbrack, A.; Roiger, A.; Scheibe, M.; Schlager, H.] Deutsch Zentrum Luft &amp; Raumfahrt DLR, Inst Phys Atmosphere, D-82234 Wessling, Germany; [Ebersoldt, A.] Karlsruhe Inst Technol, Inst Data Proc &amp; Elect, D-76021 Karlsruhe, Germany; [Ebert, M.; Kandler, K.; Weinbruch, S.] Tech Univ Darmstadt, Inst Angew Geowissensch, Darmstadt, Germany; [Emde, C.] Univ Munich, Inst Meteorol, D-80539 Munich, Germany; [Engel, I.; Hoyle, C. R.; Luo, B. P.; Peter, T.; Wienhold, F. G.; Zobrist, B.] ETH, Inst Atmospher &amp; Climate Sci, Zurich, Switzerland; [Griessbach, S.; Hoffmann, L.] Forschungszentrum Julich, JSC, D-52425 Julich, Germany; [Gulde, T.; Oelhaf, H.; Piesch, C.; Wetzel, G.; Woiwode, W.] Karlsruhe Inst Technol, Inst Meteorol &amp; Climate Res, D-76021 Karlsruhe, Germany; [Hoesen, E.; Kalicinsky, C.; Olschewski, F.; Volk, C. M.; vom Scheidt, M.] Univ Wuppertal, Dept Phys, Wuppertal, Germany; [Homonnai, V.; Janosi, I. M.] Eotvos Lorand Univ, Dept Phys Complex Syst, H-1117 Budapest, Hungary; [Isaksen, I. S. A.; Rognerud, B.; Sovde, O. A.; Stordal, F.] Univ Oslo, Dept Geosci, Oslo, Norway; [Jackson, D. R.] Met Off, Exeter, Devon, England; [Jones, R. L.; Pope, F. D.; Young, I. A. K.] Univ Cambridge, Dept Chem, Cambridge CB2 1EW, England; [Keil, A.] Goethe Univ Frankfurt, Inst Atmospher &amp; Environm Sci, D-60054 Frankfurt, Germany; [Khaykin, S. M.; Sitnikov, N.; Ulanovski, A.; Yushkov, V.] Cent Aerol Observ, Dolgoprudnyi, Moskow Region, Russia; [Khosrawi, F.] Stockholm Univ, MISU, S-10691 Stockholm, Sweden; [Kivi, R.] Finnish Meteorol Inst, Sodankyla, Finland; [Laube, J. C.] Univ E Anglia, Sch Environm Sci, Norwich NR4 7TJ, Norfolk, England; [Laube, J. C.] Alfred Wegener Inst Polar &amp; Marine Res, Potsdam, Germany; [Ludmann, S.; Pfeilsticker, K.] Heidelberg Univ, Inst Umweltphys, D-69115 Heidelberg, Germany; [Mitev, V.] CSEM Ctr Suisse Elect &amp; Microtech SA, Neuchatel, Switzerland; [Orsolini, Y.] Norwegian Inst Air Res, Kjeller, Norway; [Pitts, M. C.] NASA, Langley Res Ctr, Hampton, VA 23665 USA; [Poole, L. R.] Sci Syst &amp; Applicat Inc, Hampton, VA 23666 USA; [Roeckmann, T.] Univ Utrecht, Inst Marine &amp; Atmospher Res Utrecht IMAU, Utrecht, Netherlands; [Santee, M. L.] CALTECH, JPL NASA, Pasadena, CA 91125 USA; [Walker, K.] Univ Toronto, Dept Phys, Toronto, ON, Canada; [Di Donfrancesco, G.] Ente Nazl Nuove Tecnol Energia &amp; Ambiente, Rome, Italy</t>
  </si>
  <si>
    <t>Helmholtz Association; Research Center Julich; Centre National de la Recherche Scientifique (CNRS); CNRS - National Institute for Earth Sciences &amp; Astronomy (INSU); Universite Paris Saclay; Sorbonne Universite; Max Planck Society; Consiglio Nazionale delle Ricerche (CNR); Istituto di Scienze dell'Atmosfera e del Clima (ISAC-CNR); Consiglio Nazionale delle Ricerche (CNR); Istituto Nazionale di Ottica (INO-CNR); Helmholtz Association; German Aerospace Centre (DLR); Helmholtz Association; Karlsruhe Institute of Technology; Technical University of Darmstadt; University of Munich; Swiss Federal Institutes of Technology Domain; ETH Zurich; Helmholtz Association; Research Center Julich; Helmholtz Association; Karlsruhe Institute of Technology; University of Wuppertal; Eotvos Lorand University; University of Oslo; Met Office - UK; University of Cambridge; Goethe University Frankfurt; Stockholm University; Finnish Meteorological Institute; University of East Anglia; Helmholtz Association; Alfred Wegener Institute, Helmholtz Centre for Polar &amp; Marine Research; Ruprecht Karls University Heidelberg; Swiss Center for Electronics &amp; Microtechnology (CSEM); NILU; National Aeronautics &amp; Space Administration (NASA); NASA Langley Research Center; Science Systems and Applications Inc; Utrecht University; California Institute of Technology; National Aeronautics &amp; Space Administration (NASA); NASA Jet Propulsion Laboratory (JPL); University of Toronto</t>
  </si>
  <si>
    <t>von Hobe, M (corresponding author), Forschungszentrum Julich, Inst Energy &amp; Climate Res IEK 7, D-52425 Julich, Germany.</t>
  </si>
  <si>
    <t>m.von.hobe@fz-juelich.de</t>
  </si>
  <si>
    <t>Borrmann, Stephan/E-3868-2010; Kuttippurath, Jayanarayanan/E-6441-2017; Ravegnani, Fabrizio/A-7800-2009; Grooß, Jens-Uwe/N-3305-2019; Peter, Thomas/B-2529-2018; Ravegnani, Fabrizio/AAM-5467-2021; Hoyle, Christopher R./B-7786-2008; Weinbruch, Stephan/E-6141-2014; Riese, Martin/A-3927-2013; von der Gathen, Peter/B-8515-2009; Wohltmann, Ingo/C-1301-2010; von Hobe, Marc/N-3265-2019; Müller, Rolf/ABA-8213-2021; Hoffmann, Lars/ABI-3746-2020; Laube, Johannes C/P-6772-2017; Schiller, Cornelius/B-1004-2013; Kandler, Konrad/C-3467-2014; VICIANI, SILVIA/AAY-2203-2020; Emde, Claudia/B-5447-2010; Pope, Francis D/F-8552-2012; Yushkov, Vladimir/AAA-6508-2019; Wetzel, Gerald/A-7065-2013; Rolf, Christian/K-5275-2016; Ern, Manfred/I-8839-2016; Hoffmann, Lars/A-5173-2013; bekki, slimane/J-7221-2015; Kuttippurath, Jayanarayanan/M-2878-2019; Santee, MIchelle/R-5762-2019; Ungermann, Jörn/K-7776-2012; Frey, Wiebke/G-2058-2014; D'Amato, Francesco/F-9701-2019; Jánosi, Imre M./H-4096-2017; Rex, Markus/A-6054-2009; Müller, Rolf/A-6669-2013; Kalicinsky, Christoph/JDD-1141-2023; Grooß, Jens-Uwe/A-7315-2013; Sovde Haslerud, Amund/H-2850-2016; cairo, francesco/C-7460-2015; Stordal, Frode/R-6672-2017; Spang, Reinhold/A-2738-2013; Tritscher, Ines/O-2271-2014; Rockmann, Thomas/F-4479-2015; Guenther, Gebhard/K-7583-2012; Stroh, Fred/A-6505-2009</t>
  </si>
  <si>
    <t>Borrmann, Stephan/0000-0002-4774-9380; Kuttippurath, Jayanarayanan/0000-0003-4073-8918; Ravegnani, Fabrizio/0000-0003-0735-9297; Grooß, Jens-Uwe/0000-0002-9485-866X; Peter, Thomas/0000-0002-7218-7156; Ravegnani, Fabrizio/0000-0003-0735-9297; Hoyle, Christopher R./0000-0002-1369-9143; Riese, Martin/0000-0001-6398-6493; von der Gathen, Peter/0000-0001-7409-1556; Wohltmann, Ingo/0000-0003-4606-6788; von Hobe, Marc/0000-0001-6034-6562; Müller, Rolf/0000-0002-5024-9977; Hoffmann, Lars/0000-0003-3773-4377; Kandler, Konrad/0000-0002-8268-6557; VICIANI, SILVIA/0000-0003-2260-094X; Pope, Francis D/0000-0001-6583-8347; Wetzel, Gerald/0000-0002-6671-0297; Rolf, Christian/0000-0001-5329-0054; Ern, Manfred/0000-0002-8565-2125; Hoffmann, Lars/0000-0003-3773-4377; bekki, slimane/0000-0002-5538-0800; Kuttippurath, Jayanarayanan/0000-0003-4073-8918; Ungermann, Jörn/0000-0001-9095-8332; Frey, Wiebke/0000-0003-4282-1264; D'Amato, Francesco/0000-0003-1349-6650; Rex, Markus/0000-0001-7847-8221; Kalicinsky, Christoph/0009-0006-8224-0340; Grooß, Jens-Uwe/0000-0002-9485-866X; Sovde Haslerud, Amund/0000-0002-3812-3837; Jones, Roderic/0000-0002-6761-3966; Emde, Claudia/0000-0003-2537-4466; Griessbach, Sabine/0000-0003-3792-3573; cairo, francesco/0000-0002-2886-2601; Stordal, Frode/0000-0002-5190-6473; Molleker, Sergej/0000-0002-2980-0330; Spang, Reinhold/0000-0002-2483-5761; Tritscher, Ines/0000-0001-5285-7952; Homonnai, Viktoria/0000-0002-2400-5207; Rockmann, Thomas/0000-0002-6688-8968; Jackson, David/0000-0001-6387-6876; Khosrawi, Farahnaz/0000-0002-0261-7253; Weigel, Ralf/0000-0003-1316-0292; Orsolini, Yvan/0000-0001-7454-026X; Luo, Beiping/0000-0003-1629-881X; Siciliani de Cumis, Mario/0000-0003-2854-5881; Guenther, Gebhard/0000-0003-4111-6221; Meyer, Jessica/0000-0002-3303-2100; Stroh, Fred/0000-0002-4492-2977; Rognerud, Bjorg/0000-0001-5958-4547</t>
  </si>
  <si>
    <t>European Commission [RECONCILE-226365-FP7-ENV-2008-1]; NASA CALIPSO/CloudSat; NASA [NNL11AA10D]; Canadian Space Agency; UK Natural Environment Research Council [NE/F015585/1, NE/I021918/1]; EU; ESA; Oberpfaffenhofen, Germany; Natural Environment Research Council [NE/F015585/1, NER/T/S/2002/00036, NE/I021918/1, NE/C511599/1] Funding Source: researchfish; NERC [NE/I021918/1, NE/F015585/1] Funding Source: UKRI</t>
  </si>
  <si>
    <t>European Commission(European Union (EU)European Commission Joint Research Centre); NASA CALIPSO/CloudSat; NASA(National Aeronautics &amp; Space Administration (NASA)); Canadian Space Agency(Canadian Space Agency); UK Natural Environment Research Council(UK Research &amp; Innovation (UKRI)Natural Environment Research Council (NERC)); EU(European Union (EU)); ESA(European Space Agency); Oberpfaffenhofen, Germany; Natural Environment Research Council(UK Research &amp; Innovation (UKRI)Natural Environment Research Council (NERC)); NERC(UK Research &amp; Innovation (UKRI)Natural Environment Research Council (NERC))</t>
  </si>
  <si>
    <t>RECONCILE is funded by the European Commission under the grant number RECONCILE-226365-FP7-ENV-2008-1. This funding enabled the scientific findings described in this paper, and is greatly appreciated. We are also grateful to the EC scientific officers Claus Bruning and Franz Immler for their support. We also acknowledge important contributions from institutional funding, and thank the involved scientists and administrative and technical stuff at the partner institutions who supported the project work in many ways. We thank MDB and in particular the M55-Geophysica pilots Oleg Shepetkov and Oleg Kononenko and the ground crew led by G. Belyaev for their fantastic work during the aircraft campaign. For invaluable support with logistics, flight permissions, and many other aspects of the aircraft campaign, we thank Rolf Maser and Harald Franke from ENVISCOPE, Heinz Finkenzeller from FINKCAS, Kurt Maki and the Kiruna airport crew, and the Longyearbyen airport crew. Support for M. C. Pitts is provided under the auspices of the NASA CALIPSO/CloudSat Science Team. Support for L. R. Poole is provided under NASA contract NNL11AA10D. Work at the Jet Propulsion Laboratory, California Institute of Technology, was done under contract with the National Aeronautics and Space Administration. The Atmospheric Chemistry Experiment (ACE), also known as SCISAT, is a Canadian-led mission mainly supported by the Canadian Space Agency. Work at the University of East Anglia was made possible through funding from the UK Natural Environment Research Council (research fellowships NE/F015585/1 &amp; NE/I021918/1). The atmospheric sounding campaign at FMI Sodankyla was supported by the EU through the Lapland Atmosphere-Biosphere Facility (LAPBIAT2) project. The Geophysica flight on 10 March 2010 was funded by the ESA under the PremierEx project. The PremierEx project also funded two Geophysica flights in autumn 2009 from Oberpfaffenhofen, Germany, that provided an invaluable opportunity for instrument testing prior to the Kiruna activities. We thank Bodeker Scientific for the total column ozone data and ECMWF for providing forecast, analysis and reanalysis data. Some of these data were available through the special project Effect of non-hydrostatic gravity waves on the stratosphere above Scandinavia by one of the authors (A. D.). Finally, we thank Susan Solomon, Jean-Pierre Pommereau, Rob MacKenzie, and Ross Salawitch for constructive reviews and valuable comments that helped to improve the manuscript and greatly enhanced the value of this paper.</t>
  </si>
  <si>
    <t>10.5194/acp-13-9233-2013</t>
  </si>
  <si>
    <t>229RC</t>
  </si>
  <si>
    <t>Green Submitted, gold, Green Accepted, Green Published</t>
  </si>
  <si>
    <t>WOS:000325283800009</t>
  </si>
  <si>
    <t>Cassiani, M; Stohl, A; Eckhardt, S</t>
  </si>
  <si>
    <t>Cassiani, M.; Stohl, A.; Eckhardt, S.</t>
  </si>
  <si>
    <t>The dispersion characteristics of air pollution from the world's megacities</t>
  </si>
  <si>
    <t>AIRCRAFT MEASUREMENTS; MODEL FLEXPART; TRANSPORT; CLIMATE; DEPOSITION; EMISSIONS; QUALITY; SCALE; PLUME; CITY</t>
  </si>
  <si>
    <t>Megacities are extreme examples of the continuously growing urbanization of the human population that pose (new) challenges to the environment and human health at a local scale. However, because of their size megacities also have larger-scale effects, and more research is needed to quantify their regional-and global-scale impacts. We performed a study of the characteristics of pollution plumes dispersing from a group of 36 of the world's megacities using the Lagrangian particle model FLEXPART and focusing on black carbon (BC) emissions during the years 2003-2005. BC was selected since it is representative of combustion-related emissions and has a significant role as a short-lived climate forcer. Based on the BC emissions two artificial tracers were modeled: a purely passive tracer and one subject to wet and dry deposition more closely resembling the behavior of a true aerosol. These tracers allowed us to investigate the role of deposition processes in determining the impact of megacities' pollutant plumes. The particles composing the plumes have been sampled in space and time. The time sampling allowed us to investigate the evolution of the plume from its release up to 48 days after emission and to generalize our results for any substance decaying with a timescale sufficiently shorter than the time window of 48 days. The physical characteristics of the time-averaged plume have been investigated, and this showed that, although local conditions are important, overall a city's latitude is the main factor influencing both the local and the regional-to-global dispersion of its pollution. We also repeated the calculations of some of the regional-pollution-potential metrics previously proposed by Lawrence et al. (2007), thus extending their results to a depositing scalar and retaining the evolution in time for all the plumes. Our results agreed well with their previous results despite being obtained using a totally different modeling framework. For the environmental impact on a global scale we focused on the export of mass from the megacities to the sensitive polar regions. We found that the sole city of Saint Petersburg contributes more to the lower-troposphere pollution and deposition in the Arctic than the whole ensemble of Asian megacities. In general this study showed that the pollution of urban origin in the lower troposphere of the Arctic is mainly generated by northern European sources. We also found that the deposition of the modeled artificial BC aerosol in the Antarctic due to megacities is comparable to the emissions of BC generated by local shipping activities. Finally multiplying population and ground level concentration maps, we found that the exposure of human population to megacity pollution occurs mainly inside the city boundaries, and this is especially true if deposition is accounted for. However, some exceptions exist (Beijing, Tianjin, Karachi) where the impact on population outside the city boundary is larger than that inside the city boundary.</t>
  </si>
  <si>
    <t>[Cassiani, M.; Stohl, A.; Eckhardt, S.] Norwegian Inst Air Res, N-2027 Kjeller, Norway</t>
  </si>
  <si>
    <t>NILU</t>
  </si>
  <si>
    <t>Cassiani, M (corresponding author), Norwegian Inst Air Res, 1 NILU, N-2027 Kjeller, Norway.</t>
  </si>
  <si>
    <t>mc@nilu.no</t>
  </si>
  <si>
    <t>Stohl, Andreas/A-7535-2008; Cassiani, Massimo/I-3001-2017; Eckhardt, Sabine/I-4001-2012</t>
  </si>
  <si>
    <t>Stohl, Andreas/0000-0002-2524-5755; Cassiani, Massimo/0000-0003-1625-629X; Eckhardt, Sabine/0000-0001-6958-5375</t>
  </si>
  <si>
    <t>European Union [212520, 282688]; Norwegian Research Council</t>
  </si>
  <si>
    <t>European Union(European Union (EU)); Norwegian Research Council(Research Council of Norway)</t>
  </si>
  <si>
    <t>This study was funded in the European Union's Seventh Framework Programme FP/2007-2013 within the projects MEGAPOLI (grant agreement no. 212520) and ECLIPSE (grant agreement no. 282688) and by the Norwegian Research Council in the framework of the project CLIMSLIP.</t>
  </si>
  <si>
    <t>10.5194/acp-13-9975-2013</t>
  </si>
  <si>
    <t>234OY</t>
  </si>
  <si>
    <t>WOS:000325654900018</t>
  </si>
  <si>
    <t>Höpfner, M; Glatthor, N; Grabowski, U; Kellmann, S; Kiefer, M; Linden, A; Orphal, J; Stiller, G; von Clarmann, T; Funke, B; Boone, CD</t>
  </si>
  <si>
    <t>Hopfner, M.; Glatthor, N.; Grabowski, U.; Kellmann, S.; Kiefer, M.; Linden, A.; Orphal, J.; Stiller, G.; von Clarmann, T.; Funke, B.; Boone, C. D.</t>
  </si>
  <si>
    <t>Sulfur dioxide (SO2) as observed by MIPAS/Envisat: temporal development and spatial distribution at 15-45 km altitude</t>
  </si>
  <si>
    <t>VOLCANIC AEROSOL LOAD; CONDENSATION NUCLEI; SEMIANNUAL OSCILLATION; STRATOSPHERIC AEROSOL; ACID VAPOR; MIPAS; RETRIEVAL; PHOTOLYSIS; LAYER; REGULARIZATION</t>
  </si>
  <si>
    <t>We present a climatology of monthly and 10 degrees zonal mean profiles of sulfur dioxide (SO2) volume mixing ratios (vmr) derived from MIPAS/Envisat measurements in the altitude range 15-45 km from July 2002 until April 2012. The vertical resolution varies from 3.5-4 km in the lower stratosphere up to 6-10 km at the upper end of the profiles, with estimated total errors of 5-20 pptv for single profiles of SO2. Comparisons with the few available observations of SO2 up to high altitudes from ATMOS for a volcanically perturbed situation from ACE-FTS and, at the lowest altitudes, with stratospheric in situ observations reveal general consistency of the datasets. The observations are the first empirical confirmation of features of the stratospheric SO2 distribution, which have only been shown by models up to now: (1) the local maximum of SO2 at around 25-30 km altitude, which is explained by the conversion of carbonyl sulfide (COS) as the precursor of the Junge layer; and (2) the downwelling of SO2-rich air to altitudes of 25-30 km at high latitudes during winter and its subsequent depletion on availability of sunlight. This has been proposed as the reason for the sudden appearance of enhanced concentrations of condensation nuclei during Arctic and Antarctic spring. Further, the strong increase of SO2 to values of 80-100 pptv in the upper stratosphere through photolysis of H2SO4 has been confirmed. Lower stratospheric variability of SO2 could mainly be explained by volcanic activity, and no hints of a strong anthropogenic influence have been found. Regression analysis revealed a QBO (quasi-biennial oscillation) signal of the SO2 time series in the tropics at about 30-35 km, an SAO (semi-annual oscillation) signal at tropical and subtropical latitudes above 32 km and annual periodics predominantly at high latitudes. Further, the analysis indicates a correlation with the solar cycle in the tropics and southern subtropics above 30 km. Significant negative linear trends are found in the tropical lower stratosphere, probably due to reduced tropical volcanic activity and at southern mid-latitudes above 35 km. A positive trend is visible in the lower and middle stratosphere at polar to subtropical southern latitudes.</t>
  </si>
  <si>
    <t>[Hopfner, M.; Glatthor, N.; Grabowski, U.; Kellmann, S.; Kiefer, M.; Linden, A.; Orphal, J.; Stiller, G.; von Clarmann, T.] Karlsruhe Inst Technol, Inst Meteorol &amp; Climate Res, D-76021 Karlsruhe, Germany; [Funke, B.] CSIC, Inst Astrofis Andalucia, Granada, Spain; [Boone, C. D.] Univ Waterloo, Dept Chem, Waterloo, ON N2L 3G1, Canada</t>
  </si>
  <si>
    <t>Helmholtz Association; Karlsruhe Institute of Technology; Consejo Superior de Investigaciones Cientificas (CSIC); CSIC - Instituto de Astrofisica de Andalucia (IAA); University of Waterloo</t>
  </si>
  <si>
    <t>Höpfner, M (corresponding author), Karlsruhe Inst Technol, Inst Meteorol &amp; Climate Res, D-76021 Karlsruhe, Germany.</t>
  </si>
  <si>
    <t>michael.hoepfner@kit.edu</t>
  </si>
  <si>
    <t>Orphal, Johannes/A-8667-2012; Stiller, Gabriele P./A-7340-2013; Hopfner, Michael/A-7255-2013; Funke, Bernd/C-2162-2008</t>
  </si>
  <si>
    <t>Stiller, Gabriele P./0000-0003-2883-6873; Hopfner, Michael/0000-0002-4174-9531; Orphal, Johannes/0000-0002-1943-4496; Funke, Bernd/0000-0003-0462-4702</t>
  </si>
  <si>
    <t>Canadian Space Agency; Deutsche Forschungsgemeinschaft; Open Access Publishing Fund of the Karlsruhe Institute of Technology</t>
  </si>
  <si>
    <t>Canadian Space Agency(Canadian Space Agency); Deutsche Forschungsgemeinschaft(German Research Foundation (DFG)); Open Access Publishing Fund of the Karlsruhe Institute of Technology</t>
  </si>
  <si>
    <t>We acknowledge provision of MIPAS level-1b calibrated spectra by ESA, meteorological data by ECMWF, F10.7 cm solar radio flux by the NOAA Space Weather Prediction Center, Singapore time series of winds by the Free University of Berlin, and data on volcanic activity by the Smithsonian's Global Volcanism Program and by NASA's Global Sulfur Dioxide Monitoring Home Page. Funding for the Atmospheric Chemistry Experiment is provided by the Canadian Space Agency. Further we would like to thank Ch. Bruhl for helpful discussions. We acknowledge support by the Deutsche Forschungsgemeinschaft and Open Access Publishing Fund of the Karlsruhe Institute of Technology.</t>
  </si>
  <si>
    <t>10.5194/acp-13-10405-2013</t>
  </si>
  <si>
    <t>246NK</t>
  </si>
  <si>
    <t>WOS:000326545100017</t>
  </si>
  <si>
    <t>Le Moigne, FAC; Boye, M; Masson, A; Corvaisier, R; Grossteffan, E; Guéneugues, A; Pondaven, P</t>
  </si>
  <si>
    <t>Le Moigne, F. A. C.; Boye, M.; Masson, A.; Corvaisier, R.; Grossteffan, E.; Gueneugues, A.; Pondaven, P.</t>
  </si>
  <si>
    <t>Description of the biogeochemical features of the subtropical southeastern Atlantic and the Southern Ocean south of South Africa during the austral summer of the International Polar Year</t>
  </si>
  <si>
    <t>BIOGENIC SILICA; PHYSIOLOGICAL-RESPONSES; ELEMENTAL COMPOSITION; COMMUNITY STRUCTURE; PACIFIC SECTOR; GROWTH-RATES; WATER MASSES; IRON; PHYTOPLANKTON; NUTRIENTS</t>
  </si>
  <si>
    <t>Meridional and vertical distributions of several biogeochemical parameters were studied along a section in the southeastern Atlantic and the Southern Ocean south of South Africa during the austral summer 2008 of the International Polar Year to characterize the biogeochemical provinces and to assess the seasonal net diatom production. Based on analyses of macro-nutrients, ammonium (NH4), chlorophyll a, (Chl a), phaeopigments, biogenic silica (BSi), particulate inorganic carbon (PIC), and particulate organic carbon and nitrogen (POC and PON, respectively), four biogeochemical domains were distinguished along the section: the subtropical Atlantic, the confluence zone of the subtropical and subantarctic domains, the Polar Frontal Zone (PFZ) in the Antarctic Circumpolar Current (ACC), and the north-eastern branch of the Weddell Gyre. The subtropical region displayed extremely low nutrient concentrations featuring oligotrophic conditions, and sub-surface maxima of Chl a and phaeopigments never exceeded 0.5 mu g L-1 and 0.25 mu g L-1, respectively. The anticyclonic and cyclonic eddies crossed in the Cape Basin were characterized by a deepening and a rise, respectively, of the nutrients isoclines. The confluence zone of the subtropical domain and the northern side of the ACC within the subantarctic domain displayed remnant nitrate and phosphate levels, whereas silicate concentrations kept to extremely low levels. In this area, Chl a level of 0.4-0.5 mu g L-1 distributed homogenously within the mixed layer, and POC and PON accumulated to values up to 10 mu M and 1.5 mu M, respectively, indicative of biomass accumulation along the confluence zone during the late productive period. In the ACC domain, the Polar Frontal Zone was marked by a post-bloom of diatoms that extended beyond the Polar Front (PF) during this late summer condition, as primarily evidenced by the massive depletion of silicic acid in the surface waters. The accumulation of NH4 to values up to 1.25 mu M at 100 m depth centred on the PF and the accumulation of BSi up to 0.5 mu M in the surface waters of the central part of the PFZ also featured a late stage of the seasonal diatom bloom. The silica daily net production rate based on the seasonal depletion of silicic acid was estimated to be 11.9 +/- 6.5 mmol m(-2) d(-1) in the domain of the vast diatom post-bloom, agreeing well with the previously recorded values in this province. The Weddell Gyre occasionally displayed relative surface depletion of silicic acid, suggesting a late stage of a relatively minor diatom bloom possibly driven by iceberg drifting releases of iron. In this domain the estimated range of silica daily net production rate (e. g. 21.1 +/- 8.8 mmol m(-2) d(-1)) is consistent with previous studies, but was not significantly higher than that in the Polar Front region.</t>
  </si>
  <si>
    <t>[Le Moigne, F. A. C.; Boye, M.; Masson, A.; Corvaisier, R.; Gueneugues, A.; Pondaven, P.] IUEM, UMS3113, Lab Sci Environm Marin, UMR6539, F-29280 Plouzane, France; [Grossteffan, E.] Inst Univ Europeen Mer, Unite Mixte Serv UMS3113, F-29280 Plouzane, France</t>
  </si>
  <si>
    <t>Centre National de la Recherche Scientifique (CNRS); CNRS - Institute of Ecology &amp; Environment (INEE); Universite de Bretagne Occidentale; Institut Universitaire Europeen de la Mer (IUEM); CNRS - National Institute for Earth Sciences &amp; Astronomy (INSU); Ifremer; Institut de Recherche pour le Developpement (IRD); Universite de Bretagne Occidentale; Institut Universitaire Europeen de la Mer (IUEM); Centre National de la Recherche Scientifique (CNRS); CNRS - National Institute for Earth Sciences &amp; Astronomy (INSU)</t>
  </si>
  <si>
    <t>Le Moigne, FAC (corresponding author), Natl Oceanog Ctr, European Way, Southampton SO14 3ZH, Hants, England.</t>
  </si>
  <si>
    <t>f.lemoigne@noc.soton.ac.uk</t>
  </si>
  <si>
    <t>Le Moigne, Frederic/H-9410-2013; Le Moigne, Frederic/O-9851-2014</t>
  </si>
  <si>
    <t>Le Moigne, Frederic/0000-0001-7316-5111; Pondaven, Philippe/0000-0002-3427-7767</t>
  </si>
  <si>
    <t>French LEFE National Program of INSU at CNRS; National Agency for Research Funding [ANR-07-BLAN-0146]; French Polar Institut Paul Emile Victor (IPEV); Agence Nationale de la Recherche (ANR) [ANR-07-BLAN-0146] Funding Source: Agence Nationale de la Recherche (ANR); Natural Environment Research Council [noc010009] Funding Source: researchfish; NERC [noc010009] Funding Source: UKRI</t>
  </si>
  <si>
    <t>French LEFE National Program of INSU at CNRS; National Agency for Research Funding; French Polar Institut Paul Emile Victor (IPEV); Agence Nationale de la Recherche (ANR)(Agence Nationale de la Recherche (ANR)); Natural Environment Research Council(UK Research &amp; Innovation (UKRI)Natural Environment Research Council (NERC)); NERC(UK Research &amp; Innovation (UKRI)Natural Environment Research Council (NERC))</t>
  </si>
  <si>
    <t>We thank the captain and the crew of the French research vessel Marion Dufresne II for their wonderful work at sea during the IPY MD166 BONUS-GOODHOPE cruise. The project coordinators and chief scientists of the cruise, S. Speich (LPO, Brest, France) and M. Boye (LEMAR, Brest, France) are gratefully acknowledged. Special thanks also to their collaborators during the cruise, M. Arhan (LPO, Brest, FR) and F. Dehairs (VUB, Brussels, Belgium). We are grateful to the colleagues of the nutrient CTD sampling team, and to Sebastien Aubin (LEMAR) for assisting biogenic silica analyses. This investigation was supported by the French LEFE National Program of INSU at CNRS, the National Agency for Research Funding (ANR-07-BLAN-0146) and the French Polar Institut Paul Emile Victor (IPEV). F. Dehairs is also warmly acknowledged for improving the manuscript. This work was part of the Master degree research of F. A. C. Le Moigne. It is a contribution to the International Polar Year and the International ICED programs.</t>
  </si>
  <si>
    <t>10.5194/bg-10-281-2013</t>
  </si>
  <si>
    <t>gold, Green Submitted, Green Accepted</t>
  </si>
  <si>
    <t>WOS:000314173700019</t>
  </si>
  <si>
    <t>Runkle, BRK; Sachs, T; Wille, C; Pfeiffer, EM; Kutzbach, L</t>
  </si>
  <si>
    <t>Runkle, B. R. K.; Sachs, T.; Wille, C.; Pfeiffer, E. -M.; Kutzbach, L.</t>
  </si>
  <si>
    <t>Bulk partitioning the growing season net ecosystem exchange of CO2 in Siberian tundra reveals the seasonality of its carbon sequestration strength</t>
  </si>
  <si>
    <t>LENA RIVER DELTA; EDDY-COVARIANCE; POLYGONAL TUNDRA; TEMPERATURE SENSITIVITY; ARCTIC AMPLIFICATION; FLUX MEASUREMENTS; SONIC ANEMOMETER; METHANE EMISSION; GAS-EXCHANGE; RESPIRATION</t>
  </si>
  <si>
    <t>This paper evaluates the relative contribution of light and temperature on net ecosystem CO2 uptake during the 2006 growing season in a polygonal tundra ecosystem in the Lena River Delta in Northern Siberia (72 degrees 22'N, 126 degrees 30'E). The occurrence and frequency of warm periods may be an important determinant of the magnitude of the ecosystem's carbon sink function, as they drive temperature-induced changes in respiration. Hot spells during the early portion of the growing season, when the photosynthetic apparatus of vascular plants is not fully developed, are shown to be more influential in creating positive mid-day surface-to-atmosphere net ecosystem CO2 exchange fluxes than those occurring later in the season. In this work we also develop and present a multi-step bulk flux partition model to better account for tundra plant physiology and the specific light conditions of the arctic region. These conditions preclude the successful use of traditional partition methods that derive a respiration-temperature relationship from all nighttime data or from other bulk approaches that are insensitive to temperature or light stress. Nighttime growing season measurements are rare during the arctic summer, however, so the new method allows for temporal variation in the parameters describing both ecosystem respiration and gross uptake by fitting both processes at the same time. Much of the apparent temperature sensitivity of respiration seen in the traditional partition method is revealed in the new method to reflect seasonal changes in basal respiration rates. Understanding and quantifying the flux partition is an essential precursor to describing links between assimilation and respiration at different timescales, as it allows a more confident evaluation of measured net exchange over a broader range of environmental conditions. The growing season CO2 sink estimated by this study is similar to those reported previously for this site, and is substantial enough to withstand the long, low-level respiratory CO2 release during the rest of the year to maintain the site's CO2 sink function on an annual basis.</t>
  </si>
  <si>
    <t>[Runkle, B. R. K.; Wille, C.; Pfeiffer, E. -M.; Kutzbach, L.] Univ Hamburg, Inst Soil Sci, Hamburg, Germany; [Sachs, T.] GFZ German Res Ctr Geosci, Helmholtz Ctr Potsdam, Potsdam, Germany</t>
  </si>
  <si>
    <t>University of Hamburg; Helmholtz Association; Helmholtz-Center Potsdam GFZ German Research Center for Geosciences</t>
  </si>
  <si>
    <t>Runkle, BRK (corresponding author), Univ Hamburg, Inst Soil Sci, KlimaCampus, Hamburg, Germany.</t>
  </si>
  <si>
    <t>benjamin.runkle@zmaw.de</t>
  </si>
  <si>
    <t>Sachs, Torsten/P-8840-2015; Runkle, B. R. K./ABG-5884-2021; Wille, Christian/J-3657-2013; Runkle, B. R. K./AAC-3404-2020; Kutzbach, Lars/L-5765-2015</t>
  </si>
  <si>
    <t>Runkle, B. R. K./0000-0002-2583-1199; Wille, Christian/0000-0003-0930-6527; Runkle, B. R. K./0000-0002-2583-1199; Sachs, Torsten/0000-0002-9959-4771; Kutzbach, Lars/0000-0003-2631-2742; Pfeiffer, Eva-Maria/0000-0003-3332-8830</t>
  </si>
  <si>
    <t>Cluster of Excellence CliSAP, University of Hamburg [EXC177]; German Research Foundation (DFG); Helmholtz Association (Helmholtz Young Investigators Group) [VH-NG-821]</t>
  </si>
  <si>
    <t>Cluster of Excellence CliSAP, University of Hamburg; German Research Foundation (DFG)(German Research Foundation (DFG)); Helmholtz Association (Helmholtz Young Investigators Group)</t>
  </si>
  <si>
    <t>B. Runkle, C. Wille, E.-M. Pfeiffer and L. Kutzbach are supported through the Cluster of Excellence CliSAP (EXC177), University of Hamburg, funded by the German Research Foundation (DFG). Torsten Sachs was supported through the Helmholtz Association (Helmholtz Young Investigators Group, grant VH-NG-821). We thank members of the joint Russian-German expedition LENA-2006, especially Waldemar Schneider (Alfred Wegener Institute), Dmitry Yu. Bolshianov (Arctic and Antarctic Research Institute, St. Petersburg), Mikhail N. Grigoriev (Permafrost Institute, Yakutsk), Alexander Y. Derevyagin (Moscow State University), and Dmitri V. Melnitschenko (Hydro Base, Tiksi) for their logistical, travel, and administrative arrangements. We are also grateful to Gunther Molo Stoof (Alfred Wegener Institute) for technical support in the field and to Manuel Helbig for helpful discussions in preparing the manuscript. Finally, we thank F.-J. Parmentier and one anonymous reviewer for their comments and ideas that have improved the manuscript.</t>
  </si>
  <si>
    <t>10.5194/bg-10-1337-2013</t>
  </si>
  <si>
    <t>WOS:000317010600008</t>
  </si>
  <si>
    <t>Hertkorn, N; Harir, M; Koch, BP; Michalke, B; Schmitt-Kopplin, P</t>
  </si>
  <si>
    <t>Hertkorn, N.; Harir, M.; Koch, B. P.; Michalke, B.; Schmitt-Kopplin, P.</t>
  </si>
  <si>
    <t>High-field NMR spectroscopy and FTICR mass spectrometry: powerful discovery tools for the molecular level characterization of marine dissolved organic matter</t>
  </si>
  <si>
    <t>POLYCYCLIC AROMATIC-HYDROCARBONS; EASTERN ATLANTIC-OCEAN; BLACK CARBON; HUMIC SUBSTANCES; SOLID-STATE; ATMOSPHERIC AEROSOLS; DEEP-OCEAN; ELEMENTAL COMPOSITIONS; STRUCTURAL-ANALYSIS; FULVIC-ACIDS</t>
  </si>
  <si>
    <t>High-performance, non-target, high-resolution organic structural spectroscopy was applied to solid phase extracted marine dissolved organic matter (SPE-DOM) isolated from four different depths in the open South Atlantic Ocean off the Angola coast (3 degrees E, 18 degrees S; Angola Basin) and provided molecular level information with extraordinary coverage and resolution. Sampling was performed at depths of 5 m (Angola Current; near-surface photic zone), 48 m (Angola Current; fluorescence maximum), 200 m (still above Antarctic Intermediate Water, AAIW; upper mesopelagic zone) and 5446 m (North Atlantic Deep Water, NADW; abyssopelagic, similar to 30 m above seafloor) and produced SPE-DOM with near 40% carbon yield and beneficial nuclear magnetic resonance (NMR) relaxation properties, a crucial prerequisite for the acquisition of NMR spectra with excellent resolution. H-1 and C-13 NMR spectra of all four marine SPE-DOM showed smooth bulk envelopes, reflecting intrinsic averaging from massive signal overlap, with a few percent of visibly resolved signatures and variable abundances for all major chemical environments. The abundance of singly oxygenated aliphatics and acetate derivatives in H-1 NMR spectra declined from surface to deep marine SPE-DOM, whereas C-based aliphatics and carboxyl-rich alicyclic molecules (CRAM) increased in abundance. Surface SPE-DOM contained fewer methyl esters than all other samples, likely a consequence of direct exposure to sunlight. Integration of C-13 NMR spectra revealed continual increase of carboxylic acids and ketones from surface to depth, reflecting a progressive oxygenation, with concomitant decline of carbohydrate-related substructures. Aliphatic branching increased with depth, whereas the fraction of oxygenated aliphatics declined for methine, methylene and methyl carbon. Lipids in the oldest SPE-DOM at 5446 m showed a larger share of ethyl groups and methylene carbon than observed in the other samples. Two-dimensional NMR spectra showed exceptional resolution and depicted resolved molecular signatures in excess of a certain minimum abundance. Classical methyl groups terminating aliphatic chains represented similar to 15% of total methyl in all samples investigated. A noticeable fraction of methyl (similar to 2%) was bound to olefinic carbon. Methyl ethers were abundant in surface marine SPE-DOM, and the chemical diversity of carbohydrates was larger than that of freshwater and soil DOM. In all samples, we identified sp(2)-hybridized carbon chemical environments with discrimination of isolated and conjugated olefins and alpha,beta-unsaturated double bonds. Olefinic proton and carbon atoms were more abundant than aromatic ones; olefinic unsaturation in marine SPE-DOM will be more directly traceable to ultimate biogenic precursors than aromatic unsaturation. The abundance of furan, pyrrol and thiophene derivatives was marginal, whereas benzene derivatives, phenols and six-membered nitrogen heterocycles were prominent; a yet unassigned set of six-membered N-heterocycles with likely more than one single nitrogen occurred in all samples. Various key polycyclic aromatic hydrocarbon substructures suggested the presence of thermogenic organic matter at all water depths. Progressive NMR cross-peak attenuation from surface to deep marine SPE-DOM was particularly strong in COSY NMR spectra and indicated a continual disappearance of biosignatures as well as entropy gain from an ever increased molecular diversity. Nevertheless, a specific near-seafloor SPE-DOM signature of unsaturated molecules recognized in both NMR and Fourier transform ion cyclotron mass spectrometry (FTICR/MS) possibly originated from sediment leaching. The conformity of key NMR and FTICR/MS signatures suggested the presence of a large set of identical molecules throughout the entire ocean column even though the investigated water masses belonged to different oceanic regimes and currents. FTICR/MS showed abundant CHO, CHNO, CHOS and CHNOS molecular series with slightly increasing numbers of mass peaks and average mass from surface to bottom SPE-DOM. The proportion of CHO and CHNO negative ions increased from surface to depth, whereas CHOS and especially CHNOS molecular series markedly declined. While certain rather aliphatic CHOS and CHNOS ions were observed solely in the surface, deep marine SPE-DOM was enriched in unique unsaturated and rather oxygenated CHO and CHNO molecular series. With the exception of abyssopelagic SPE-DOM at 5446 m, which showed a peculiar CHOS chemistry of unsaturated carbon and reduced sulphur (black sulphur), CHO and CHNO molecular series contributed similar to 87% to total positive electrospray ionization FTICR mass peak integral, with a near constant ratio of CHNO/CHO molecular compositions near 1.13 +/- 0.05. In case of all four marine SPE-DOM, remarkably disparate average elemental compositions as determined from either MS and NMR spectra were observed, caused by a pronounced ionization selectivity in electrospray ionization FTICR/MS. The study demonstrates that the exhaustive characterization of complex unknowns in marine DOM will enable a meaningful classification of individual marine biogeosignatures. Future in-depth functional biodiversity studies with a clear understanding of DOM structure and function might eventually lead to a novel, unified perception of biodiversity and biogeochemistry.</t>
  </si>
  <si>
    <t>[Hertkorn, N.; Harir, M.; Michalke, B.; Schmitt-Kopplin, P.] Helmholtz Zentrum Muenchen, German Res Ctr Environm Hlth, Res Unit Analyt Biogeochem BGC, D-85764 Neuherberg, Germany; [Koch, B. P.] AWI, D-27570 Bremerhaven, Germany</t>
  </si>
  <si>
    <t>Helmholtz Association; Helmholtz-Center Munich - German Research Center for Environmental Health; Helmholtz Association; Alfred Wegener Institute, Helmholtz Centre for Polar &amp; Marine Research</t>
  </si>
  <si>
    <t>Hertkorn, N (corresponding author), Helmholtz Zentrum Muenchen, German Res Ctr Environm Hlth, Res Unit Analyt Biogeochem BGC, Ingolstaedter Landstr 1, D-85764 Neuherberg, Germany.</t>
  </si>
  <si>
    <t>hertkorn@helmholtz-muenchen.de</t>
  </si>
  <si>
    <t>Koch, Boris/B-2784-2009; Hertkorn, Norbert/AAA-5990-2022; Schmitt-Kopplin, Philippe/H-6271-2011</t>
  </si>
  <si>
    <t>Koch, Boris/0000-0002-8453-731X; Schmitt-Kopplin, Philippe/0000-0003-0824-2664</t>
  </si>
  <si>
    <t>10.5194/bg-10-1583-2013</t>
  </si>
  <si>
    <t>WOS:000317010600024</t>
  </si>
  <si>
    <t>Boike, J; Kattenstroth, B; Abramova, K; Bornemann, N; Chetverova, A; Fedorova, I; Fröb, K; Grigoriev, M; Grüber, M; Kutzbach, L; Langer, M; Minke, M; Muster, S; Piel, K; Pfeiffer, EM; Stoof, G; Westermann, S; Wischnewski, K; Wille, C; Hubberten, HW</t>
  </si>
  <si>
    <t>Boike, J.; Kattenstroth, B.; Abramova, K.; Bornemann, N.; Chetverova, A.; Fedorova, I.; Froeb, K.; Grigoriev, M.; Grueber, M.; Kutzbach, L.; Langer, M.; Minke, M.; Muster, S.; Piel, K.; Pfeiffer, E. -M.; Stoof, G.; Westermann, S.; Wischnewski, K.; Wille, C.; Hubberten, H. -W.</t>
  </si>
  <si>
    <t>Baseline characteristics of climate, permafrost and land cover from a new permafrost observatory in the Lena River Delta, Siberia (1998-2011)</t>
  </si>
  <si>
    <t>SURFACE-ENERGY-BALANCE; EDDY COVARIANCE MEASUREMENTS; POLYGONAL TUNDRA SITE; WESTERN ARCTIC COAST; THERMAL STATE; METHANE EMISSION; NORTHERN SIBERIA; WATER-BALANCE; EVAPOTRANSPIRATION; VEGETATION</t>
  </si>
  <si>
    <t>Samoylov Island is centrally located within the Lena River Delta at 72 degrees N, 126 degrees E and lies within the Siberian zone of continuous permafrost. The landscape on Samoylov Island consists mainly of late Holocene river terraces with polygonal tundra, ponds and lakes, and an active floodplain. The island has been the focus of numerous multidisciplinary studies since 1993, which have focused on climate, land cover, ecology, hydrology, permafrost and limnology. This paper aims to provide a framework for future studies by describing the characteristics of the island's meteorological parameters (temperature, radiation and snow cover), soil temperature, and soil moisture. The land surface characteristics have been described using high resolution aerial images in combination with data from ground-based observations. Of note is that deeper permafrost temperatures have increased between 0.3 to 1.3 degrees C over the last five years. However, no clear warming of air and active layer temperatures is detected since 1998, though winter air temperatures during recent years have not been as cold as in earlier years. Data related to this article are archived under: http://doi.pangaea.de/10.1594/PANGAEA.806233.</t>
  </si>
  <si>
    <t>[Boike, J.; Kattenstroth, B.; Bornemann, N.; Froeb, K.; Grueber, M.; Langer, M.; Muster, S.; Piel, K.; Stoof, G.; Wischnewski, K.; Hubberten, H. -W.] Alfred Wegener Inst Polar &amp; Marine Res, D-14473 Potsdam, Germany; [Abramova, K.] Lena Delta Nat Reserve, Tiksi 678400, Yakutia, Russia; [Chetverova, A.; Fedorova, I.] Arctic &amp; Antarctic Res Inst, St Petersburg 199397, Russia; [Chetverova, A.; Fedorova, I.] St Petersburg State Univ, St Petersburg 199178, Russia; [Grigoriev, M.] Russian Acad Sci, Melnikov Permafrost Inst, Siberian Branch, Yakutsk, Russia; [Kutzbach, L.; Pfeiffer, E. -M.; Wille, C.] Univ Hamburg, Inst Soil Sci, Hamburg, Germany; [Minke, M.] Ernst Moritz Arndt Univ Greifswald, Inst Bot &amp; Landscape Ecol, Greifswald, Germany; [Westermann, S.] Univ Oslo, Dept Geosci, Oslo, Norway</t>
  </si>
  <si>
    <t>Helmholtz Association; Alfred Wegener Institute, Helmholtz Centre for Polar &amp; Marine Research; Arctic &amp; Antarctic Research Institute; Saint Petersburg State University; Russian Academy of Sciences; Melnikov Permafrost Institute, Siberian Branch of the RAS; University of Hamburg; Universitat Greifswald; University of Oslo</t>
  </si>
  <si>
    <t>Boike, J (corresponding author), Alfred Wegener Inst Polar &amp; Marine Res, Telegrafenberg A43, D-14473 Potsdam, Germany.</t>
  </si>
  <si>
    <t>julia.boike@awi.de</t>
  </si>
  <si>
    <t>Boike, Julia/JCE-5402-2023; Westermann, Sebastian/I-2976-2012; Wille, Christian/J-3657-2013; Boike, Julia/R-4766-2016; Boike, Julia/JZT-8129-2024; Fedorova, Irina/N-3436-2013; Kutzbach, Lars/L-5765-2015; Cheterova, Antonina/N-1019-2013; Muster, Sina/G-6653-2014</t>
  </si>
  <si>
    <t>Westermann, Sebastian/0000-0003-0514-4321; Wille, Christian/0000-0003-0930-6527; Boike, Julia/0000-0002-5875-2112; Boike, Julia/0000-0002-5875-2112; Fedorova, Irina/0000-0001-5370-427X; Langer, Moritz/0000-0002-2704-3655; Minke, Merten/0009-0006-6279-811X; Bornemann, Niko/0000-0001-5415-509X; Kutzbach, Lars/0000-0003-2631-2742; Cheterova, Antonina/0000-0001-7461-3617; Muster, Sina/0000-0002-2328-5120; Pfeiffer, Eva-Maria/0000-0003-3332-8830</t>
  </si>
  <si>
    <t>Helmholtz Association [VH-NG 203]; European Union [GA282700]</t>
  </si>
  <si>
    <t>Helmholtz Association(Helmholtz Association); European Union(European Union (EU))</t>
  </si>
  <si>
    <t>We would like to thank Waldemar Schneider for logistical support, Max Heikenfeld for data analysis, Paul Overduin for discussions, Soloviev Grigoriy for assistance with field work and Ed Manning for proofreading. This work was supported by the Helmholtz Association through a grant (VH-NG 203) awarded to Julia Boike and by the European Union FP7-ENVIRONMENT project PAGE21 under contract no. GA282700.</t>
  </si>
  <si>
    <t>10.5194/bg-10-2105-2013</t>
  </si>
  <si>
    <t>WOS:000317010600055</t>
  </si>
  <si>
    <t>Castro-Morales, K; Cassar, N; Shoosmith, DR; Kaiser, J</t>
  </si>
  <si>
    <t>Castro-Morales, K.; Cassar, N.; Shoosmith, D. R.; Kaiser, J.</t>
  </si>
  <si>
    <t>Biological production in the Bellingshausen Sea from oxygen-to-argon ratios and oxygen triple isotopes</t>
  </si>
  <si>
    <t>NET COMMUNITY PRODUCTION; ICE-ZONE WEST; AQUATIC GROSS PRODUCTION; SOUTHERN-OCEAN CO2; ANTARCTIC PENINSULA; PHYTOPLANKTON BIOMASS; INTERANNUAL VARIABILITY; CONSISTENT CALCULATION; EQUATORIAL PACIFIC; MIXED-LAYER</t>
  </si>
  <si>
    <t>We present estimates of mixed-layer net community oxygen production (N) and gross oxygen production (G) of the Bellingshausen Sea in March and April 2007. N was derived from oxygen-to-argon (O-2/Ar) ratios; G was derived using the dual-delta method from triple oxygen isotope measurements. In addition, O-2 profiles were collected at 253 CTD stations. N is often approximated by the biological oxygen air-sea exchange flux (F-bio) based on the O-2/Ar supersaturation, assuming that significant horizontal or vertical fluxes are absent. Here we show that the effect of vertical fluxes alone can account for F-bio values &lt;0 in large parts of the Bellingshausen Sea towards the end of the productive season, which could otherwise be mistaken to represent net heterotrophy. Thus, improved estimates of mixed-layer N can be derived from the sum of F-bio, F-e (entrainment from the upper thermocline during mixed-layer deepening) and F-v (diapycnal eddy diffusion across the base of the mixed layer). In the winter sea ice zone (WSIZ), the corresponding correction results in a small change of F-bio =(30 +/- 17) mmol m(-2) d(-1) to N = (34 +/- 17) mmolm(-2) d(-1). However, in the permanent open ocean zone (POOZ), the original F-bio value of (-17 +/- 10) mmol m(-2) d(-1) gives a corrected value for N of (-2 +/- 18) mmol m(-2) d(-1). We hypothesize that in the WSIZ, enhanced water column stability due to the release of freshwater and nutrients from sea ice melt may account for the higher N value. These results stress the importance of accounting for physical biases when estimating mixed-layer marine productivity from in situ O-2/Ar ratios.</t>
  </si>
  <si>
    <t>[Castro-Morales, K.; Kaiser, J.] Univ E Anglia, Sch Environm Sci, Norwich NR4 7TJ, Norfolk, England; [Cassar, N.] Princeton Univ, Dept Geosci, Princeton, NJ 08544 USA; [Shoosmith, D. R.] British Antarctic Survey, Cambridge CB3 0ET, England</t>
  </si>
  <si>
    <t>University of East Anglia; Princeton University; UK Research &amp; Innovation (UKRI); Natural Environment Research Council (NERC); NERC British Antarctic Survey</t>
  </si>
  <si>
    <t>Castro-Morales, K (corresponding author), Helmholtz Ctr Polar &amp; Marine Res, Alfred Wegener Inst, Bremerhaven, Germany.</t>
  </si>
  <si>
    <t>karel.castro-morales@awi.de</t>
  </si>
  <si>
    <t>Kaiser, Jan/D-3327-2009; Cassar, Nicolas/B-4260-2011</t>
  </si>
  <si>
    <t>Kaiser, Jan/0000-0002-1553-4043; Cassar, Nicolas/0000-0003-0100-3783; Castro-Morales, Karel/0000-0003-1245-3982</t>
  </si>
  <si>
    <t>British Antarctic Survey (BAS); Natural Environment Research Council [CGS8/29]; National Council for Science and Technology (CONACyT), Mexico; Royal Society [WM052632]; Office of Polar Programs of NSF; NASA; NERC [bas0100028] Funding Source: UKRI; Natural Environment Research Council [bas0100028] Funding Source: researchfish</t>
  </si>
  <si>
    <t>British Antarctic Survey (BAS); Natural Environment Research Council(UK Research &amp; Innovation (UKRI)Natural Environment Research Council (NERC)); National Council for Science and Technology (CONACyT), Mexico(Consejo Nacional de Ciencia y Tecnologia (CONACyT)); Royal Society(Royal Society); Office of Polar Programs of NSF; NASA(National Aeronautics &amp; Space Administration (NASA)); NERC(UK Research &amp; Innovation (UKRI)Natural Environment Research Council (NERC)); Natural Environment Research Council(UK Research &amp; Innovation (UKRI)Natural Environment Research Council (NERC))</t>
  </si>
  <si>
    <t>The British Antarctic Survey (BAS) and the Natural Environment Research Council supported this project through grant CGS8/29. K.C.M. thanks the National Council for Science and Technology (CONACyT), Mexico, for her PhD scholarship at the University of East Anglia. J.K. was also supported by a Royal Society Research Merit Award (WM052632). Special thanks to Adrian Jenkins (leader of ACES-FOCAS project) as well as to the participants and crew of cruise JR165. The authors would like to thank Michael Bender for allowing the analysis of the isotope samples at his lab in Princeton University. This work benefited from support provided to Michael Bender by the Office of Polar Programs of NSF and NASA.</t>
  </si>
  <si>
    <t>10.5194/bg-10-2273-2013</t>
  </si>
  <si>
    <t>137KH</t>
  </si>
  <si>
    <t>WOS:000318434200007</t>
  </si>
  <si>
    <t>Zhang, R; Xia, X; Lau, SCK; Motegi, C; Weinbauer, MG; Jiao, N</t>
  </si>
  <si>
    <t>Zhang, R.; Xia, X.; Lau, S. C. K.; Motegi, C.; Weinbauer, M. G.; Jiao, N.</t>
  </si>
  <si>
    <t>Response of bacterioplankton community structure to an artificial gradient of pCO2 in the Arctic Ocean</t>
  </si>
  <si>
    <t>ELEVATED CO2; ELEMENTAL RATIOS; ACIDIFICATION; DYNAMICS; BACTERIA; CARBON; PHOTOSYNTHESIS; MICROBES; SYSTEM; GROWTH</t>
  </si>
  <si>
    <t>In order to test the influences of ocean acidification on the ocean pelagic ecosystem, so far the largest CO2 manipulation mesocosm study (European Project on Ocean Acidification, EPOCA) was performed in Kings Bay (Kongsfjorden), Spitsbergen. During a 30 day incubation, bacterial diversity was investigated using DNA fingerprinting and clone library analysis of bacterioplankton samples. Terminal restriction fragment length polymorphism (T-RFLP) analysis of the PCR amplicons of the 16S rRNA genes revealed that general bacterial diversity, taxonomic richness and community structure were influenced by the variation of productivity during the time of incubation, but not the degree of ocean acidification. A BIOENV analysis suggested a complex control of bacterial community structure by various biological and chemical environmental parameters. The maximum apparent diversity of bacterioplankton (i.e., the number of T-RFs) in high and low pCO(2) treatments differed significantly. A negative relationship between the relative abundance of Bacteroidetes and pCO(2) levels was observed for samples at the end of the experiment by the combination of T-RFLP and clone library analysis. Our study suggests that ocean acidification affects the development of bacterial assemblages and potentially impacts the ecological function of the bacterioplankton in the marine ecosystem.</t>
  </si>
  <si>
    <t>[Zhang, R.; Xia, X.; Jiao, N.] Xiamen Univ, State Key Lab Marine Environm Sci, Xiamen 361005, Peoples R China; [Zhang, R.; Xia, X.; Jiao, N.] Xiamen Univ, Inst Marine Microbes &amp; Ecospheres, Xiamen 361005, Peoples R China; [Lau, S. C. K.] Hong Kong Univ Sci &amp; Technol, Div Life Sci, Kowloon, Hong Kong, Peoples R China; [Lau, S. C. K.] Hong Kong Univ Sci &amp; Technol, Div Environm, Kowloon, Hong Kong, Peoples R China; [Motegi, C.; Weinbauer, M. G.] Univ Paris 06, Microbial Ecol &amp; Biogeochem Grp, Lab Oceanog Villefranche, F-06230 Villefranche Sur Mer, France; [Motegi, C.; Weinbauer, M. G.] CNRS, Lab Oceanog Villefranche, F-06230 Villefranche Sur Mer, France</t>
  </si>
  <si>
    <t>Xiamen University; Xiamen University; Hong Kong University of Science &amp; Technology; Hong Kong University of Science &amp; Technology; Sorbonne Universite; Sorbonne Universite; Centre National de la Recherche Scientifique (CNRS)</t>
  </si>
  <si>
    <t>Zhang, R (corresponding author), Xiamen Univ, State Key Lab Marine Environm Sci, Xiamen 361005, Peoples R China.</t>
  </si>
  <si>
    <t>ruizhang@xmu.edu.cn; jiao@xmu.edu.cn</t>
  </si>
  <si>
    <t>Lau, Stanley C. K./0000-0002-9978-2422</t>
  </si>
  <si>
    <t>European Community [211384]; 973 programme [2011CB808800, 2013CB955700]; Fundamental Research Funds for the Central Universities [2011121012]; IPEV, The French Polar Institute</t>
  </si>
  <si>
    <t>European Community; 973 programme(National Basic Research Program of China); Fundamental Research Funds for the Central Universities(Fundamental Research Funds for the Central Universities); IPEV, The French Polar Institute</t>
  </si>
  <si>
    <t>This work is a contribution to the European Project on Ocean Acidification (EPOCA) which received funding from the European Community's Seventh Framework Programme (FP7/2007-2013) under grant agreement no. 211384. We gratefully acknowledge the logistical support of Greenpeace International for its assistance with the transport of the mesocosm facility from Kiel to Ny-Alesund and back to Kiel. We also thank the captains and crews of M/V ESPERANZA of Greenpeace and R/V Viking Explorer of the University Centre in Svalbard (UNIS) for assistance during mesocosm transport and during deployment and recovery in Kongsfjorden. We thank the staff of the French-German Arctic Research Base at Ny-Alesund, in particular Marcus Schumacher, for on-site logistical support. Financial support was provided by the 973 programme (2011CB808800, 2013CB955700). R. Z. was supported by the Fundamental Research Funds for the Central Universities (2011121012). We gratefully acknowledge the help provided by the Chinese Arctic and Antarctic Administration, SOA (IC2010006). Financial support was provided by IPEV, The French Polar Institute. John Hodgkiss is thanked for his help in polishing the English in this manuscript.</t>
  </si>
  <si>
    <t>10.5194/bg-10-3679-2013</t>
  </si>
  <si>
    <t>173ZQ</t>
  </si>
  <si>
    <t>WOS:000321122700016</t>
  </si>
  <si>
    <t>Lenton, A; Tilbrook, B; Law, RM; Bakker, D; Doney, SC; Gruber, N; Ishii, M; Hoppema, M; Lovenduski, NS; Matear, RJ; McNeil, BI; Metzl, N; Fletcher, SEM; Monteiro, PMS; Rödenbeck, C; Sweeney, C; Takahashi, T</t>
  </si>
  <si>
    <t>Lenton, A.; Tilbrook, B.; Law, R. M.; Bakker, D.; Doney, S. C.; Gruber, N.; Ishii, M.; Hoppema, M.; Lovenduski, N. S.; Matear, R. J.; McNeil, B. I.; Metzl, N.; Fletcher, S. E. Mikaloff; Monteiro, P. M. S.; Roedenbeck, C.; Sweeney, C.; Takahashi, T.</t>
  </si>
  <si>
    <t>Sea-air CO2 fluxes in the Southern Ocean for the period 1990-2009</t>
  </si>
  <si>
    <t>CARBON-DIOXIDE EXCHANGE; ROSS SEA; CYCLE; TRENDS; CHLOROPHYLL; ATLANTIC; SECTOR; WATERS; PCO(2); MODEL</t>
  </si>
  <si>
    <t>The Southern Ocean (44-75 degrees S) plays a critical role in the global carbon cycle, yet remains one of the most poorly sampled ocean regions. Different approaches have been used to estimate sea-air CO2 fluxes in this region: synthesis of surface ocean observations, ocean biogeochemical models, and atmospheric and ocean inversions. As part of the RECCAP (REgional Carbon Cycle Assessment and Processes) project, we combine these different approaches to quantify and assess the magnitude and variability in Southern Ocean sea-air CO2 fluxes between 1990-2009. Using all models and inversions (26), the integrated median annual sea-air CO2 flux of -0.42+/-0.07 Pg C yr(-1) for the 44-75 degrees S region, is consistent with the -0.27+/-0.13 Pg C yr(-1) calculated using surface observations. The circumpolar region south of 58 degrees S has a small net annual flux (model and inversion median: -0.04+/-0.07 Pg C yr(-1) and observations: +0.04+/-0.02 Pg C yr(-1)), with most of the net annual flux located in the 44 to 58 degrees S circumpolar band (model and inversion median: -0.36+/-0.09 Pg C yr(-1) and observations: -0.35+/-0.09 Pg C yr(-1)). Seasonally, in the 44-58 degrees S region, the median of 5 ocean biogeochemical models captures the observed sea-air CO2 flux seasonal cycle, while the median of 11 atmospheric inversions shows little seasonal change in the net flux. South of 58 degrees S, neither atmospheric inversions nor ocean biogeochemical models reproduce the phase and amplitude of the observed seasonal sea-air CO2 flux, particularly in the Austral Winter. Importantly, no individual atmospheric inversion or ocean biogeochemical model is capable of reproducing both the observed annual mean uptake and the observed seasonal cycle. This raises concerns about projecting future changes in Southern Ocean CO2 fluxes. The median interannual variability from atmospheric inversions and ocean biogeochemical models is substantial in the Southern Ocean; up to 25% of the annual mean flux, with 25% of this interannual variability attributed to the region south of 58 degrees S. Resolving long-term trends is difficult due to the large interannual variability and short time frame (1990-2009) of this study; this is particularly evident from the large spread in trends from inversions and ocean biogeochemical models. Nevertheless, in the period 1990-2009 ocean biogeochemical models do show increasing oceanic uptake consistent with the expected increase of -0.05 Pg C yr(-1) decade(-1). In contrast, atmospheric inversions suggest little change in the strength of the CO2 sink broadly consistent with the results of Le Quere et al. (2007).</t>
  </si>
  <si>
    <t>[Lenton, A.; Tilbrook, B.] CSIRO Marine &amp; Atmospher Res, Ctr Australian Weather &amp; Climate Res, Hobart, Tas, Australia; [Tilbrook, B.] Antarctic Climate Ecosyst Cooperat Res Ctr, Hobart, Tas, Australia; [Law, R. M.] CSIRO Marine &amp; Atmospher Res, Ctr Australian Weather &amp; Climate Res, Aspendale, Vic, Australia; [Bakker, D.] Univ East Anglia Res Pk, Sch Environm Sci, Norwich NR4 7TJ, Norfolk, England; [Doney, S. C.] Woods Hole Oceanog Inst, Dept Marine Chem &amp; Geochem, Woods Hole, MA 02543 USA; [Gruber, N.] ETH, Inst Biogeochem &amp; Pollutant Dynam, Zurich, Switzerland; [Gruber, N.] ETH, Ctr Climate Syst Modeling, Zurich, Switzerland; [Ishii, M.] Meteorol Res Inst, Tsukuba, Ibaraki 3050031, Japan; [Hoppema, M.] Alfred Wegener Inst Polar &amp; Marine Res, Bremerhaven, Germany; [Lovenduski, N. S.] Univ Colorado, Inst Arctic &amp; Alpine Res, Dept Atmospher &amp; Ocean Sci, Boulder, CO 80309 USA; [Matear, R. J.] CSIRO Marine &amp; Atmospher Res, Ctr Australian Weather &amp; Climate Res, Hobart, Tas, Australia; [McNeil, B. I.] Univ New S Wales, Climate Change Res Ctr, Sydney, NSW, Australia; [Metzl, N.] Univ Paris 06, CNRS, LOCEAN IPSL, Lab Oceanog &amp; Climat, Paris, France; [Fletcher, S. E. Mikaloff] Natl Inst Water &amp; Atmospher Res, Wellington 6021, New Zealand; [Monteiro, P. M. S.] Univ Cape Town, Dept Oceanog, ZA-7700 Rondebosch, South Africa; [Monteiro, P. M. S.] CSIR, Ocean Syst &amp; Climate Grp, Stellenbosch, South Africa; [Roedenbeck, C.] Max Planck Inst Biogeochem, D-07745 Jena, Germany; [Sweeney, C.] Univ Colorado, Cooperat Inst Res Environm Sci, Boulder, CO 80305 USA; [Takahashi, T.] Columbia Univ, Lamont Doherty Earth Observ, Palisades, NY USA</t>
  </si>
  <si>
    <t>Commonwealth Scientific &amp; Industrial Research Organisation (CSIRO); Antarctic Climate &amp; Ecosystems Cooperative Research Centre (ACE CRC); Commonwealth Scientific &amp; Industrial Research Organisation (CSIRO); Woods Hole Oceanographic Institution; Swiss Federal Institutes of Technology Domain; ETH Zurich; Swiss Federal Institutes of Technology Domain; ETH Zurich; Meteorological Research Institute - Japan; Helmholtz Association; Alfred Wegener Institute, Helmholtz Centre for Polar &amp; Marine Research; University of Colorado System; University of Colorado Boulder; Commonwealth Scientific &amp; Industrial Research Organisation (CSIRO); University of New South Wales Sydney; Sorbonne Universite; Museum National d'Histoire Naturelle (MNHN); Centre National de la Recherche Scientifique (CNRS); National Institute of Water &amp; Atmospheric Research (NIWA) - New Zealand; University of Cape Town; Council for Scientific &amp; Industrial Research (CSIR) - South Africa; Max Planck Society; University of Colorado System; University of Colorado Boulder; Columbia University</t>
  </si>
  <si>
    <t>Lenton, A (corresponding author), CSIRO Marine &amp; Atmospher Res, Ctr Australian Weather &amp; Climate Res, Hobart, Tas, Australia.</t>
  </si>
  <si>
    <t>andrew.lenton@csiro.au</t>
  </si>
  <si>
    <t>Tilbrook, Bronte/W-4007-2019; Monteiro, Pedro M. S./D-3767-2009; Law, Rachel/AAV-1949-2020; Lovenduski, Nicole/V-4014-2019; Sweeney, Colm/AAE-9291-2019; Gruber, Nicolas/B-7013-2009; Doney, Scott/F-9247-2010; Lenton, Andrew/D-2077-2012; Bakker, Dorothee/E-4951-2015; matear, richard/C-5133-2011; Hoppema, Mario/I-6286-2013</t>
  </si>
  <si>
    <t>Tilbrook, Bronte/0000-0001-9385-3827; Law, Rachel/0000-0002-7346-0927; Lovenduski, Nicole/0000-0001-5893-1009; Gruber, Nicolas/0000-0002-2085-2310; Doney, Scott/0000-0002-3683-2437; Lenton, Andrew/0000-0001-9437-8896; metzl, nicolas/0000-0002-1165-1074; Ishii, Masao/0000-0002-7328-4599; Bakker, Dorothee/0000-0001-9234-5337; matear, richard/0000-0002-3225-0800; McNeil, Ben/0000-0001-5765-7087; Hoppema, Mario/0000-0002-2326-619X; Mikaloff Fletcher, Sara/0000-0003-0741-0320</t>
  </si>
  <si>
    <t>Australian Climate Change Science Program; Wealth from Oceans National Research Flagship; National Science Foundation [OPP-0823101, ANT 06-36879, OCE-1155240, 0944761]; United States NOAA [NA08OAR4320754, NA12OAR4310058]; EU FP7 project CARBOCHANGE [264879]; NOAA [NA12OAR4310058]; Directorate For Geosciences; Division Of Ocean Sciences [1155240] Funding Source: National Science Foundation; Office of Polar Programs (OPP); Directorate For Geosciences [0944761] Funding Source: National Science Foundation; Office of Polar Programs (OPP); Directorate For Geosciences [1440435] Funding Source: National Science Foundation</t>
  </si>
  <si>
    <t>Australian Climate Change Science Program; Wealth from Oceans National Research Flagship; National Science Foundation(National Science Foundation (NSF)); United States NOAA(National Oceanic Atmospheric Admin (NOAA) - USA); EU FP7 project CARBOCHANGE(European Union (EU)); NOAA(National Oceanic Atmospheric Admin (NOAA) - USA); Directorate For Geosciences; Division Of Ocean 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</si>
  <si>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A. Lenton, B. Tilbrook, R. J. Matear and R. M. Law were funded by the Australian Climate Change Science Program and the Wealth from Oceans National Research Flagship. S. C. Doney acknowledges support from the National Science Foundation (OPP-0823101), T. Takahashi is supported by grants from United States NOAA (NA08OAR4320754) and National Science Foundation (ANT 06-36879). D. Baker, N. Gruber, M. Hoppema, N. Metzl acknowledge the support of EU FP7 project CARBOCHANGE (264879). S. C. Doney acknowledges support from the National Science Foundation (OPP-0823101). N. S. Lovenduski is grateful for support from NSF (OCE-1155240) and NOAA (NA12OAR4310058). This study is also a contribution to the international IMBER/SOLAS Projects. C. Sweeney acknowledges support from the United States NOAA (NA12OAR4310058) and National Science Foundation (0944761).</t>
  </si>
  <si>
    <t>10.5194/bg-10-4037-2013</t>
  </si>
  <si>
    <t>WOS:000321122700038</t>
  </si>
  <si>
    <t>Günther, F; Overduin, PP; Sandakov, AV; Grosse, G; Grigoriev, MN</t>
  </si>
  <si>
    <t>Guenther, F.; Overduin, P. P.; Sandakov, A. V.; Grosse, G.; Grigoriev, M. N.</t>
  </si>
  <si>
    <t>Short- and long-term thermo-erosion of ice-rich permafrost coasts in the Laptev Sea region</t>
  </si>
  <si>
    <t>INTERANNUAL VARIABILITY; HERSCHEL ISLAND; ORGANIC-CARBON; ARCTIC-OCEAN; BEAUFORT SEA; LENA RIVER; EVOLUTION; DISCHARGE; RETREAT; IMAGES</t>
  </si>
  <si>
    <t>Permafrost coasts in the Arctic are susceptible to a variety of changing environmental factors all of which currently point to increasing coastal erosion rates and mass fluxes of sediment and carbon to the shallow arctic shelf seas. Rapid erosion along high yedoma coasts composed of Ice Complex permafrost deposits creates impressive coastal ice cliffs and inspired research for designing and implementing change detection studies for a long time, but continuous quantitative monitoring and a qualitative inventory of coastal thermo-erosion for large coastline segments is still lacking. Our goal is to use observations of thermo-erosion along the mainland coast of the Laptev Sea, in eastern Siberia, to understand how it depends on coastal geomorphology and the relative contributions of water level and atmospheric drivers. We compared multi-temporal sets of orthorectified satellite imagery from 1965 to 2011 for three segments of coastline ranging in length from 73 to 95 km and analyzed thermo-denudation (TD) along the cliff top and thermo-abrasion (TA) along the cliff bottom for two nested time periods: long-term rates (the past 39-43 yr) and short-term rates (the past 1-4 yr). The Normalized Difference Thermo-erosion Index (NDTI) was used as a proxy to qualitatively describe the relative proportions of TD and TA. Mean annual erosion rates at all three sites were higher in recent years (-5.3 +/- 1.3ma(-1)) than over the long-term mean (-2.2 +/- 0.1ma(-1)). The Mamontov Klyk coast exhibits primarily spatial variations of thermo-erosion, while intrasite-specific variations caused by local relief were strongest at the Buor Khaya coast, where the slowest long-term rates of around -0.5 +/- 0.1ma(-1) were observed. The Oyogos Yar coast showed continuously rapid erosion up to -6.5 +/- 0.2ma(-1). In general, variable characteristics of coastal thermo-erosion were observed not only between study sites and over time, but also within single coastal transects along the cliff profile. Varying intensities of cliff bottom and top erosion are leading to diverse qualities of coastal erosion that have different impacts on coastal mass fluxes. The different extents of Ice Complex permafrost degradation within our study sites turned out to influence not only the degree of coupling between TD and TA, and the magnitude of effectively eroded volumes, but also the quantity of organic carbon released to the shallow Laptev Sea from coastal erosion, which ranged on a long-term from 88 +/- 21 to 800 +/- 61 t per km coastline per year and will correspond to considerably higher amounts, if recently observed more rapid coastal erosion rates prove to be persistent.</t>
  </si>
  <si>
    <t>[Guenther, F.; Overduin, P. P.] Alfred Wegener Inst Helmholtz Ctr Polar &amp; Marine, Potsdam, Germany; [Sandakov, A. V.; Grigoriev, M. N.] Russian Acad Sci, Melnikov Permafrost Inst, Siberian Branch, Yakutsk, Russia; [Grosse, G.] Univ Alaska Fairbanks, Inst Geophys, Fairbanks, AK 99775 USA</t>
  </si>
  <si>
    <t>Helmholtz Association; Alfred Wegener Institute, Helmholtz Centre for Polar &amp; Marine Research; Russian Academy of Sciences; Melnikov Permafrost Institute, Siberian Branch of the RAS; University of Alaska System; University of Alaska Fairbanks</t>
  </si>
  <si>
    <t>Günther, F (corresponding author), Alfred Wegener Inst Helmholtz Ctr Polar &amp; Marine, Potsdam, Germany.</t>
  </si>
  <si>
    <t>frank.guenther@awi.de</t>
  </si>
  <si>
    <t>Overduin, Paul P/B-3258-2017; Günther, Frank/O-5226-2015; Grosse, Guido/F-5018-2011</t>
  </si>
  <si>
    <t>Overduin, Paul P/0000-0001-9849-4712; Günther, Frank/0000-0001-8298-8937; Grosse, Guido/0000-0001-5895-2141</t>
  </si>
  <si>
    <t>German Helmholtz Association through a Joint Russian-German Research Group [HGF-JRG 100]</t>
  </si>
  <si>
    <t>German Helmholtz Association through a Joint Russian-German Research Group</t>
  </si>
  <si>
    <t>We thank J. Strauss for his contribution of organic carbon and ice contents of Ice Complex deposits. We greatly appreciate the logistical support of our partners from the Tiksi Hydrobase, the Lena Delta Reserve, and from the Arctic and Antarctic Research Institute, St. Petersburg - Russian Federation. RapidEye imagery was provided by the German Aerospace Center through the RapidEye Science Archive. ALOS PRISM and KOMPSAT-2 data were provided by the European Space Agency (ESA project ID 4133, ESA ADEN, ID 3616). SPOT-5 imagery were provided by SPOT Planet Action - an Astrium GEO initiative (project: Coastal erosion in East Siberia). The German Ministry of Science and Education funded this research through the Potsdam Research Cluster for Georisk Analysis, Environmental Change and Sustainability (PROGRESS). This work was also made possible by support from the German Helmholtz Association through a Joint Russian-German Research Group (HGF-JRG 100).</t>
  </si>
  <si>
    <t>10.5194/bg-10-4297-2013</t>
  </si>
  <si>
    <t>WOS:000321122700053</t>
  </si>
  <si>
    <t>Llanillo, PJ; Karstensen, J; Pelegrí, JL; Stramma, L</t>
  </si>
  <si>
    <t>Llanillo, P. J.; Karstensen, J.; Pelegri, J. L.; Stramma, L.</t>
  </si>
  <si>
    <t>Physical and biogeochemical forcing of oxygen and nitrate changes during El Nino/El Viejo and La Nina/La Vieja upper-ocean phases in the tropical eastern South Pacific along 86°W</t>
  </si>
  <si>
    <t>OPTIMUM MULTIPARAMETER ANALYSIS; ANAEROBIC AMMONIUM OXIDATION; DEFICIENT WATERS; MINIMUM ZONES; NITROGEN; SYSTEM; OSCILLATION; VARIABILITY; ATLANTIC; MASSES</t>
  </si>
  <si>
    <t>Temporal changes in the water mass distribution and biogeochemical signals in the tropical eastern South Pacific are investigated with the help of an extended optimum multi-parameter (OMP) analysis, a technique for inverse modeling of mixing and biogeochemical processes through a multidimensional least-square fit. Two ship occupations of a meridional section along 85 degrees 50'W from 14 degrees S to 1 degrees N are analysed during relatively warm (El Nino/El Viejo, March 1993) and cold (La Nina/La Vieja, February 2009) upper-ocean phases. The largest El Nino-Southern Oscillation (ENSO) impact was found in the water properties and water mass distribution in the upper 200 m north of 10 degrees S. ENSO promotes the vertical motion of the oxygen minimum zone (OMZ) associated with the hypoxic equatorial subsurface water (ESSW). During a cold phase the core of the ESSW is found at shallower layers, replacing shallow (top 200 m) subtropical surface water (STW). The heave of isopycnals due to ENSO partially explains the intrusion of oxygen-rich and nutrient-poor antarctic intermediate water (AAIW) into the depth range of 150-500 m. The other cause of the AAIW increase at shallower depths is that this water mass flowed along shallower isopycnals in 2009. The shift in the vertical location of AAIW reaching the OMZ induces changes in the amount of oxygen advected and respired inside the OMZ: the larger the oxygen supply, the greater the respiration and the lower the nitrate loss through denitrification. Variations in the intensity of the zonal currents in the equatorial current system, which ventilates the OMZ from the west, are used to explain the patchy latitudinal changes of seawater properties observed along the repeated section. Significant changes reach down to 800 m, suggesting that decadal variability (Pacific decadal oscillation) is also a potential driver in the observed variability.</t>
  </si>
  <si>
    <t>[Llanillo, P. J.; Pelegri, J. L.] CSIC, LINCGlobal, Inst Ciencias Mar, E-08003 Barcelona, Spain; [Karstensen, J.; Stramma, L.] GEOMAR Helmholtz Ctr Ocean Res Kiel, D-24105 Kiel, Germany</t>
  </si>
  <si>
    <t>Consejo Superior de Investigaciones Cientificas (CSIC); CSIC - Centro Mediterraneo de Investigaciones Marinas y Ambientales (CMIMA); CSIC - Instituto de Ciencias del Mar (ICM); Helmholtz Association; GEOMAR Helmholtz Center for Ocean Research Kiel</t>
  </si>
  <si>
    <t>Llanillo, PJ (corresponding author), CSIC, LINCGlobal, Inst Ciencias Mar, Passeig Maritim Barceloneta 37-49, E-08003 Barcelona, Spain.</t>
  </si>
  <si>
    <t>llanillo@icm.csic.es</t>
  </si>
  <si>
    <t>Pelegrí, Josep L/L-5815-2014; Karstensen, Johannes/A-8534-2013; Llanillo, Pedro/L-5877-2015</t>
  </si>
  <si>
    <t>Pelegrí, Josep L/0000-0003-0661-2190; Karstensen, Johannes/0000-0001-5044-7079; Stramma, Lothar/0000-0003-1391-4808; Llanillo, Pedro/0000-0002-9308-501X</t>
  </si>
  <si>
    <t>JAE grant from Consejo Superior de Investigaciones Cientificas; European Social Fund; Laboratorio Internacional de Cambio Global CSIC/PUC; project TIC-MOC [CTM2011-28867]; Spanish Ministerio de Ciencia e Innovacion; GEOMAR Helmholtz Centre for Ocean Research Kiel; DFG [SFB 754]</t>
  </si>
  <si>
    <t>JAE grant from Consejo Superior de Investigaciones Cientificas; European Social Fund(European Social Fund (ESF)); Laboratorio Internacional de Cambio Global CSIC/PUC; project TIC-MOC; Spanish Ministerio de Ciencia e Innovacion(Instituto de Salud Carlos IIISpanish Government); GEOMAR Helmholtz Centre for Ocean Research Kiel(Helmholtz Association); DFG(German Research Foundation (DFG))</t>
  </si>
  <si>
    <t>We are very grateful to the anonymous reviewers who provided constructive and useful comments which certainly helped to improve this manuscript. P. J. Llanillo was supported through a JAE grant from Consejo Superior de Investigaciones Cientificas and the European Social Fund. Financial support was received through Laboratorio Internacional de Cambio Global CSIC/PUC (P. J. Llanillo and J. L. Pelegri), project TIC-MOC (CTM2011-28867) funded by the Spanish Ministerio de Ciencia e Innovacion (P. J. Llanillo and J. L. Pelegri), GEOMAR Helmholtz Centre for Ocean Research Kiel (J. Karstensen and L. Stramma) and DFG-supported project SFB 754 (www.sfb754.de) (J. Karstensen and L. Stramma).</t>
  </si>
  <si>
    <t>10.5194/bg-10-6339-2013</t>
  </si>
  <si>
    <t>245NN</t>
  </si>
  <si>
    <t>WOS:000326470500012</t>
  </si>
  <si>
    <t>Torstensson, A; Hedblom, M; Andersson, J; Andersson, MX; Wulff, A</t>
  </si>
  <si>
    <t>Torstensson, A.; Hedblom, M.; Andersson, J.; Andersson, M. X.; Wulff, A.</t>
  </si>
  <si>
    <t>Synergism between elevated pCO2 and temperature on the Antarctic sea ice diatom Nitzschia lecointei</t>
  </si>
  <si>
    <t>ISOTOPE FRACTIONATION; OCEAN ACIDIFICATION; CARBONIC-ACID; FATTY-ACIDS; CO2; SEAWATER; GROWTH; PHYTOPLANKTON; PERFORMANCE; PHYSIOLOGY</t>
  </si>
  <si>
    <t>Polar oceans are particularly susceptible to ocean acidification and warming. Diatoms play a significant role in sea ice biogeochemistry and provide an important food source to grazers in ice-covered oceans, especially during early spring. However, the ecophysiology of ice-living organisms has received little attention in terms of ocean acidification. In this study, the synergism between temperature and partial pressure of CO2 (pCO(2)) was investigated in relationship to the optimal growth temperature of the Antarctic sea ice diatom Nitzschia lecointei. Diatoms were kept in cultures at controlled levels of pCO(2) (similar to 390 and similar to 960 mu atm) and temperature (-1.8 and 2.5 degrees C) for 14 days. Synergism between temperature and pCO(2) was detected in growth rate and acyl lipid fatty acid (FA) content. Optimal growth rate was observed around 5 degrees C in a separate experiment. Carbon enrichment only promoted (6 %) growth rate closer to the optimal growth, but not at the control temperature (-1.8 degrees C). At -1.8 degrees C and at similar to 960 mu atm pCO(2), the total FA content was reduced relative to the similar to 390 mu atm treatment, although no difference between pCO(2) treatments was observed at 2.5 degrees C. A large proportion (97 %) of the total FAs comprised on average of polyunsaturated fatty acids (PUFA) at -1.8 degrees C. Cellular PUFA content was reduced at similar to 960 relative to similar to 390 mu atm pCO(2). Effects of carbon enrichment may be different depending on ocean warming scenario or season, e. g. reduced cellular FA content in response to elevated CO2 at low temperatures only, reflected as reduced food quality for higher trophic levels. Synergy between warming and acidification may be particularly important in polar areas since a narrow thermal window generally limits cold-water organisms.</t>
  </si>
  <si>
    <t>[Torstensson, A.; Hedblom, M.; Andersson, J.; Andersson, M. X.; Wulff, A.] Univ Gothenburg, Dept Biol &amp; Environm Sci, S-40530 Gothenburg, Sweden</t>
  </si>
  <si>
    <t>University of Gothenburg</t>
  </si>
  <si>
    <t>Torstensson, A (corresponding author), Univ Gothenburg, Dept Biol &amp; Environm Sci, POB 461, S-40530 Gothenburg, Sweden.</t>
  </si>
  <si>
    <t>anders.torstensson@bioenv.gu.se</t>
  </si>
  <si>
    <t>Andersson, Mats/E-7958-2010</t>
  </si>
  <si>
    <t>Andersson, Mats/0000-0003-4279-6572; Torstensson, Anders/0000-0002-8283-656X</t>
  </si>
  <si>
    <t>Swedish Research Council (VR) [2007-8365]; Lindhes Advokatbyra AB foundation</t>
  </si>
  <si>
    <t>Swedish Research Council (VR)(Swedish Research Council); Lindhes Advokatbyra AB foundation</t>
  </si>
  <si>
    <t>This study was financed by the Swedish Research Council (VR Project No. 2007-8365) and Lindhes Advokatbyra AB foundation. We would like to thank A. Al-Handal for species identification.</t>
  </si>
  <si>
    <t>10.5194/bg-10-6391-2013</t>
  </si>
  <si>
    <t>WOS:000326470500015</t>
  </si>
  <si>
    <t>Laufkötter, C; Vogt, M; Gruber, N</t>
  </si>
  <si>
    <t>Laufkoetter, C.; Vogt, M.; Gruber, N.</t>
  </si>
  <si>
    <t>Long-term trends in ocean plankton production and particle export between 1960-2006</t>
  </si>
  <si>
    <t>CLIMATE-CHANGE; PHYTOPLANKTON BIOMASS; NORTHEAST ATLANTIC; ECOSYSTEM MODEL; SOUTHERN-OCEAN; REGIME SHIFT; TEMPERATURE; VARIABILITY; BIOGEOCHEMISTRY; FLUXES</t>
  </si>
  <si>
    <t>We analyse long-term trends in marine primary and particle export production and their link to marine phytoplankton community composition for the period 1960-2006 using a hindcast simulation of the Biogeochemical Elemental Cycling Model coupled to the ocean component of the Community Climate System Model. In our simulation, global primary and export production decrease significantly over the last 50 yr, by 6.5% and 8% respectively. These changes are associated with an 8.5% decrease in small phytoplankton biomass and 5% decrease in zooplankton biomass. Diatom biomass decreases globally by 3 %, but with strong temporal and spatial variability. The strongest decreases in primary and export production occur in the western Pacific, where enhanced stratification leads to stronger nutrient limitation and a decrease in total phytoplankton. The concurrent decrease in diatom fraction and in zooplankton biomass causes a lower export efficiency in this region. Substantial phytoplankton composition changes also occur in the Southern Ocean and North Atlantic, although these are masked in part by a high degree of interannual variability. In these regions, stronger wind stress enhances mixing, reducing the biomass of small phytoplankton, while diatoms profit from higher nutrient inputs and lower grazing pressure. The relative fraction of diatoms correlates positively with the export efficiency (r = 0.8, p &lt; 0.05) in most areas except for the North Pacific and Antarctic Circumpolar Current, where the correlation is negative (r = -0.5, p &lt; 0.05). However, the long-term trends in global export efficiency are ultimately driven by the reduction in small phytoplankton and particularly decreases in coccolithophore biomass. The diagnosed trends point toward a substantial sensitivity of marine primary production and export to climatic variations and trends.</t>
  </si>
  <si>
    <t>[Laufkoetter, C.; Vogt, M.; Gruber, N.] ETH, Inst Biogeochem &amp; Pollutant Dynam, Zurich, Switzerland</t>
  </si>
  <si>
    <t>Swiss Federal Institutes of Technology Domain; ETH Zurich</t>
  </si>
  <si>
    <t>Laufkötter, C (corresponding author), ETH, Inst Biogeochem &amp; Pollutant Dynam, Zurich, Switzerland.</t>
  </si>
  <si>
    <t>charlotte.laufkoetter@env.ethz.ch</t>
  </si>
  <si>
    <t>Vogt, Meike/I-7457-2017; Gruber, Nicolas/B-7013-2009</t>
  </si>
  <si>
    <t>Gruber, Nicolas/0000-0002-2085-2310; Vogt, Meike/0000-0002-0608-1935; Laufkotter, Charlotte/0000-0001-5738-1121</t>
  </si>
  <si>
    <t>European Community [238366]; ETH Zurich</t>
  </si>
  <si>
    <t>European Community; ETH Zurich(ETH Zurich)</t>
  </si>
  <si>
    <t>The research leading to these results has received funding from the European Community's Seventh Framework Programme (FP7 2007-2013) under grant agreement no. [238366]. MV and NG acknowledge funding by ETH Zurich. We thank Xavier Giraud and Heather Graven for kindly providing us with the output from their model simulations and Laurent Bopp for constructive comments and discussions.</t>
  </si>
  <si>
    <t>10.5194/bg-10-7373-2013</t>
  </si>
  <si>
    <t>263NG</t>
  </si>
  <si>
    <t>WOS:000327814700041</t>
  </si>
  <si>
    <t>Foley, AM; Dalmonech, D; Friend, AD; Aires, F; Archibald, AT; Bartlein, P; Bopp, L; Chappellaz, J; Cox, P; Edwards, NR; Feulner, G; Friedlingstein, P; Harrison, SP; Hopcroft, PO; Jones, CD; Kolassa, J; Levine, JG; Prentice, IC; Pyle, J; Riveiros, NV; Wolff, EW; Zaehle, S</t>
  </si>
  <si>
    <t>Foley, A. M.; Dalmonech, D.; Friend, A. D.; Aires, F.; Archibald, A. T.; Bartlein, P.; Bopp, L.; Chappellaz, J.; Cox, P.; Edwards, N. R.; Feulner, G.; Friedlingstein, P.; Harrison, S. P.; Hopcroft, P. O.; Jones, C. D.; Kolassa, J.; Levine, J. G.; Prentice, I. C.; Pyle, J.; Riveiros, N. Vazquez; Wolff, E. W.; Zaehle, S.</t>
  </si>
  <si>
    <t>Evaluation of biospheric components in Earth system models using modern and palaeo-observations: the state-of-the-art</t>
  </si>
  <si>
    <t>LAST GLACIAL MAXIMUM; CARBON-NITROGEN INTERACTIONS; GLOBAL VEGETATION MODELS; CO2 ENRICHMENT FACE; ATMOSPHERIC CO2; CLIMATE-CHANGE; INTERMEDIATE COMPLEXITY; ANTARCTIC TEMPERATURE; PALAEOVEGETATION DATA; MARINE PRODUCTIVITY</t>
  </si>
  <si>
    <t>Earth system models (ESMs) are increasing in complexity by incorporating more processes than their predecessors, making them potentially important tools for studying the evolution of climate and associated biogeochemical cycles. However, their coupled behaviour has only recently been examined in any detail, and has yielded a very wide range of outcomes. For example, coupled climate-carbon cycle models that represent land-use change simulate total land carbon stores at 2100 that vary by as much as 600 Pg C, given the same emissions scenario. This large uncertainty is associated with differences in how key processes are simulated in different models, and illustrates the necessity of determining which models are most realistic using rigorous methods of model evaluation. Here we assess the state-of-the-art in evaluation of ESMs, with a particular emphasis on the simulation of the carbon cycle and associated biospheric processes. We examine some of the new advances and remaining uncertainties relating to (i) modern and palaeodata and (ii) metrics for evaluation. We note that the practice of averaging results from many models is unreliable and no substitute for proper evaluation of individual models. We discuss a range of strategies, such as the inclusion of pre-calibration, combined process- and system-level evaluation, and the use of emergent constraints, that can contribute to the development of more robust evaluation schemes. An increasingly data-rich environment offers more opportunities for model evaluation, but also presents a challenge. Improved knowledge of data uncertainties is still necessary to move the field of ESM evaluation away from a beauty contest towards the development of useful constraints on model outcomes.</t>
  </si>
  <si>
    <t>[Foley, A. M.; Friend, A. D.] Univ Cambridge, Dept Geog, Cambridge CB2 3EN, England; [Dalmonech, D.; Zaehle, S.] Max Planck Inst Biogeochem, Biogeochem Integrat Dept, D-07745 Jena, Germany; [Aires, F.; Kolassa, J.] Estellus, Paris, France; [Archibald, A. T.; Pyle, J.] Univ Cambridge, Ctr Atmospher Sci, Cambridge, England; [Bartlein, P.] Univ Oregon, Dept Geog, Eugene, OR 97403 USA; [Bopp, L.] Lab Sci Climat &amp; Environm, Gif Sur Yvette, France; [Chappellaz, J.] Univ Grenoble 1, Grenoble, France; [Chappellaz, J.] CNRS, Lab Glaciol &amp; Geophys Environm, Grenoble, France; [Cox, P.; Friedlingstein, P.] Univ Exeter, Coll Engn Math &amp; Phys Sci, Exeter, Devon, England; [Edwards, N. R.] Open Univ, Milton Keynes MK7 6AA, Bucks, England; [Feulner, G.] Potsdam Inst Climate Impact Res, Potsdam, Germany; [Harrison, S. P.] Macquarie Univ, Dept Biol Sci, Sydney, NSW 2109, Australia; [Harrison, S. P.] Univ Reading, Sch Human &amp; Environm Sci, Reading, Berks, England; [Hopcroft, P. O.] Univ Bristol, Sch Geog Sci, BRIDGE, Bristol, Avon, England; [Jones, C. D.] Met Off Hadley Ctr, Exeter, Devon, England; [Levine, J. G.; Wolff, E. W.] British Antarctic Survey, Cambridge CB3 0ET, England; [Prentice, I. C.] Imperial Coll, AXA Chair Biosphere &amp; Climate Impacts, Dept Life Sci, Silwood Pk, England; [Prentice, I. C.] Imperial Coll, Grantham Inst Climate Change, Silwood Pk, England; [Prentice, I. C.] Macquarie Univ, Dept Biol Sci, Sydney, NSW 2109, Australia; [Riveiros, N. Vazquez] Univ Cambridge, Dept Earth Sci, Godwin Lab Palaeoclimate Res, Cambridge CB2 3EQ, England</t>
  </si>
  <si>
    <t>University of Cambridge; Max Planck Society; University of Cambridge; University of Oregon; CEA; Centre National de la Recherche Scientifique (CNRS); Universite Paris Saclay; Communaute Universite Grenoble Alpes; Universite Grenoble Alpes (UGA); Communaute Universite Grenoble Alpes; Universite Grenoble Alpes (UGA); Centre National de la Recherche Scientifique (CNRS); University of Exeter; Open University - UK; Potsdam Institut fur Klimafolgenforschung; Macquarie University; University of Reading; University of Bristol; Met Office - UK; Hadley Centre; UK Research &amp; Innovation (UKRI); Natural Environment Research Council (NERC); NERC British Antarctic Survey; Imperial College London; Imperial College London; Macquarie University; University of Cambridge</t>
  </si>
  <si>
    <t>Foley, AM (corresponding author), Univ Cambridge, Dept Land Econ, Cambridge Ctr Climate Change Mitigat Res, Cambridge CB3 9EP, England.</t>
  </si>
  <si>
    <t>amf62@cam.ac.uk</t>
  </si>
  <si>
    <t>Friedlingstein, Pierre/H-2700-2014; Vazquez Riveiros, Natalia/C-1100-2012; Feulner, Georg/A-1933-2011; Dalmonech, Daniela/GOE-4861-2022; Chappellaz, Jérôme A./A-4872-2011; Hopcroft, Peter/O-5535-2019; Zaehle, Sönke/C-9528-2017; bopp, laurent/ABF-5302-2020; Jones, Chris/I-2983-2014; Levine, James/KCZ-2135-2024; Archibald, Alexander/GRR-5452-2022; Bartlein, Patrick J./E-4643-2011; Hopcroft, Peter/H-4957-2016; Wolff, Eric W/D-7925-2014; Cox, Peter/B-3299-2012</t>
  </si>
  <si>
    <t>Friedlingstein, Pierre/0000-0003-3309-4739; Vazquez Riveiros, Natalia/0000-0001-7513-153X; Feulner, Georg/0000-0001-9215-5517; Dalmonech, Daniela/0000-0002-1932-5011; Zaehle, Sönke/0000-0001-5602-7956; bopp, laurent/0000-0003-4732-4953; Jones, Chris/0000-0002-7141-9285; Levine, James/0000-0002-0932-9115; Bartlein, Patrick J./0000-0001-7657-5685; Hopcroft, Peter/0000-0003-3694-9181; Wolff, Eric W/0000-0002-5914-8531; Archibald, Alexander/0000-0001-9302-4180; Kolassa, Jana/0000-0001-6644-8789; Harrison, Sandy/0000-0001-5687-1903; Cox, Peter/0000-0002-0679-2219; Foley, Aideen/0000-0002-3310-9622; Friend, Andrew/0000-0002-9029-1045</t>
  </si>
  <si>
    <t>Marie Curie FP7 Research and Training Network GREENCYCLESII; European Community [238366]; Joint DECC/Defra Met Office Hadley Centre Climate Programme [GA01101]; FP7 grant [265170]; AXA Research Fund; Newton Trust; NERC [NE/I010912/1, bas0100024] Funding Source: UKRI; Natural Environment Research Council [bas0100024, NE/C001672/1, NE/I010912/1] Funding Source: researchfish</t>
  </si>
  <si>
    <t>Marie Curie FP7 Research and Training Network GREENCYCLESII(European Union (EU)); European Community; Joint DECC/Defra Met Office Hadley Centre Climate Programme; FP7 grant; AXA Research Fund(AXA Research Fund); Newton Trust; NERC(UK Research &amp; Innovation (UKRI)Natural Environment Research Council (NERC)); Natural Environment Research Council(UK Research &amp; Innovation (UKRI)Natural Environment Research Council (NERC))</t>
  </si>
  <si>
    <t>This paper emerged from the GREENCYCLESII mini-conference Evaluation of Earth system models using modern and palaeo-observations held at Clare College, Cambridge, UK, in September 2012. We would like to thank the Marie Curie FP7 Research and Training Network GREENCYCLESII for providing funding which made this meeting possible. Research leading to these results has received funding from the European Community's Seventh Framework Programme (FP7 2007-2013) under grant agreement no. 238366. The work of C. D. Jones was supported by the Joint DECC/Defra Met Office Hadley Centre Climate Programme (GA01101). N. R. Edwards acknowledges support from FP7 grant no. 265170 (ERMITAGE). N. Vazquez Riveiros acknowledges support from the AXA Research Fund and the Newton Trust.</t>
  </si>
  <si>
    <t>10.5194/bg-10-8305-2013</t>
  </si>
  <si>
    <t>280TV</t>
  </si>
  <si>
    <t>Green Published, Green Accepted, Green Submitted, gold</t>
  </si>
  <si>
    <t>WOS:000329054600032</t>
  </si>
  <si>
    <t>Harrison, MF; Anderson, PJ; Miller, AD; O'Malley, KA; Richert, ML; Johnson, JB; Johnson, BD</t>
  </si>
  <si>
    <t>Harrison, Michael F.; Anderson, Paul J.; Miller, Andrew D.; O'Malley, Kathy A.; Richert, Maile L.; Johnson, Jacob B.; Johnson, Bruce D.</t>
  </si>
  <si>
    <t>Physiological variables associated with the development of acute mountain sickness at the South Pole</t>
  </si>
  <si>
    <t>BMJ OPEN</t>
  </si>
  <si>
    <t>ALTITUDE MEDICINE; OCCUPATIONAL &amp; INDUSTRIAL MEDICINE; PREVENTIVE MEDICINE; PUBLIC HEALTH</t>
  </si>
  <si>
    <t>HIGH-ALTITUDE; DOPAMINE; EOSINOPHILS; PROPHYLAXIS; PREVENTION; GUIDELINES; MECHANISMS; EXPRESSION; HYPOXIA; PLASMA</t>
  </si>
  <si>
    <t>Exposure to altitudes &gt;2500m can result in acute mountain sickness (AMS), a mild and usually self-limiting condition. Research has attempted to identify factors associated with developing AMS without controlling important factors related to the ascent or collecting a comprehensive set of variables. Objectives The Antarctic Study of Altitude Physiology (ASAP) investigated variables associated with the development of AMS in adults experiencing rapid passive transport to altitude by airplane. Design Our prospective observational trial collected data, including personal history, anthropometrics, vital signs, blood samples and pulmonary function, at sea level and at altitude. Statistical analysis utilised independent sample t tests to investigate between-group differences (p&lt;0.05) and a forward, step-wise binary logisitic regression analysis was performed. Participants Of 248 eligible ASAP participants, those who did not use acetazolamide (N=98) were included in the present analysis. Primary outcome measures The diagnosis of AMS using the Lake Louise Symptom Score. Results Analysis of participants not using acetazolamide (n=90) found 30 participants developed AMS and 60 participants did not. Estimated plasma volume decreased significantly at altitude (p=0.025) in the AMS group as compared with the No AMS group while body weight did not change (p=0.125). Serum sodium (p=0.045) and low-density lipoprotein (LDL) (p=0.049) levels were higher in the No AMS group. A logistic regression analysis emphasised the contributions of LDL and eosinophil levels in the development of AMS. Conclusions These results suggest that the body water regulation and inflammation are key factors in AMS development when all other factors such as the level of physical exertion during ascent, the rate and magnitude of ascent and the use of acetazolamide are controlled.</t>
  </si>
  <si>
    <t>[Harrison, Michael F.; Anderson, Paul J.; Miller, Andrew D.; O'Malley, Kathy A.; Richert, Maile L.; Johnson, Jacob B.; Johnson, Bruce D.] Mayo Clin, Div Cardiovasc Dis, Rochester, MN 55905 USA; [Harrison, Michael F.] Henry Ford Hosp, Dept Emergency Med, Detroit, MI 48202 USA</t>
  </si>
  <si>
    <t>Mayo Clinic; Henry Ford Health System; Henry Ford Hospital</t>
  </si>
  <si>
    <t>Johnson, BD (corresponding author), Mayo Clin, Div Cardiovasc Dis, Rochester, MN 55905 USA.</t>
  </si>
  <si>
    <t>johnson.bruce@mayo.edu</t>
  </si>
  <si>
    <t>Bin, Alex100/B-2729-2016; Harrison, Michael/GYD-8608-2022</t>
  </si>
  <si>
    <t>National Science Foundation [B-179-M]; Mayo Clinic Center for Translational Science Activity (CTSA); Clinical Research Unit [1 UL1 RR024150]</t>
  </si>
  <si>
    <t>National Science Foundation(National Science Foundation (NSF)); Mayo Clinic Center for Translational Science Activity (CTSA); Clinical Research Unit</t>
  </si>
  <si>
    <t>National Science Foundation (B-179-M) and Mayo Clinic Center for Translational Science Activity (CTSA), Clinical Research Unit, Grant Number 1 UL1 RR024150.</t>
  </si>
  <si>
    <t>BMJ PUBLISHING GROUP</t>
  </si>
  <si>
    <t>BRITISH MED ASSOC HOUSE, TAVISTOCK SQUARE, LONDON WC1H 9JR, ENGLAND</t>
  </si>
  <si>
    <t>2044-6055</t>
  </si>
  <si>
    <t>BMJ Open</t>
  </si>
  <si>
    <t>e003064</t>
  </si>
  <si>
    <t>10.1136/bmjopen-2013-003064</t>
  </si>
  <si>
    <t>Medicine, General &amp; Internal</t>
  </si>
  <si>
    <t>General &amp; Internal Medicine</t>
  </si>
  <si>
    <t>291CO</t>
  </si>
  <si>
    <t>WOS:000329805500045</t>
  </si>
  <si>
    <t>de la Torre, A; Alexander, P; Llamedo, P; Hierro, R; Pessano, H; Odiard, A</t>
  </si>
  <si>
    <t>de la Torre, Alejandro; Alexander, P.; Llamedo, P.; Hierro, R.; Pessano, H.; Odiard, A.</t>
  </si>
  <si>
    <t>SOME RECENT APPLICATIONS OF RADIO OCCULTATIONTECHNIQUE IN ATMOSPHERIC PROCESES</t>
  </si>
  <si>
    <t>BOLETIN GEOGRAFICO</t>
  </si>
  <si>
    <t>radio occultation; atmospheric processes; water vapor; energy</t>
  </si>
  <si>
    <t>In the last years, the use of radio occultation (RO) technique to observe the terrestrial atmosphere and the climate takes advantage of the occultation of the Sun, the Moon, the stars and principally of artificial satellites of low height (LEO). In the latter case, crossed signs between LEO and GPS satellites are used. The application of RO's technology using transmitters of the GPS system in high orbits and recipients on board of low orbit satellites, has provided profiles of atmospheric refractivity very precise. The basic idea of a RO is to observe how waves emitted by a GPS are propagated in the atmosphere. The ray trajectory associated to a radio wave between a GPS and a LEO, while these are hiding themselves mutually due to the interposition of the Earth, is deviated due to refractivity gradients. The ray bending angle is obtained from a change in the phase (Doppler shift) of the signal received by the LEO. Assuming spherical symmetry, the deviation information may be inverted by an Abel transformation to obtain a vertical profile of the index of refraction. From atmospheric profiles of refractivity and an atmospheric model, several parameters are obtained: from temperature (T), pressure, geopotential height and water vapor to minor species as aerosols, cloud liquid water and ionospheric electron density. The enormous advantage offered by the coverage in the whole planet, above the continental and oceanic territories, the 1K T resolution, the long term stability and mainly the absence of any restriction imposed by climatic conditions, makes the GPS RO technique unique among different remote sensing atmospheric systems. Up to now, hundreds of thousands of soundings have been processed, from the first satellites to recent (SAC-C, CHAMP, GRACE, COSMIC, TerraSAR-X, MetOp). In the present work, examples of global and regional water vapor and atmospheric wave energy distributions will be shown. It will be put on special emphasis on the mountainous regions of the Andes Range at middle latitudes and the Antarctic Peninsula and case studies will be analyzed. This analysis will be complemented by WRF model simulations and with measured T profiles in the regions of interest. In particular it will be shown: i) the spatial distribution of stationary gravity waves, ii) their propagation in the lower and middle atmospheres, and iii) the possible relevance of mountain waves as a triggering mechanism of seep convection processes with hail production. Key words: satellite radio occultation, gravity waves.</t>
  </si>
  <si>
    <t>[de la Torre, Alejandro; Pessano, H.; Odiard, A.] Agr Contingencias Climat Subsecretaria Agr, Mendoza, Argentina; [de la Torre, Alejandro; Alexander, P.; Llamedo, P.; Hierro, R.] Consejo Nacl Invest Cient &amp; Tecn, Buenos Aires, DF, Argentina; [de la Torre, Alejandro; Llamedo, P.; Hierro, R.; Pessano, H.] Univ Austral, Fac Ingn, Buenos Aires, DF, Argentina; [Alexander, P.] Univ Buenos Aires, FCEN, Buenos Aires, DF, Argentina; [Pessano, H.] Univ Tecnol Nacl, Fac Ingn, San Rafael, CA USA</t>
  </si>
  <si>
    <t>Consejo Nacional de Investigaciones Cientificas y Tecnicas (CONICET); Austral University; University of Buenos Aires</t>
  </si>
  <si>
    <t>de la Torre, A (corresponding author), Agr Contingencias Climat Subsecretaria Agr, Mendoza, Argentina.</t>
  </si>
  <si>
    <t>adelatorre@austral.edu.ar</t>
  </si>
  <si>
    <t>UNIV NAC COMAHUE, DEPT GEOGRAFIA</t>
  </si>
  <si>
    <t>NEUQUEN</t>
  </si>
  <si>
    <t>AVE ARGENTINA 1400, NEUQUEN, 8300, ARGENTINA</t>
  </si>
  <si>
    <t>0326-1735</t>
  </si>
  <si>
    <t>2313-903X</t>
  </si>
  <si>
    <t>BOL GEOGR</t>
  </si>
  <si>
    <t>Bol. Geogr.</t>
  </si>
  <si>
    <t>Geography</t>
  </si>
  <si>
    <t>V7Y1Y</t>
  </si>
  <si>
    <t>WOS:000421398500002</t>
  </si>
  <si>
    <t>Yañez, AJ; Godoy, MG; Gallardo, A; Avendaño-Herrera, R</t>
  </si>
  <si>
    <t>Yanez, A. J.; Godoy, M. G.; Gallardo, A.; Avendano-Herrera, R.</t>
  </si>
  <si>
    <t>Identification of Streptococcus phocae strains associated with mortality of Atlantic salmon (Salmo salar) farmed at low temperature in Chile</t>
  </si>
  <si>
    <t>BULLETIN OF THE EUROPEAN ASSOCIATION OF FISH PATHOLOGISTS</t>
  </si>
  <si>
    <t>SEALS HALICHOERUS-GRYPUS; SP-NOV; FISCHERI; LOGEI</t>
  </si>
  <si>
    <t>This work describes the identification of the causal agent of disease outbreaks that occurred in Atlantic salmon (700-750g) cage-cultured at water temperature of 5 +/- 0.5 degrees C M a farm located around the city of Puerto Natales in the Antarctic region of Chile, reaching a cumulative mortality lower than 1% of the affected population. Infections most often were characterized by exophthalmia with accumulation of purulent and haemorrhagic fluid around eyes and ventral petechial haemorrhages. Abundant pure growth cultures from kidney samples and mixed cultures from external lesions were obtained. Using biochemical, sequencing techniques six different isolates were studied and two bacterial species were identified, corresponding to Streptococcus phocae and Aliivibrio sp. Challenge tests by intraperitoneal injection showed that a representative S. phocae isolate 151 is pathogenic for Atlantic salmon. No mortalities or morphological alterations were observed in fish injected with Aliivibrio sp. (isolate 222). Infections of Atlantic salmon with S. phocae have been restricted to temperatures higher than 15 degrees C; however our data represent the first report of S. phocae associated with mortality of salmonids farmed in cold water (5 degrees C). Additional studies are necessary to evaluate the risk for salmonid cultured below 10 degrees C, particularly because the prevalence of infections by S. phocae could be underrated due to their possible confusion with other bacterial infections.</t>
  </si>
  <si>
    <t>[Yanez, A. J.] Univ Austral Chile, Fac Ciencias, Inst Bioquim &amp; Microbiol, Valdivia, Chile; [Yanez, A. J.; Avendano-Herrera, R.] Interdisciplinary Ctr Aquaculture Res INCAR, Concepcion, Chile; [Godoy, M. G.] Lab ETECMA, Puerto Montt, Chile; [Gallardo, A.] Natl Fisheries Serv Sernapesca, Valparaiso, Chile; [Avendano-Herrera, R.] Univ Andres Bello, Fac Ciencias Biol, Lab Patol Organismos Acuat &amp; Biotecnol Acuicola, Vina Del Mar, Chile</t>
  </si>
  <si>
    <t>Universidad Austral de Chile; Universidad Andres Bello</t>
  </si>
  <si>
    <t>Avendaño-Herrera, R (corresponding author), Interdisciplinary Ctr Aquaculture Res INCAR, Edmundo Larenas S-N,POB 160-C, Concepcion, Chile.</t>
  </si>
  <si>
    <t>ravendano@unab.cl</t>
  </si>
  <si>
    <t>Avendaño-Herrera, Ruben/H-2368-2015; Godoy, Marcos/Q-9774-2019</t>
  </si>
  <si>
    <t>Godoy, Marcos/0000-0003-0523-7536</t>
  </si>
  <si>
    <t>Comision Nacional de Investigacion Cientifica y Tecnologica (CONICYT, Chile) [FONDECYT 1110219]</t>
  </si>
  <si>
    <t>Comision Nacional de Investigacion Cientifica y Tecnologica (CONICYT, Chile)(Comision Nacional de Investigacion Cientifica y Tecnologica (CONICYT))</t>
  </si>
  <si>
    <t>Funding for this study was provided in part by Grant FONDECYT 1110219 from the Comision Nacional de Investigacion Cientifica y Tecnologica (CONICYT, Chile). R. A-H acknowledges to CONICYT/FONDAP/15110027. The authors also acknowledge the anonymous reviewers, who provided many useful suggestions that improved this manuscript.</t>
  </si>
  <si>
    <t>EUR ASSOC FISH PATHOLOGISTS</t>
  </si>
  <si>
    <t>ABERDEEN</t>
  </si>
  <si>
    <t>C/O DR DAVID BRUNO, MARINE LABORATORY, PO BOX 101, VICTORIA RD, ABERDEEN AB11 9DB, SCOTLAND</t>
  </si>
  <si>
    <t>0108-0288</t>
  </si>
  <si>
    <t>B EUR ASSOC FISH PAT</t>
  </si>
  <si>
    <t>Bull. Eur. Assoc. Fish Pathol.</t>
  </si>
  <si>
    <t>142UT</t>
  </si>
  <si>
    <t>WOS:000318823800004</t>
  </si>
  <si>
    <t>Rodrigo, JS; Buchlin, JM; van Beeck, J; Lenaerts, JTM; van den Broeke, MR</t>
  </si>
  <si>
    <t>Sanz Rodrigo, Javier; Buchlin, Jean-Marie; van Beeck, Jeroen; Lenaerts, Jan T. M.; van den Broeke, Michiel R.</t>
  </si>
  <si>
    <t>Evaluation of the antarctic surface wind climate from ERA reanalyses and RACMO2/ANT simulations based on automatic weather stations</t>
  </si>
  <si>
    <t>Antarctica; ERA-40; ERA-Interim; RACMO2/ANT; Katabatic; Weibull</t>
  </si>
  <si>
    <t>MASS-BALANCE; ADELIE-LAND; FIELD; REEXAMINATION; PERFORMANCE; MOMENTUM; MODEL</t>
  </si>
  <si>
    <t>A continental scale evaluation of Antarctic surface winds is presented from global ERA-40 and ERA-Interim reanalyses and RACMO2/ANT regional climate model at 55 and 27 km horizontal resolution, based on a comparison with observational data from 115 automatic weather stations (AWS). The Antarctic surface wind climate can be classified based on the Weibull shape factor k (w) . Very high values (k (w) &gt; 3) are found in the interior plateaus, typical of very uniform katabatic-dominated winds with high directional constancy. In the coast and all over the Antarctic Peninsula the shape factors are similar to the ones found in mid-latitudes (k (w) &lt; 3) typical of synoptically dominated wind climates. The Weibull shape parameter is systematically overpredicted by ERA reanalyses. This is partly corrected by RACMO2/ANT simulations which introduce more wind speed variability in complex terrain areas. A significant improvement is observed in the performance of ERA-Interim over ERA-40, with an overall decrease of 14 % in normalized mean absolute error. In escarpment and coastal areas, where the terrain gets rugged and katabatic winds are further intensified in confluence zones, ERA-Interim bias can be as high as 10 m s(-1). These large deviations are partly corrected by the regional climate model. Given that RACMO2/ANT is an independent simulation of the near-surface wind speed climate, as it is not driven by observations, it compares very well to the ERA-Interim and AWS-115 datasets.</t>
  </si>
  <si>
    <t>[Sanz Rodrigo, Javier] Natl Renewable Energy Ctr Spain CENER, Sarriguren, Spain; [Sanz Rodrigo, Javier; Buchlin, Jean-Marie; van Beeck, Jeroen] von Karman Inst Fluid Dynam VKI, Rhode St Genese, Belgium; [Lenaerts, Jan T. M.; van den Broeke, Michiel R.] Univ Utrecht, Inst Marine &amp; Atmospher Res IMAU, Utrecht, Netherlands</t>
  </si>
  <si>
    <t>Utrecht University</t>
  </si>
  <si>
    <t>Rodrigo, JS (corresponding author), Natl Renewable Energy Ctr Spain CENER, Sarriguren, Spain.</t>
  </si>
  <si>
    <t>jsrodrigo@cener.com</t>
  </si>
  <si>
    <t>Van den Broeke, Michiel R./F-7867-2011; Lenaerts, Jan/D-9423-2012; Sanz Rodrigo, Javier/P-9150-2017</t>
  </si>
  <si>
    <t>Van den Broeke, Michiel R./0000-0003-4662-7565; Lenaerts, Jan/0000-0003-4309-4011; Sanz Rodrigo, Javier/0000-0003-0291-6429</t>
  </si>
  <si>
    <t>10.1007/s00382-012-1396-y</t>
  </si>
  <si>
    <t>063WQ</t>
  </si>
  <si>
    <t>WOS:000313033100021</t>
  </si>
  <si>
    <t>Goldner, A; Huber, M; Caballero, R</t>
  </si>
  <si>
    <t>Goldner, A.; Huber, M.; Caballero, R.</t>
  </si>
  <si>
    <t>Does Antarctic glaciation cool the world?</t>
  </si>
  <si>
    <t>EOCENE-OLIGOCENE TRANSITION; CLIMATE SENSITIVITY; ICE-SHEET; SOUTHERN-OCEAN; CALCITE COMPENSATION; CARBON-DIOXIDE; HEAT-TRANSPORT; LATE PLIOCENE; GREENHOUSE; GREENLAND</t>
  </si>
  <si>
    <t>In this study, we compare the simulated climatic impact of adding an Antarctic ice sheet (AIS) to the greenhouse world of the Eocene and removing the AIS from the modern world. The modern global mean surface temperature anomaly (Delta T) induced by Antarctic Glaciation depends on the background CO2 levels and ranges from -1.22 to -0.18 K. The Eocene Delta T is nearly constant at similar to-0.25 K. We calculate an climate sensitivity parameter S[Antarctica] which we define as Delta T divided by the change in effective radiative forcing (Delta Q(Antarctica)) which includes some fast feedbacks imposed by prescribing the glacial properties of Antarctica. The main difference between the modern and Eocene responses is that a negative cloud feedback warms much of the Earth's surface as a large AIS is introduced in the Eocene, whereas this cloud feedback is weakly positive and acts in combination with positive sea-ice feedbacks to enhance cooling introduced by adding an ice sheet in the modern. Because of the importance of cloud feedbacks in determining the final temperature sensitivity of the AIS, our results are likely to be model dependent. Nevertheless, these model results suggest that the effective radiative forcing and feedbacks induced by the AIS did not significantly decrease global mean surface temperature across the Eocene-Oligocene transition (EOT -34.1 to 33.6 Ma) and that other factors like declining atmospheric CO2 are more important for cooling across the EOT. The results illustrate that the efficacy of AIS forcing in the Eocene is not necessarily close to one and is likely to be model and state dependent. This implies that using EOT paleoclimate proxy data by itself to estimate climate sensitivity for future climate prediction requires climate models and consequently these estimates will have large uncertainty, largely due to uncertainties in modelling low clouds.</t>
  </si>
  <si>
    <t>[Goldner, A.; Huber, M.] Purdue Univ, W Lafayette, IN 47907 USA; [Caballero, R.] Stockholm Univ, Dept Meteorol MISU, S-10691 Stockholm, Sweden; [Caballero, R.] Stockholm Univ, Bert Bolin Ctr Climate Res, S-10691 Stockholm, Sweden; [Huber, M.] Purdue Univ, Purdue Climate Change Res Ctr, W Lafayette, IN 47907 USA</t>
  </si>
  <si>
    <t>Purdue University System; Purdue University; Stockholm University; Stockholm University; Purdue University System; Purdue University</t>
  </si>
  <si>
    <t>Goldner, A (corresponding author), Purdue Univ, W Lafayette, IN 47907 USA.</t>
  </si>
  <si>
    <t>agoldner@purdue.edu</t>
  </si>
  <si>
    <t>Huber, Matthew/A-7677-2008; Caballero, Rodrigo/E-4637-2010</t>
  </si>
  <si>
    <t>Huber, Matthew/0000-0002-2771-9977; Caballero, Rodrigo/0000-0002-5507-9209</t>
  </si>
  <si>
    <t>Computational Sciences and Engineering (CSAMP;E) program through GAANN fellowship; NSF P2C2 [0902882, 0902780]; Directorate For Geosciences; Div Atmospheric &amp; Geospace Sciences [0902780] Funding Source: National Science Foundation; Directorate For Geosciences; Division Of Ocean Sciences [0902882] Funding Source: National Science Foundation</t>
  </si>
  <si>
    <t>Computational Sciences and Engineering (CSAMP;E) program through GAANN fellowship; NSF P2C2(National Science Foundation (NSF)NSF - Directorate for Geosciences (GEO)); Directorate For Geosciences; Div Atmospheric &amp; Geospace Sciences(National Science Foundation (NSF)NSF - Directorate for Geosciences (GEO)); Directorate For Geosciences; Division Of Ocean Sciences(National Science Foundation (NSF)NSF - Directorate for Geosciences (GEO))</t>
  </si>
  <si>
    <t>We acknowledge support of the Computational Sciences and Engineering (CS&amp;E) program which supported the first author through a GAANN fellowship. The authors would like to thank two anonymous reviewers, Dorian Abbot and Jonathan Buzan for helpful discussions and comments during the preparation of the manuscript. The authors would also like to thank Christine Shields and the other paleoclimate working group members at NCAR who helped with some of the implementation of the Eocene simulations. In addition, parts of this research were funded by NSF P2C2 grants 0902882 and 0902780. This is PCCRC paper number 1219.</t>
  </si>
  <si>
    <t>10.5194/cp-9-173-2013</t>
  </si>
  <si>
    <t>WOS:000316961900011</t>
  </si>
  <si>
    <t>Kent, DV; Muttoni, G</t>
  </si>
  <si>
    <t>Kent, D. V.; Muttoni, G.</t>
  </si>
  <si>
    <t>Modulation of Late Cretaceous and Cenozoic climate by variable drawdown of atmospheric pCO2 from weathering of basaltic provinces on continents drifting through the equatorial humid belt</t>
  </si>
  <si>
    <t>ATLANTIC MAGMATIC PROVINCE; CARBON-ISOTOPE EXCURSIONS; INDIA-ASIA COLLISION; NORTH-ATLANTIC; PALEOMAGNETIC DATA; EURASIA COLLISION; SNOWBALL EARTH; GLOBAL CLIMATE; VOLCANIC-ROCKS; REVISED MODEL</t>
  </si>
  <si>
    <t>The small reservoir of carbon dioxide in the atmosphere (pCO(2)) that modulates climate through the greenhouse effect reflects a delicate balance between large fluxes of sources and sinks. The major long-term source of CO2 is global outgassing from sea-floor spreading, subduction, hotspot activity, and metamorphism; the ultimate sink is through weathering of continental silicates and deposition of carbonates. Most carbon cycle models are driven by changes in the source flux scaled to variable rates of ocean floor production, but ocean floor production may not be distinguishable from being steady since 180 Ma. We evaluate potential changes in sources and sinks of CO2 for the past 120 Ma in a paleogeographic context. Our new calculations show that decarbonation of pelagic sediments by Tethyan subduction contributed only modestly to generally high pCO(2) levels from the Late Cretaceous until the early Eocene, and thus shutdown of this CO2 source with the collision of India and Asia at the early Eocene climate optimum at around 50 Ma was inadequate to account for the large and prolonged decrease in pCO(2) that eventually allowed the growth of significant Antarctic ice sheets by around 34 Ma. Instead, variation in area of continental basalt terranes in the equatorial humid belt (5 degrees S-5 degrees N) seems to be a dominant factor controlling how much CO2 is retained in the atmosphere via the silicate weathering feedback. The arrival of the highly weatherable Deccan Traps in the equatorial humid belt at around 50 Ma was decisive in initiating the long-term slide to lower atmospheric pCO(2), which was pushed further down by the emplacement of the 30 Ma Ethiopian Traps near the equator and the southerly tectonic extrusion of SE Asia, an arc terrane that presently is estimated to account for 1/4 of CO2 consumption from all basaltic provinces that account for similar to 1/3 of the total CO2 consumption by continental silicate weathering (Dessert et al., 2003). A negative climate-feedback mechanism that (usually) inhibits the complete collapse of atmospheric pCO(2) is the accelerating formation of thick cation-deficient soils that retard chemical weathering of the underlying bedrock. Nevertheless, equatorial climate seems to be relatively insensitive to pCO(2) greenhouse forcing and thus with availability of some rejuvenating relief as in arc terranes or thick basaltic provinces, silicate weathering in this venue is not subject to a strong negative feedback, providing an avenue for ice ages. The safety valve that prevents excessive atmospheric pCO(2) levels is the triggering of silicate weathering of continental areas and basaltic provinces in the temperate humid belt. Excess organic carbon burial seems to have played a negligible role in atmospheric pCO(2) over the Late Cretaceous and Cenozoic.</t>
  </si>
  <si>
    <t>[Kent, D. V.] Rutgers State Univ, Dept Earth &amp; Planetary Sci, Piscataway, NJ 08854 USA; [Kent, D. V.] Columbia Univ, Lamont Doherty Earth Observ, Palisades, NY 10964 USA; [Muttoni, G.] Univ Milan, Dept Earth Sci, I-20133 Milan, Italy; [Muttoni, G.] ALP, I-12016 Peveragno, CN, Italy</t>
  </si>
  <si>
    <t>Rutgers University System; Rutgers University New Brunswick; Columbia University; University of Milan</t>
  </si>
  <si>
    <t>Kent, DV (corresponding author), Rutgers State Univ, Dept Earth &amp; Planetary Sci, Piscataway, NJ 08854 USA.</t>
  </si>
  <si>
    <t>dvk@rutgers.edu</t>
  </si>
  <si>
    <t>Kent, Dennis/0000-0002-7677-2993; Muttoni, Giovanni/0000-0001-7908-1664</t>
  </si>
  <si>
    <t>Directorate For Geosciences; Division Of Earth Sciences [0958867] Funding Source: National Science Foundation</t>
  </si>
  <si>
    <t>Directorate For Geosciences; Division Of Earth Sciences(National Science Foundation (NSF)NSF - Directorate for Geosciences (GEO))</t>
  </si>
  <si>
    <t>10.5194/cp-9-525-2013</t>
  </si>
  <si>
    <t>WOS:000317009700002</t>
  </si>
  <si>
    <t>Vallelonga, P; Barbante, C; Cozzi, G; Gabrieli, J; Schüpbach, S; Spolaor, A; Turetta, C</t>
  </si>
  <si>
    <t>Vallelonga, P.; Barbante, C.; Cozzi, G.; Gabrieli, J.; Schuepbach, S.; Spolaor, A.; Turetta, C.</t>
  </si>
  <si>
    <t>Iron fluxes to Talos Dome, Antarctica, over the past 200 kyr</t>
  </si>
  <si>
    <t>EAST ANTARCTICA; ICE CORE; SOUTHERN-OCEAN; AEOLIAN DUST; ATLANTIC SECTOR; VICTORIA LAND; AGE SCALE; VARIABILITY; CLIMATE; EXTENT</t>
  </si>
  <si>
    <t>Atmospheric fluxes of iron (Fe) over the past 200 kyr are reported for the coastal Antarctic Talos Dome ice core, based on acid leachable Fe concentrations. Fluxes of Fe to Talos Dome were consistently greater than those at Dome C, with the greatest difference observed during interglacial climates. We observe different Fe flux trends at Dome C and Talos Dome during the deglaciation and early Holocene, attributed to a combination of deglacial activation of dust sources local to Talos Dome and the reorganisation of atmospheric transport pathways with the retreat of the Ross Sea ice shelf. This supports similar findings based on dust particle sizes and fluxes and Rare Earth Element fluxes. We show that Ca and Fe should not be used as quantitative proxies for mineral dust, as they all demonstrate different deglacial trends at Talos Dome and Dome C. Considering that a 20 ppmv decrease in atmospheric CO2 at the coldest part of the last glacial maximum occurs contemporaneously with the period of greatest Fe and dust flux to Antarctica, we confirm that the maximum contribution of aeolian dust deposition to Southern Ocean sequestration of atmospheric CO2 is approximately 20 ppmv.</t>
  </si>
  <si>
    <t>[Vallelonga, P.] Univ Copenhagen, Niels Bohr Inst, Ctr Ice &amp; Climate, DK-2100 Copenhagen, Denmark; [Vallelonga, P.; Barbante, C.; Cozzi, G.; Gabrieli, J.; Turetta, C.] Univ Venice, CNR, Inst Dynam Environm Proc IDPA, I-30123 Venice, Italy; [Barbante, C.; Schuepbach, S.; Spolaor, A.] Univ Ca Foscari Venice, Dept Environm Sci Informat &amp; Stat, I-30123 Venice, Italy; [Barbante, C.] Accademia Nazl Lincei, Ctr B Segre, I-00165 Rome, Italy; [Schuepbach, S.] Univ Bern, Inst Phys, CH-3012 Bern, Switzerland</t>
  </si>
  <si>
    <t>University of Copenhagen; Niels Bohr Institute; Consiglio Nazionale delle Ricerche (CNR); Istituto per la Dinamica dei Processi Ambientali (IDPA-CNR); Universita Ca Foscari Venezia; Universita Ca Foscari Venezia; University of Bern</t>
  </si>
  <si>
    <t>Vallelonga, P (corresponding author), Univ Copenhagen, Niels Bohr Inst, Ctr Ice &amp; Climate, Juliane Maries Vej 30, DK-2100 Copenhagen, Denmark.</t>
  </si>
  <si>
    <t>ptravis@nbi.ku.dk</t>
  </si>
  <si>
    <t>Barbante, Carlo/B-3195-2011; IPO, PAGES/JXY-7546-2024; Cozzi, Giulio/R-4554-2019; Spolaor, Andrea/AAX-8808-2020; Turetta, Clara/O-2849-2015; Vallelonga, Paul/I-9650-2016</t>
  </si>
  <si>
    <t>Cozzi, Giulio/0000-0001-8796-4176; Spolaor, Andrea/0000-0001-8635-9193; Turetta, Clara/0000-0003-3130-2901; Barbante, Carlo/0000-0003-4177-2288; Vallelonga, Paul/0000-0003-1055-7235; Jacopo, Gabrieli/0009-0001-7005-7390</t>
  </si>
  <si>
    <t>We thank Samuel Albani, Barbara Delmonte, Paolo Gabrielli and Anders Svensson for helpful discussions which improved the manuscript. PV thanks M. Pascolini for assistance with the manuscript preparation. This work was supported by European Union Marie Curie IIF Fellowship (MIF1-CT-2006-039529, TDICOSO) within the VII Framework Programme. The Talos Dome Ice Core Project (TALDICE), a joint European programme, is funded by national contributions from Italy, France, Germany, Switzerland and the United Kingdom. Primary logistical support was provided by PNRA at Talos Dome. This is TALDICE publication no. 30.</t>
  </si>
  <si>
    <t>10.5194/cp-9-597-2013</t>
  </si>
  <si>
    <t>WOS:000317009700006</t>
  </si>
  <si>
    <t>Stone, EJ; Lunt, DJ; Annan, JD; Hargreaves, JC</t>
  </si>
  <si>
    <t>Stone, E. J.; Lunt, D. J.; Annan, J. D.; Hargreaves, J. C.</t>
  </si>
  <si>
    <t>Quantification of the Greenland ice sheet contribution to Last Interglacial sea level rise</t>
  </si>
  <si>
    <t>BED DATA SET; CORE PROJECT; OXYGEN-ISOTOPE; DELTA O-18; CLIMATE; MODEL; SIMULATION; INSOLATION; HISTORY; RECORD</t>
  </si>
  <si>
    <t>During the Last Interglacial period (similar to 130-115 thousand years ago) the Arctic climate was warmer than today, and global mean sea level was probably more than 6.6m higher. However, there are large discrepancies in the estimated contributions to this sea level change from various sources (the Greenland and Antarctic ice sheets and smaller ice caps). Here, we determine probabilistically the likely contribution of Greenland ice sheet melt to Last Interglacial sea level rise, taking into account ice sheet model parametric uncertainty. We perform an ensemble of 500 Glimmer ice sheet model simulations forced with climatologies from the climate model HadCM3, and constrain the results with palaeo-data from Greenland ice cores. Our results suggest a 90% probability that Greenland ice melt contributed at least 0.6 m, but less than 10% probability that it exceeded 3.5 m, a value which is lower than several recent estimates. Many of these previous estimates, however, did not include a full general circulation climate model that can capture atmospheric circulation and precipitation changes in response to changes in insolation forcing and orographic height. Our combined modelling and palaeodata approach suggests that the Greenland ice sheet is less sensitive to orbital forcing than previously thought, and it implicates Antarctic melt as providing a substantial contribution to Last Interglacial sea level rise. Future work should assess additional uncertainty due to inclusion of basal sliding and the direct effect of insolation on surface melt. In addition, the effect of uncertainty arising from climate model structural design should be taken into account by performing a multi-climate-model comparison.</t>
  </si>
  <si>
    <t>[Stone, E. J.; Lunt, D. J.] Univ Bristol, Sch Geog Sci, BRIDGE, Bristol BS8 1SS, Avon, England; [Annan, J. D.; Hargreaves, J. C.] JAMSTEC, Res Inst Global Change, Yokohama, Kanagawa, Japan</t>
  </si>
  <si>
    <t>University of Bristol; Japan Agency for Marine-Earth Science &amp; Technology (JAMSTEC)</t>
  </si>
  <si>
    <t>Stone, EJ (corresponding author), Univ Bristol, Sch Geog Sci, BRIDGE, Bristol BS8 1SS, Avon, England.</t>
  </si>
  <si>
    <t>emma.j.stone@bristol.ac.uk</t>
  </si>
  <si>
    <t>Stone, Emma J/H-9549-2012; Lunt, Daniel/G-9451-2011</t>
  </si>
  <si>
    <t>Stone, Emma J/0000-0002-8633-8074; Hargreaves, Julia/0000-0002-4217-5023; Lunt, Daniel/0000-0003-3585-6928</t>
  </si>
  <si>
    <t>NERC; European project Past4Future; European Union [243908]; Natural Environment Research Council [NE/I009906/1] Funding Source: researchfish; NERC [NE/I009906/1] Funding Source: UKRI</t>
  </si>
  <si>
    <t>NERC(UK Research &amp; Innovation (UKRI)Natural Environment Research Council (NERC)); European project Past4Future; European Union(European Union (EU)); Natural Environment Research Council(UK Research &amp; Innovation (UKRI)Natural Environment Research Council (NERC)); NERC(UK Research &amp; Innovation (UKRI)Natural Environment Research Council (NERC))</t>
  </si>
  <si>
    <t>This was work was carried out with funding from a NERC studentship and the European project Past4Future. This is Past4Future contribution no. 28. The research leading to these results has received funding from the European Union's Seventh Framework programme (FP7/2007-2013) under grant agreement no. 243908, Past4Future. Climate change - Learning from the past climate. This work is also partly associated with iGlass, NE/I010874/1. We thank the reviewers and editor for their constructive and helpful comments.</t>
  </si>
  <si>
    <t>10.5194/cp-9-621-2013</t>
  </si>
  <si>
    <t>WOS:000317009700008</t>
  </si>
  <si>
    <t>Mathiot, P; Goosse, H; Crosta, X; Stenni, B; Braida, M; Renssen, H; Van Meerbeeck, CJ; Masson-Delmotte, V; Mairesse, A; Dubinkina, S</t>
  </si>
  <si>
    <t>Mathiot, P.; Goosse, H.; Crosta, X.; Stenni, B.; Braida, M.; Renssen, H.; Van Meerbeeck, C. J.; Masson-Delmotte, V.; Mairesse, A.; Dubinkina, S.</t>
  </si>
  <si>
    <t>Using data assimilation to investigate the causes of Southern Hemisphere high latitude cooling from 10 to 8 ka BP</t>
  </si>
  <si>
    <t>ANTARCTIC ICE-SHEET; EARTH SYSTEM MODEL; HOLOCENE CLIMATE; ADELIE LAND; ATMOSPHERIC CIRCULATION; TEMPERATURE VARIABILITY; OCEAN TEMPERATURE; EAST ANTARCTICA; ATLANTIC SECTOR; INDIAN SECTOR</t>
  </si>
  <si>
    <t>From 10 to 8 ka BP (thousand years before present), paleoclimate records show an atmospheric and oceanic cooling in the high latitudes of the Southern Hemisphere. During this interval, temperatures estimated from proxy data decrease by 0.8 degrees C over Antarctica and 1.2 degrees C over the Southern Ocean. In order to study the causes of this cooling, simulations covering the early Holocene have been performed with the climate model of intermediate complexity LOVECLIM constrained to follow the signal recorded in climate proxies using a data assimilation method based on a particle filtering approach. The selected proxies represent oceanic and atmospheric surface temperature in the Southern Hemisphere derived from terrestrial, marine and glaciological records. Two mechanisms previously suggested to explain the 10-8 ka BP cooling pattern are investigated using the data assimilation approach in our model. The first hypothesis is a change in atmospheric circulation, and the second one is a cooling of the sea surface temperature in the Southern Ocean, driven in our experimental setup by the impact of an increased West Antarctic melting rate on ocean circulation. For the atmosphere hypothesis, the climate state obtained by data assimilation produces a modification of the meridional atmospheric circulation leading to a 0.5 degrees C Antarctic cooling from 10 to 8 ka BP compared to the simulation without data assimilation, without congruent cooling of the atmospheric and sea surface temperature in the Southern Ocean. For the ocean hypothesis, the increased West Antarctic freshwater flux constrainted by data assimilation (+100 mSv from 10 to 8 ka BP) leads to an oceanic cooling of 0.7 degrees C and a strengthening of Southern Hemisphere westerlies (+6 %). Thus, according to our experiments, the observed cooling in Antarctic and the Southern Ocean proxy records can only be reconciled with the reconstructions by the combination of a modified atmospheric circulation and an enhanced freshwater flux.</t>
  </si>
  <si>
    <t>[Mathiot, P.; Goosse, H.; Mairesse, A.; Dubinkina, S.] Catholic Univ Louvain, Earth &amp; Life Inst, Georges Lemaitre Ctr Earth &amp; Climate Res, B-1348 Louvain, Belgium; [Crosta, X.] Univ Bordeaux 1, UMR CNRS EPOC 5805, F-33405 Talence, France; [Stenni, B.; Braida, M.] Univ Trieste, Dipartimento Matemat &amp; Geosci, Trieste, Italy; [Renssen, H.] Vrije Univ Amsterdam, Dept Earth Sci, Amsterdam, Netherlands; [Van Meerbeeck, C. J.] Caribbean Inst Meteorol &amp; Hydrol, Husbands, St James, Barbados; [Masson-Delmotte, V.] CEA CNRS UVSQ IPSL, UMR8212, Lab Sci Climat &amp; Environm, Gif Sur Yvette, France; [Mathiot, P.] British Antarctic Survey, NERC, Cambridge CB3 0ET, England</t>
  </si>
  <si>
    <t>Universite Catholique Louvain; Centre National de la Recherche Scientifique (CNRS); Universite de Bordeaux; University of Trieste; Vrije Universiteit Amsterdam; Universite Paris Saclay; Centre National de la Recherche Scientifique (CNRS); CNRS - National Institute for Earth Sciences &amp; Astronomy (INSU); CEA; UK Research &amp; Innovation (UKRI); Natural Environment Research Council (NERC); NERC British Antarctic Survey</t>
  </si>
  <si>
    <t>Mathiot, P (corresponding author), Catholic Univ Louvain, Earth &amp; Life Inst, Georges Lemaitre Ctr Earth &amp; Climate Res, Pl Louis Pasteur 3, B-1348 Louvain, Belgium.</t>
  </si>
  <si>
    <t>pierre.mathiot@bas.ac.uk</t>
  </si>
  <si>
    <t>Masson-Delmotte, Valerie L/G-1995-2011; Van Meerbeeck, Cedric JVC/D-1231-2010</t>
  </si>
  <si>
    <t>Masson-Delmotte, Valerie L/0000-0001-8296-381X; Mathiot, Pierre/0000-0002-2001-0762; Van Meerbeeck, Cedric/0000-0003-0833-0664; Dubinkina, Svetlana/0000-0003-2187-5909; Stenni, Barbara/0000-0003-4950-3664</t>
  </si>
  <si>
    <t>F. R. S. - FNRS; European Union [243908]; FRS-FNRS; NERC [bas0100028] Funding Source: UKRI; Natural Environment Research Council [bas0100028] Funding Source: researchfish</t>
  </si>
  <si>
    <t>F. R. S. - FNRS(Fonds de la Recherche Scientifique - FNRS); European Union(European Union (EU)); FRS-FNRS(Fonds de la Recherche Scientifique - FNRS); NERC(UK Research &amp; Innovation (UKRI)Natural Environment Research Council (NERC)); Natural Environment Research Council(UK Research &amp; Innovation (UKRI)Natural Environment Research Council (NERC))</t>
  </si>
  <si>
    <t>We acknowledge D. Roche for making available the ice sheet forcing data for the LOVECLIM model. H. Goosse is Senior Research Associate with the Fonds National de la Recherche Scientifique (F.R.S. - FNRS-Belgium). P. Mathiot is a Postdoctoral researcher with F. R. S. - FNRS-Belgium. This work has been performed in the framework of the ESF HOLOCLIP project (a joint research project of the European Science Foundation PolarCLIMATE program, is funded by national contributions from Italy, France, Germany, Spain, Netherlands, Belgium and the United Kingdom), by the Belgian Federal Science Policy Office (Research Program on Science for a Sustainable Development) and is also supported by F. R. S. - FNRS. The research leading to these results has received funding from the European Union's Seventh Framework programme (FP7/2007-2013) under grant agreement no. 243908, Past4Future: Climate change - Learning from the past climate. Computational resources have been provided by the supercomputing facilities of the Universite catholique de Louvain (CISM/UCL) and the Consortium des Equipements de Calcul Intensif en Federation Wallonie Bruxelles (CECI) funded by FRS-FNRS. This is HOLOCLIP contribution 16 and Past4Future contribution 40. The authors acknowledge the very constructive and precise comments of two anonymous reviewers.</t>
  </si>
  <si>
    <t>10.5194/cp-9-887-2013</t>
  </si>
  <si>
    <t>WOS:000317009700024</t>
  </si>
  <si>
    <t>Capron, E; Landais, A; Buiron, D; Cauquoin, A; Chappellaz, J; Debret, M; Jouzel, J; Leuenberger, M; Martinerie, P; Masson-Delmotte, V; Mulvaney, R; Parrenin, F; Prié, F</t>
  </si>
  <si>
    <t>Capron, E.; Landais, A.; Buiron, D.; Cauquoin, A.; Chappellaz, J.; Debret, M.; Jouzel, J.; Leuenberger, M.; Martinerie, P.; Masson-Delmotte, V.; Mulvaney, R.; Parrenin, F.; Prie, F.</t>
  </si>
  <si>
    <t>Glacial-interglacial dynamics of Antarctic firn columns: comparison between simulations and ice core air-δ15N measurements</t>
  </si>
  <si>
    <t>EPICA DOME-C; ATMOSPHERIC CO2; ISOTOPIC COMPOSITION; CLIMATE-CHANGE; MINERAL DUST; RECORDS; AIR; AGE; TEMPERATURE; HOLOCENE</t>
  </si>
  <si>
    <t>Correct estimation of the firn lock-in depth is essential for correctly linking gas and ice chronologies in ice core studies. Here, two approaches to constrain the firn depth evolution in Antarctica are presented over the last deglaciation: outputs of a firn densification model, and measurements of delta N-15 of N-2 in air trapped in ice core, assuming that delta N-15 is only affected by gravitational fractionation in the firn column. Since the firn densification process is largely governed by surface temperature and accumulation rate, we have investigated four ice cores drilled in coastal (Berkner Island, BI, and James Ross Island, JRI) and semi-coastal (TALDICE and EPICA Dronning Maud Land, EDML) Antarctic regions. Combined with available ice core air-delta N-15 measurements from the EPICA Dome C (EDC) site, the studied regions encompass a large range of surface accumulation rates and temperature conditions. Our delta N-15 profiles reveal a heterogeneous response of the firn structure to glacial-interglacial climatic changes. While firn densification simulations correctly predict TALDICE delta N-15 variations, they systematically fail to capture the large millennial-scale delta N-15 variations measured at BI and the delta N-15 glacial levels measured at JRI and EDML - a mismatch previously reported for central East Antarctic ice cores. New constraints of the EDML gas-ice depth offset during the Laschamp event (similar to 41 ka) and the last deglaciation do not favour the hypothesis of a large convective zone within the firn as the explanation of the glacial firn model-delta N-15 data mismatch for this site. While we could not conduct an in-depth study of the influence of impurities in snow for firnification from the existing datasets, our detailed comparison between the delta N-15 profiles and firn model simulations under different temperature and accumulation rate scenarios suggests that the role of accumulation rate may have been underestimated in the current description of firnification models.</t>
  </si>
  <si>
    <t>[Capron, E.; Mulvaney, R.] British Antarctic Survey, NERC, Cambridge CB3 0ET, England; [Capron, E.; Landais, A.; Cauquoin, A.; Jouzel, J.; Masson-Delmotte, V.; Prie, F.] UVSQ, Lab Sci Climat &amp; Environm, Inst Pierre Simon Laplace, CEA,CNRS,UMR8212, F-91191 Gif Sur Yvette, France; [Buiron, D.; Chappellaz, J.; Debret, M.; Martinerie, P.; Parrenin, F.] UJF Grenoble 1, CNRS, LGGE, UMR5183, F-38041 Grenoble, France; [Debret, M.] Univ Caen Basse Normandie, UMR 6143, Lab Morphodynam Continentale &amp; Cotiere M2C, F-14000 Caen, France; [Debret, M.] Univ Rouen, F-76821 Mont St Aignan, France; [Leuenberger, M.] Univ Bern, Inst Phys, CH-3012 Bern, Switzerland; [Leuenberger, M.] Univ Bern, Oeschger Ctr Climate Change Res, CH-3012 Bern, Switzerland</t>
  </si>
  <si>
    <t>UK Research &amp; Innovation (UKRI); Natural Environment Research Council (NERC); NERC British Antarctic Survey; CEA; Centre National de la Recherche Scientifique (CNRS); Universite Paris Saclay; Universite Paris Cite; CNRS - National Institute for Earth Sciences &amp; Astronomy (INSU); Centre National de la Recherche Scientifique (CNRS); Communaute Universite Grenoble Alpes; Universite Grenoble Alpes (UGA); Universite de Caen Normandie; Centre National de la Recherche Scientifique (CNRS); CNRS - National Institute for Earth Sciences &amp; Astronomy (INSU); Universite de Rouen Normandie; University of Bern; University of Bern</t>
  </si>
  <si>
    <t>Capron, E (corresponding author), British Antarctic Survey, NERC, Madingley Rd, Cambridge CB3 0ET, England.</t>
  </si>
  <si>
    <t>ecap@bas.ac.uk</t>
  </si>
  <si>
    <t>Masson-Delmotte, Valerie L/G-1995-2011; Cauquoin, Alexandre/N-4579-2015; Parrenin, Frédéric/H-3054-2014; Leuenberger, Markus C/K-9655-2016; Cauquoin, Alexandre/HCH-9930-2022; Martinerie, Patricia/N-5731-2017; Mulvaney, Robert/K-3929-2012; Debret, Maxime/L-4236-2017</t>
  </si>
  <si>
    <t>Masson-Delmotte, Valerie L/0000-0001-8296-381X; Cauquoin, Alexandre/0000-0002-4620-4696; Parrenin, Frédéric/0000-0002-9489-3991; Leuenberger, Markus C/0000-0003-4299-6793; Cauquoin, Alexandre/0000-0002-4620-4696; Martinerie, Patricia/0000-0002-6820-2296; Mulvaney, Robert/0000-0002-5372-8148; Debret, Maxime/0000-0002-8852-0152; LANDAIS, Amaelle/0000-0002-5620-5465</t>
  </si>
  <si>
    <t>CNRS-INSU; Natural Environment Research Council [NE/I009639/1, bas0100024] Funding Source: researchfish; NERC [bas0100024, NE/I009639/1] Funding Source: UKRI</t>
  </si>
  <si>
    <t>CNRS-INSU(Centre National de la Recherche Scientifique (CNRS)); Natural Environment Research Council(UK Research &amp; Innovation (UKRI)Natural Environment Research Council (NERC)); NERC(UK Research &amp; Innovation (UKRI)Natural Environment Research Council (NERC))</t>
  </si>
  <si>
    <t>10.5194/cp-9-983-2013</t>
  </si>
  <si>
    <t>197OE</t>
  </si>
  <si>
    <t>Green Submitted, Green Published, gold, Green Accepted</t>
  </si>
  <si>
    <t>WOS:000322859700001</t>
  </si>
  <si>
    <t>Guillevic, M; Bazin, L; Landais, A; Kindler, P; Orsi, A; Masson-Delmotte, V; Blunier, T; Buchardt, SL; Capron, E; Leuenberger, M; Martinerie, P; Prié, F; Vinther, BM</t>
  </si>
  <si>
    <t>Guillevic, M.; Bazin, L.; Landais, A.; Kindler, P.; Orsi, A.; Masson-Delmotte, V.; Blunier, T.; Buchardt, S. L.; Capron, E.; Leuenberger, M.; Martinerie, P.; Prie, F.; Vinther, B. M.</t>
  </si>
  <si>
    <t>Spatial gradients of temperature, accumulation and δ18O-ice in Greenland over a series of Dansgaard-Oeschger events</t>
  </si>
  <si>
    <t>ABRUPT CLIMATE-CHANGE; YOUNGER DRYAS TERMINATION; ICE CORE DATA; NORTH-ATLANTIC; ISOTOPIC COMPOSITION; POLAR ICE; MODEL SIMULATIONS; OXYGEN-ISOTOPE; TRAPPED AIR; AGE SCALE</t>
  </si>
  <si>
    <t>Air and water stable isotope measurements from four Greenland deep ice cores (GRIP, GISP2, NGRIP and NEEM) are investigated over a series of Dansgaard Oeschger events (DO 8, 9 and 10), which are representative of glacial millennial scale variability. Combined with firn modeling, air isotope data allow us to quantify abrupt temperature increases for each drill site (1 sigma = 0.6 degrees C for NEEM, GRIP and GISP2, 1.5 degrees C for NGRIP). Our data show that the magnitude of stadial interstadial temperature increase is up to 2 degrees C larger in central and North Greenland than in northwest Greenland: i.e., for DO 8, a magnitude of +8.8 degrees C is inferred, which is significantly smaller than the +11.1 degrees C inferred at GISP2. The same spatial pattern is seen for accumulation increases. This pattern is coherent with climate simulations in response to reduced sea-ice extent in the Nordic seas. The temporal water isotope (delta O-18) temperature temperature relationship varies between 0.3 and 0.6 (+/- 0.08) %degrees C-1 and is systematically larger at NEEM, possibly due to limited changes in precipitation seasonality compared to GISP2, GRIP or NGRIP. The gas age ice age difference of warming events represented in water and air isotopes can only be modeled when assuming a 26 % (NGRIP) to 40 % (GRIP) lower accumulation than that derived from a Dansgaard Johnsen ice flow model.</t>
  </si>
  <si>
    <t>[Guillevic, M.; Bazin, L.; Landais, A.; Masson-Delmotte, V.; Prie, F.] UVSQ, CEA, CNRS, Lab Sci Climat &amp; Environm,UMR8212, Gif Sur Yvette, France; [Guillevic, M.; Blunier, T.; Buchardt, S. L.; Vinther, B. M.] Univ Copenhagen, Niels Bohr Inst, Ctr Ice &amp; Climate, DK-2100 Copenhagen, Denmark; [Kindler, P.; Leuenberger, M.] Univ Bern, Inst Phys, Bern, Switzerland; [Kindler, P.; Leuenberger, M.] Univ Bern, Oeschger Ctr Climate Change Res, Bern, Switzerland; [Orsi, A.] Univ Calif San Diego, Scripps Inst Oceanog, La Jolla, CA 92093 USA; [Capron, E.] British Antarctic Survey, Cambridge CB3 0ET, England; [Martinerie, P.] UJF Grenoble 1, CNRS, LGGE, UMR5183, F-38041 Grenoble, France</t>
  </si>
  <si>
    <t>Universite Paris Saclay; Centre National de la Recherche Scientifique (CNRS); CNRS - National Institute for Earth Sciences &amp; Astronomy (INSU); CEA; Universite Paris Cite; University of Copenhagen; Niels Bohr Institute; University of Bern; University of Bern; University of California System; University of California San Diego; Scripps Institution of Oceanography; UK Research &amp; Innovation (UKRI); Natural Environment Research Council (NERC); NERC British Antarctic Survey; Centre National de la Recherche Scientifique (CNRS); Communaute Universite Grenoble Alpes; Universite Grenoble Alpes (UGA)</t>
  </si>
  <si>
    <t>Guillevic, M (corresponding author), UVSQ, CEA, CNRS, Lab Sci Climat &amp; Environm,UMR8212, Gif Sur Yvette, France.</t>
  </si>
  <si>
    <t>mgllvc@nbi.ku.dk</t>
  </si>
  <si>
    <t>Capron, Emilie/ITU-2672-2023; Masson-Delmotte, Valerie L/G-1995-2011; Martinerie, Patricia/N-5731-2017; Leuenberger, Markus C/K-9655-2016; Blunier, Thomas/M-4609-2014</t>
  </si>
  <si>
    <t>Masson-Delmotte, Valerie L/0000-0001-8296-381X; Martinerie, Patricia/0000-0002-6820-2296; Leuenberger, Markus C/0000-0003-4299-6793; Orsi, Anais/0000-0001-5511-3940; Guillevic, Mathieu/0000-0002-0081-785X; Guillevic, Myriam/0000-0002-8128-7247; Blunier, Thomas/0000-0002-6065-7747; Bazin, Lucie/0000-0003-4808-4090; Vinther, Bo/0000-0002-6078-771X; LANDAIS, Amaelle/0000-0002-5620-5465</t>
  </si>
  <si>
    <t>CNRS-INSU; Directorate For Geosciences; Office of Polar Programs (OPP) [0806377] Funding Source: National Science Foundation; NERC [bas0100024] Funding Source: UKRI; Natural Environment Research Council [bas0100024] Funding Source: researchfish</t>
  </si>
  <si>
    <t>CNRS-INSU(Centre National de la Recherche Scientifique (CNRS)); Directorate For Geosciences; Office of Polar Programs (OPP)(National Science Foundation (NSF)NSF - Directorate for Geosciences (GEO)); NERC(UK Research &amp; Innovation (UKRI)Natural Environment Research Council (NERC)); Natural Environment Research Council(UK Research &amp; Innovation (UKRI)Natural Environment Research Council (NERC))</t>
  </si>
  <si>
    <t>10.5194/cp-9-1029-2013</t>
  </si>
  <si>
    <t>WOS:000322859700004</t>
  </si>
  <si>
    <t>Barbante, C; Kehrwald, NM; Marianelli, P; Vinther, BM; Steffensen, JP; Cozzi, G; Hammer, CU; Clausen, HB; Siggaard-Andersen, ML</t>
  </si>
  <si>
    <t>Barbante, C.; Kehrwald, N. M.; Marianelli, P.; Vinther, B. M.; Steffensen, J. P.; Cozzi, G.; Hammer, C. U.; Clausen, H. B.; Siggaard-Andersen, M. -L.</t>
  </si>
  <si>
    <t>Greenland ice core evidence of the 79 AD Vesuvius eruption</t>
  </si>
  <si>
    <t>EXPLOSIVE VOLCANISM; TEPHRA LAYERS; MAGMA CHAMBER; ASH; KAMCHATKA; VANUATU; SYSTEM; RECORD; GLASS; AGE</t>
  </si>
  <si>
    <t>Volcanic tephra are independent age horizons and can synchronize strata of various paleoclimate records including ice and sediment cores. The Holocene section of the Greenland Ice Core Project (GRIP) ice core is dated by multi-parameter annual layer counting, and contains peaks in acidity, SO42 and microparticle concentrations at a depth of 429.1 to 429.3 m, which have not previously been definitively ascribed to a volcanic eruption. Here, we identify tephra particles and determine that volcanic shards extracted from a depth of 429.3 m in the GRIP ice core are likely due to the 79 AD Vesuvius eruption. The chemical composition of the tephra particles is consistent with the K-phonolitic composition of the Vesuvius juvenile ejecta and differs from the chemical composition of other major eruptions (&gt; VEI 4) between 50-100 AD.</t>
  </si>
  <si>
    <t>[Barbante, C.; Cozzi, G.] Univ Venice, CNR, Inst Dynam Environm Proc, I-30123 Venice, Italy; [Barbante, C.; Kehrwald, N. M.] Univ Venice, Dept Environm Sci Informat &amp; Stat, I-30123 Venice, Italy; [Marianelli, P.] Univ Pisa, Dept Earth Sci, I-56126 Pisa, Italy; [Vinther, B. M.; Steffensen, J. P.; Hammer, C. U.; Clausen, H. B.; Siggaard-Andersen, M. -L.] Univ Copenhagen, Niels Bohr Inst, DK-2100 Copenhagen, Denmark</t>
  </si>
  <si>
    <t>Universita Ca Foscari Venezia; Consiglio Nazionale delle Ricerche (CNR); Istituto per la Dinamica dei Processi Ambientali (IDPA-CNR); Universita Ca Foscari Venezia; University of Pisa; University of Copenhagen; Niels Bohr Institute</t>
  </si>
  <si>
    <t>Barbante, C (corresponding author), Univ Venice, CNR, Inst Dynam Environm Proc, I-30123 Venice, Italy.</t>
  </si>
  <si>
    <t>Barbante, Carlo/B-3195-2011; Kehrwald, Natalie M/A-3848-2013; marianelli, paola/M-4293-2015; Steffensen, Jorgen Peder/JFS-7831-2023; IPO, PAGES/JXY-7546-2024; Clausen, Helene/AAU-8786-2020; Cozzi, Giulio/R-4554-2019</t>
  </si>
  <si>
    <t>Kehrwald, Natalie M/0000-0002-9160-2239; marianelli, paola/0000-0001-9535-8635; Steffensen, Jorgen Peder/0000-0002-5516-1093; Cozzi, Giulio/0000-0001-8796-4176; Barbante, Carlo/0000-0003-4177-2288; Vinther, Bo/0000-0002-6078-771X</t>
  </si>
  <si>
    <t>Italy by the Agenzia nazionale per le nuove tecnologie, l'energia e lo sviluppo economico sostenibile (ENEA) as part of the Antarctic National Research Program (Environmental Contamination and Glaciology); Denmark by Statens Naturvidenskablig Forslcningsrad (SNF); XII Directorate of CEC; Carlsberg Foundation; Commission for Scientific Research in Greenland</t>
  </si>
  <si>
    <t>Italy by the Agenzia nazionale per le nuove tecnologie, l'energia e lo sviluppo economico sostenibile (ENEA) as part of the Antarctic National Research Program (Environmental Contamination and Glaciology); Denmark by Statens Naturvidenskablig Forslcningsrad (SNF); XII Directorate of CEC; Carlsberg Foundation(Carlsberg Foundation); Commission for Scientific Research in Greenland</t>
  </si>
  <si>
    <t>This work was supported in Italy by the Agenzia nazionale per le nuove tecnologie, l'energia e lo sviluppo economico sostenibile (ENEA) as part of the Antarctic National Research Program (Environmental Contamination and Glaciology) and in Denmark by Statens Naturvidenskablig Forslcningsrad (SNF) as well as the XII Directorate of CEC, the Carlsberg Foundation and the Commission for Scientific Research in Greenland. We thank L. Pozzato for laboratory assistance and A. Sbrana for the useful discussions.</t>
  </si>
  <si>
    <t>10.5194/cp-9-1221-2013</t>
  </si>
  <si>
    <t>WOS:000322859700015</t>
  </si>
  <si>
    <t>Etourneau, J; Collins, LG; Willmott, V; Kim, JH; Barbara, L; Leventer, A; Schouten, S; Damsté, JSS; Bianchini, A; Klein, V; Crosta, X; Massé, G</t>
  </si>
  <si>
    <t>Etourneau, J.; Collins, L. G.; Willmott, V.; Kim, J. -H.; Barbara, L.; Leventer, A.; Schouten, S.; Damste, J. S. Sinninghe; Bianchini, A.; Klein, V.; Crosta, X.; Masse, G.</t>
  </si>
  <si>
    <t>Holocene climate variations in the western Antarctic Peninsula: evidence for sea ice extent predominantly controlled by changes in insolation and ENSO variability</t>
  </si>
  <si>
    <t>ISOPRENOID TETRAETHER LIPIDS; IONIZATION-MASS-SPECTROMETRY; HIGHLY BRANCHED ISOPRENOIDS; LAST GLACIAL MAXIMUM; SOUTHERN-OCEAN; DIATOM ASSEMBLAGES; PALMER-DEEP; SURFACE-TEMPERATURE; ATMOSPHERIC CO2; COASTAL WATERS</t>
  </si>
  <si>
    <t>The West Antarctic ice sheet is particularly sensitive to global warming and its evolution and impact on global climate over the next few decades remains difficult to predict. In this context, investigating past sea ice conditions around Antarctica is of primary importance. Here, we document changes in sea ice presence, upper water column temperatures (0-200 m) and primary productivity over the last 9000 yr BP (before present) in the western Antarctic Peninsula (WAP) margin from a sedimentary core collected in the Palmer Deep Basin. Employing a multi-proxy approach, based on the combination of two biomarkers proxies (highly branched isoprenoid (HBI) alkenes for sea ice and TEXL 86 for temperature) and micropaleontological data (diatom assemblages), we derived new Holocene records of sea ice conditions and upper water column temperatures. The early Holocene (9000-7000 yr BP) was characterized by a cooling phase with a short sea ice season. During the midHolocene (similar to 7000-3800 yr BP), local climate evolved towards slightly colder conditions and a prominent extension of the sea ice season occurred, promoting a favorable environment for intensive diatom growth. The late Holocene (the last similar to 100 yr) was characterized by warmer temperatures and increased sea ice presence, accompanied by reduced local primary productivity, likely in response to a shorter growing season compared to the early or mid-Holocene. The gradual increase in annual sea ice duration over the last 7000 yr might have been influenced by decreasing mean annual and spring insolation, despite increasing summer insolation. We postulate that, in addition to precessional changes in insolation, seasonal variability, via changes in the strength of the circumpolar Westerlies and upwelling activity, was further amplified by the increasing frequency/amplitude of the El Nino-Southern Oscillation (ENSO). However, between 3800 and 2100 yr BP, the lack of correlation between ENSO and climate variability in the WAP suggests that other climatic factors might have been more important in controlling WAP climate at this time.</t>
  </si>
  <si>
    <t>[Etourneau, J.; Collins, L. G.; Klein, V.; Masse, G.] UPMC, CNRS, LOCEAN, UMR7159,IRD,MNHN, F-75252 Paris, France; [Willmott, V.; Kim, J. -H.; Schouten, S.; Damste, J. S. Sinninghe] Royal Netherlands Inst Sea Res, Dept Marine Biogeochem &amp; Toxicol, NL-1790 Den Burg, Texel, Netherlands; [Barbara, L.; Crosta, X.] Univ Bordeaux 1, CNRS, EPOC, UMR5805, F-33405 Talence, France; [Leventer, A.] Colgate Univ, Dept Geol, Hamilton, NY 13346 USA</t>
  </si>
  <si>
    <t>Sorbonne Universite; Centre National de la Recherche Scientifique (CNRS); CNRS - National Institute for Earth Sciences &amp; Astronomy (INSU); Museum National d'Histoire Naturelle (MNHN); Institut de Recherche pour le Developpement (IRD); Utrecht University; Royal Netherlands Institute for Sea Research (NIOZ); Centre National de la Recherche Scientifique (CNRS); Universite de Bordeaux; CNRS - National Institute for Earth Sciences &amp; Astronomy (INSU); Colgate University</t>
  </si>
  <si>
    <t>Etourneau, J (corresponding author), UPMC, CNRS, LOCEAN, UMR7159,IRD,MNHN, 4 Pl Jussieu, F-75252 Paris, France.</t>
  </si>
  <si>
    <t>johan.etourneau@locean-ipsl.upmc.fr</t>
  </si>
  <si>
    <t>Barbara, Loic JB/D-2607-2013; Willmott Puig, Veronica/AGN-3478-2022; Sinninghe Damste, Jaap/F-6128-2011</t>
  </si>
  <si>
    <t>Willmott Puig, Veronica/0000-0002-6552-8901; Collins, Lewis/0000-0003-0266-4997; Leventer, Amy/0000-0001-9401-0987; Barbara, Loic/0000-0003-1519-5835; Sinninghe Damste, Jaap/0000-0002-8683-1854</t>
  </si>
  <si>
    <t>10.5194/cp-9-1431-2013</t>
  </si>
  <si>
    <t>WOS:000323412600004</t>
  </si>
  <si>
    <t>Vogel, H; Meyer-Jacob, C; Melles, M; Brigham-Grette, J; Andreev, AA; Wennrich, V; Tarasov, PE; Rosén, P</t>
  </si>
  <si>
    <t>Vogel, H.; Meyer-Jacob, C.; Melles, M.; Brigham-Grette, J.; Andreev, A. A.; Wennrich, V.; Tarasov, P. E.; Rosen, P.</t>
  </si>
  <si>
    <t>Detailed insight into Arctic climatic variability during MIS 11c at Lake El'gygytgyn, NE Russia</t>
  </si>
  <si>
    <t>MARINE ISOTOPE STAGE-11; NORTH-ATLANTIC; RECORD; GEOCHEMISTRY; CHUKOTKA; SIBERIA; EVENTS; CYCLES; BAIKAL; CRATER</t>
  </si>
  <si>
    <t>Here we present a detailed multi-proxy record of the climate and environmental evolution at Lake El'gygytgyn, Far East Russian Arctic during the period 430-395 ka covering the marine isotope stage (MIS) 12/11 transition and the thermal maximum of super interglacial MIS 11c. The MIS 12/11 transition at Lake El'gygytgyn is characterized by initial warming followed by a cold reversal implying similarities to the last deglaciation. The thermal maximum of MIS 11c is characterized by full and remarkably stable interglacial conditions with mean temperatures of the warmest month (MTWM) ranging between ca. 10-15 degrees C; annual precipitation (PANN) ranging between ca. 300-600 mm; strong in-lake productivity coinciding with dark coniferous forests in the catchment; annual disintegration of the lake ice cover; and full mixis of the water column. Such conditions persisted, according to our age model, for ca. 27 +/- 8 kyr between ca. 425-398 ka. The Lake El'gygytgyn record closely resembles the climate pattern recorded in Lake Baikal (SE Siberia) sediments and Antarctic ice cores, implying interhemispheric climate connectivity during MIS 11c.</t>
  </si>
  <si>
    <t>[Vogel, H.; Melles, M.; Andreev, A. A.; Wennrich, V.] Univ Cologne, Inst Geol &amp; Mineral, D-50674 Cologne, Germany; [Vogel, H.] Univ Bern, Inst Geol Sci, CH-3012 Bern, Switzerland; [Vogel, H.] Univ Bern, Oeschger Ctr Climate Change Res, CH-3012 Bern, Switzerland; [Meyer-Jacob, C.] Umea Univ, Dept Ecol &amp; Environm Sci, S-90187 Umea, Sweden; [Brigham-Grette, J.] Univ Massachusetts, Dept Geosci, Amherst, MA 01003 USA; [Tarasov, P. E.] Free Univ Berlin, Inst Geol Sci, Palaeontol Branch, D-12249 Berlin, Germany; [Rosen, P.] Umea Univ, Dept Ecol &amp; Environm Sci, CIRC, Abisko Naturvetenskapliga Stn, S-98107 Abisko, Sweden</t>
  </si>
  <si>
    <t>University of Cologne; University of Bern; University of Bern; Umea University; University of Massachusetts System; University of Massachusetts Amherst; Free University of Berlin; Umea University</t>
  </si>
  <si>
    <t>Vogel, H (corresponding author), Univ Cologne, Inst Geol &amp; Mineral, Zulpicher Str 49A, D-50674 Cologne, Germany.</t>
  </si>
  <si>
    <t>hendrik.vogel@geo.unibe.ch</t>
  </si>
  <si>
    <t>Meyer-Jacob, Carsten/B-8248-2014; Tarasov, Pavel/ABG-3993-2020; Wennrich, Volker/I-3435-2012; Vogel, Hendrik/C-6148-2014; Andreev, Andrei A/J-2701-2015; Vogel, Hendrik/ABG-1123-2020; Melles, Martin/J-4070-2012</t>
  </si>
  <si>
    <t>Meyer-Jacob, Carsten/0000-0002-8208-496X; Tarasov, Pavel/0000-0002-7219-5009; Wennrich, Volker/0000-0003-3617-1963; Vogel, Hendrik/0000-0002-9902-8120; Andreev, Andrei A/0000-0002-8745-9636; Melles, Martin/0000-0003-0977-9463</t>
  </si>
  <si>
    <t>International Continental Scientific Drilling Program (ICDP); US National Science Foundation (NSF); German Federal Ministry of Education and Research (BMBF); Alfred Wegener Institute (AWI); GeoForschungsZentrum Potsdam (GFZ); Russian Academy of Sciences Far East Branch (RAS FEB); Russian Foundation for Basic Research (RFBR); Austrian Federal Ministry of Science and Research (BMWF); BMBF [03G0642A]; German Research Foundation (DFG) [ME 1169/21]; Swedish Research Council (VR); Swedish Research Council FORMAS; Kempe Foundation; Division Of Earth Sciences; Directorate For Geosciences [1204087] Funding Source: National Science Foundation</t>
  </si>
  <si>
    <t>International Continental Scientific Drilling Program (ICDP); US National Science Foundation (NSF)(National Science Foundation (NSF)); German Federal Ministry of Education and Research (BMBF)(Federal Ministry of Education &amp; Research (BMBF)); Alfred Wegener Institute (AWI); GeoForschungsZentrum Potsdam (GFZ); Russian Academy of Sciences Far East Branch (RAS FEB); Russian Foundation for Basic Research (RFBR)(Russian Foundation for Basic Research (RFBR)); Austrian Federal Ministry of Science and Research (BMWF); BMBF(Federal Ministry of Education &amp; Research (BMBF)); German Research Foundation (DFG)(German Research Foundation (DFG)); Swedish Research Council (VR)(Swedish Research Council); Swedish Research Council FORMAS(Swedish Research Council Formas); Kempe Foundation; Division Of Earth Sciences; Directorate For Geosciences(National Science Foundation (NSF)NSF - Directorate for Geosciences (GEO))</t>
  </si>
  <si>
    <t>Funding for the drilling operations at Lake El'gygytgyn was provided by the International Continental Scientific Drilling Program (ICDP), the US National Science Foundation (NSF), the German Federal Ministry of Education and Research (BMBF), Alfred Wegener Institute (AWI) and GeoForschungsZentrum Potsdam (GFZ), the Russian Academy of Sciences Far East Branch (RAS FEB), the Russian Foundation for Basic Research (RFBR), and the Austrian Federal Ministry of Science and Research (BMWF). The Russian GLAD 800 drilling system was developed and operated by DOSECC Inc. and LacCore, at the University of Minnesota, handled core curation. This study on the core material was funded by the BMBF (grant no. 03G0642A) and the German Research Foundation (DFG, grant no. ME 1169/21). Funding for the FTIRS research was provided by the Swedish Research Council (VR), FORMAS, and the Kempe Foundation. We are grateful to D. Raynaud one anonymous reviewer and the editor D. D. Rousseau for valuable comments and suggestions that substantially improved the manuscript as well as Nicole Mantke and various students (University of Cologne) for their competent help in core processing.</t>
  </si>
  <si>
    <t>10.5194/cp-9-1467-2013</t>
  </si>
  <si>
    <t>WOS:000323412600007</t>
  </si>
  <si>
    <t>Bazin, L; Landais, A; Lemieux-Dudon, B; Kele, HTM; Veres, D; Parrenin, F; Martinerie, P; Ritz, C; Capron, E; Lipenkov, V; Loutre, MF; Raynaud, D; Vinther, B; Svensson, A; Rasmussen, SO; Severi, M; Blunier, T; Leuenberger, M; Fischer, H; Masson-Delmotte, V; Chappellaz, J; Wolff, E</t>
  </si>
  <si>
    <t>Bazin, L.; Landais, A.; Lemieux-Dudon, B.; Kele, H. Toye Mahamadou; Veres, D.; Parrenin, F.; Martinerie, P.; Ritz, C.; Capron, E.; Lipenkov, V.; Loutre, M. -F.; Raynaud, D.; Vinther, B.; Svensson, A.; Rasmussen, S. O.; Severi, M.; Blunier, T.; Leuenberger, M.; Fischer, H.; Masson-Delmotte, V.; Chappellaz, J.; Wolff, E.</t>
  </si>
  <si>
    <t>An optimized multi-proxy, multi-site Antarctic ice and gas orbital chronology (AICC2012): 120-800 ka</t>
  </si>
  <si>
    <t>EPICA DOME-C; ABRUPT CLIMATE-CHANGE; ATMOSPHERIC OXYGEN; MILLENNIAL-SCALE; VOLCANIC SYNCHRONIZATION; ISOTOPIC COMPOSITION; AIR CONTENT; TIME-SCALE; AGE SCALE; CORE</t>
  </si>
  <si>
    <t>An accurate and coherent chronological framework is essential for the interpretation of climatic and environmental records obtained from deep polar ice cores. Until now, one common ice core age scale had been developed based on an inverse dating method (Datice), combining glaciological modelling with absolute and stratigraphic markers between 4 ice cores covering the last 50 ka (thousands of years before present) (Lemieux-Dudon et al., 2010). In this paper, together with the companion paper of Veres et al. (2013), we present an extension of this work back to 800 ka for the NGRIP, TALDICE, EDML, Vostok and EDC ice cores using an improved version of the Datice tool. The AICC2012 (Antarctic Ice Core Chronology 2012) chronology includes numerous new gas and ice stratigraphic links as well as improved evaluation of background and associated variance scenarios. This paper concentrates on the long timescales between 120-800 ka. In this framework, new measurements of delta O-18(atm) over Marine Isotope Stage (MIS) 11-12 on EDC and a complete delta O-18(atm) record of the TALDICE ice cores permit us to derive additional orbital gas age constraints. The coherency of the different orbitally deduced ages (from delta O-18(atm), delta O-2/N-2 and air content) has been verified before implementation in AICC2012. The new chronology is now independent of other archives and shows only small differences, most of the time within the original uncertainty range calculated by Datice, when compared with the previous ice core reference age scale EDC3, the Dome F chronology, or using a comparison between speleothems and methane. For instance, the largest deviation between AICC2012 and EDC3 (5.4 ka) is obtained around MIS 12. Despite significant modifications of the chronological constraints around MIS 5, now independent of speleothem records in AICC2012, the date of Termination II is very close to the EDC3 one.</t>
  </si>
  <si>
    <t>[Bazin, L.; Landais, A.; Masson-Delmotte, V.] CNRS Gif Sur Yvette, UMR8212, Lab Sci Climat &amp; Environm, Gif Sur Yvette, France; [Lemieux-Dudon, B.; Kele, H. Toye Mahamadou] Lab Jean Kuntzmann, Grenoble, France; [Veres, D.; Parrenin, F.; Martinerie, P.; Ritz, C.; Raynaud, D.; Chappellaz, J.] CNRS UJF, Lab Glaciol &amp; Geophys Environm, St Martin Dheres, France; [Veres, D.] Romanian Acad, Inst Speleol, Cluj Napoca, Romania; [Capron, E.; Wolff, E.] British Antarctic Survey, Cambridge CB3 0ET, England; [Lipenkov, V.] Arctic &amp; Antarctic Res Inst, St Petersburg 199226, Russia; [Loutre, M. -F.] Catholic Univ Louvain, Earth &amp; Life Inst, Georges Lemaitre Ctr Earth &amp; Climate Res, B-1348 Louvain, Belgium; [Vinther, B.; Svensson, A.; Rasmussen, S. O.; Blunier, T.] Univ Copenhagen, Niels Bohr Inst, Ctr Ice &amp; Climate, DK-2100 Copenhagen, Denmark; [Severi, M.] Univ Florence, Dept Chem Ugo Schiff, Florence, Italy; [Leuenberger, M.; Fischer, H.] Univ Bern, Inst Phys, Bern, Switzerland; [Leuenberger, M.; Fischer, H.] Univ Bern, Oeschger Ctr Climate Change Res, Bern, Switzerland</t>
  </si>
  <si>
    <t>Centre National de la Recherche Scientifique (CNRS); CNRS - National Institute for Earth Sciences &amp; Astronomy (INSU); CEA; Universite Paris Saclay; Communaute Universite Grenoble Alpes; Institut National Polytechnique de Grenoble; Universite Grenoble Alpes (UGA); Centre National de la Recherche Scientifique (CNRS); Inria; Communaute Universite Grenoble Alpes; Universite Grenoble Alpes (UGA); Centre National de la Recherche Scientifique (CNRS); Emil Racovita Institute of Speleology; Romanian Academy of Sciences; UK Research &amp; Innovation (UKRI); Natural Environment Research Council (NERC); NERC British Antarctic Survey; Arctic &amp; Antarctic Research Institute; Universite Catholique Louvain; University of Copenhagen; Niels Bohr Institute; University of Florence; University of Bern; University of Bern</t>
  </si>
  <si>
    <t>Bazin, L (corresponding author), CNRS Gif Sur Yvette, UMR8212, Lab Sci Climat &amp; Environm, Gif Sur Yvette, France.</t>
  </si>
  <si>
    <t>lucie.bazin@lsce.ipsl.fr; alandais@lsce.ipsl.fr</t>
  </si>
  <si>
    <t>Masson-Delmotte, Valerie L/G-1995-2011; Raynaud, Dominique/H-9626-2016; Leuenberger, Markus C/K-9655-2016; Rasmussen, Sune Olander/AAA-3190-2021; Martinerie, Patricia/N-5731-2017; Rasmussen, Sune/B-5560-2008; Veres, Daniel/AAX-3319-2020; Parrenin, Frédéric/H-3054-2014; Capron, Emilie/ITU-2672-2023; Wolff, Eric W/D-7925-2014; Veres, Daniel S/GNH-2578-2022; raynaud, dominique/ABG-4718-2020; Svensson, Anders/A-2643-2010; Veres, Daniel/GNH-2718-2022; Chappellaz, Jérôme A./A-4872-2011; Severi, Mirko/J-2508-2012; Blunier, Thomas/M-4609-2014; Fischer, Hubertus/A-1211-2014; Loutre, Marie-France/L-3594-2018; Lipenkov, Vladimir/Q-8262-2016</t>
  </si>
  <si>
    <t>Masson-Delmotte, Valerie L/0000-0001-8296-381X; Leuenberger, Markus C/0000-0003-4299-6793; Rasmussen, Sune Olander/0000-0002-4177-3611; Martinerie, Patricia/0000-0002-6820-2296; Veres, Daniel/0000-0003-3932-577X; Parrenin, Frédéric/0000-0002-9489-3991; Wolff, Eric W/0000-0002-5914-8531; Svensson, Anders/0000-0002-4364-6085; Ritz, Catherine/0000-0003-0785-8571; Severi, Mirko/0000-0003-1511-6762; Lemieux-Dudon, Benedicte/0000-0002-0718-2420; Vinther, Bo/0000-0002-6078-771X; Blunier, Thomas/0000-0002-6065-7747; Fischer, Hubertus/0000-0002-2787-4221; Loutre, Marie-France/0000-0001-6944-4038; LANDAIS, Amaelle/0000-0002-5620-5465; Lipenkov, Vladimir/0000-0003-4221-5440; Bazin, Lucie/0000-0003-4808-4090</t>
  </si>
  <si>
    <t>CNRS-INSU; Natural Environment Research Council [bas0100024] Funding Source: researchfish; NERC [bas0100024] Funding Source: UKRI</t>
  </si>
  <si>
    <t>10.5194/cp-9-1715-2013</t>
  </si>
  <si>
    <t>WOS:000323412600023</t>
  </si>
  <si>
    <t>Veres, D; Bazin, L; Landais, A; Kele, HTM; Lemieux-Dudon, B; Parrenin, F; Martinerie, P; Blayo, E; Blunier, T; Capron, E; Chappellaz, J; Rasmussen, SO; Severi, M; Svensson, A; Vinther, B; Wolff, EW</t>
  </si>
  <si>
    <t>Veres, D.; Bazin, L.; Landais, A.; Kele, H. Toye Mahamadou; Lemieux-Dudon, B.; Parrenin, F.; Martinerie, P.; Blayo, E.; Blunier, T.; Capron, E.; Chappellaz, J.; Rasmussen, S. O.; Severi, M.; Svensson, A.; Vinther, B.; Wolff, E. W.</t>
  </si>
  <si>
    <t>The Antarctic ice core chronology (AICC2012): an optimized multi-parameter and multi-site dating approach for the last 120 thousand years</t>
  </si>
  <si>
    <t>EPICA DOME-C; ORBITAL-SCALE CHANGES; ABRUPT CLIMATE-CHANGE; MILLENNIAL-SCALE; ATMOSPHERIC CH4; AGE SCALE; VOLCANIC SYNCHRONIZATION; GREENLAND CLIMATE; NITROUS-OXIDE; POLAR ICE</t>
  </si>
  <si>
    <t>The deep polar ice cores provide reference records commonly employed in global correlation of past climate events. However, temporal divergences reaching up to several thousand years (ka) exist between ice cores over the last climatic cycle. In this context, we are hereby introducing the Antarctic Ice Core Chronology 2012 (AICC2012), a new and coherent timescale developed for four Antarctic ice cores, namely Vostok, EPICA Dome C (EDC), EPICA Dronning Maud Land (EDML) and Talos Dome (TALDICE), alongside the Greenlandic NGRIP record. The AICC2012 timescale has been constructed using the Bayesian tool Datice (Lemieux-Dudon et al., 2010) that combines glaciological inputs and data constraints, including a wide range of relative and absolute gas and ice stratigraphic markers. We focus here on the last 120 ka, whereas the companion paper by Bazin et al. (2013) focuses on the interval 120-800 ka. Compared to previous timescales, AICC2012 presents an improved timing for the last glacial inception, respecting the glaciological constraints of all analyzed records. Moreover, with the addition of numerous new stratigraphic markers and improved calculation of the lock-in depth (LID) based on delta N-15 data employed as the Datice background scenario, the AICC2012 presents a slightly improved timing for the bipolar sequence of events over Marine Isotope Stage 3 associated with the seesaw mechanism, with maximum differences of about 600 yr with respect to the previous Datice-derived chronology of Lemieux-Dudon et al. (2010), hereafter denoted LD2010. Our improved scenario confirms the regional differences for the millennial scale variability over the last glacial period: while the EDC isotopic record (events of triangular shape) displays peaks roughly at the same time as the NGRIP abrupt isotopic increases, the EDML isotopic record (events characterized by broader peaks or even extended periods of high isotope values) reached the isotopic maximum several centuries before. It is expected that the future contribution of both other long ice core records and other types of chronological constraints to the Datice tool will lead to further refinements in the ice core chronologies beyond the AICC2012 chronology. For the time being however, we recommend that AICC2012 be used as the preferred chronology for the Vostok, EDC, EDML and TALDICE ice core records, both over the last glacial cycle (this study), and beyond (following Bazin et al., 2013). The ages for NGRIP in AICC2012 are virtually identical to those of GICC05 for the last 60.2 ka, whereas the ages beyond are independent of those in GICC05modelext (as in the construction of AICC2012, the GICC05modelext was included only via the background scenarios and not as age markers). As such, where issues of phasing between Antarctic records included in AICC2012 and NGRIP are involved, the NGRIP ages in AICC2012 should therefore be taken to avoid introducing false offsets. However for issues involving only Greenland ice cores, there is not yet a strong basis to recommend superseding GICC05modelext as the recommended age scale for Greenland ice cores.</t>
  </si>
  <si>
    <t>[Veres, D.; Parrenin, F.; Martinerie, P.; Chappellaz, J.] Univ Grenoble 1, CNRS, LGGE, UMR5183,INSU Grenoble, F-38041 Grenoble, France; [Veres, D.] Romanian Acad, Inst Speleol, Cluj Napoca 400006, Romania; [Bazin, L.; Landais, A.] CNRS Gif Sur Yvette, UMR8212, Lab Sci Climat &amp; Environm, Gif Sur Yvette, France; [Kele, H. Toye Mahamadou; Lemieux-Dudon, B.; Blayo, E.] Lab Jean Kuntzmann, Grenoble, France; [Blunier, T.; Rasmussen, S. O.; Svensson, A.; Vinther, B.] Univ Copenhagen, Niels Bohr Inst, Ctr Ice &amp; Climate, DK-2100 Copenhagen, Denmark; [Capron, E.; Wolff, E. W.] British Antarctic Survey, Cambridge CB3 0ET, England; [Severi, M.] Univ Florence, Dept Chem Ugo Schiff, Florence, Italy</t>
  </si>
  <si>
    <t>Centre National de la Recherche Scientifique (CNRS); Communaute Universite Grenoble Alpes; Universite Grenoble Alpes (UGA); Romanian Academy of Sciences; Emil Racovita Institute of Speleology; CEA; Centre National de la Recherche Scientifique (CNRS); Universite Paris Saclay; CNRS - National Institute for Earth Sciences &amp; Astronomy (INSU); Communaute Universite Grenoble Alpes; Institut National Polytechnique de Grenoble; Universite Grenoble Alpes (UGA); Centre National de la Recherche Scientifique (CNRS); Inria; University of Copenhagen; Niels Bohr Institute; UK Research &amp; Innovation (UKRI); Natural Environment Research Council (NERC); NERC British Antarctic Survey; University of Florence</t>
  </si>
  <si>
    <t>Veres, D (corresponding author), Univ Grenoble 1, CNRS, LGGE, UMR5183,INSU Grenoble, F-38041 Grenoble, France.</t>
  </si>
  <si>
    <t>daniel.veres@lgge.obs.ujf-grenoble.fr; lucie.bazin@lsce.ipsl.fr; amaelle.landais@lsce.ipsl.fr</t>
  </si>
  <si>
    <t>Svensson, Anders/A-2643-2010; Wolff, Eric W/D-7925-2014; Chappellaz, Jérôme A./A-4872-2011; Rasmussen, Sune/B-5560-2008; Veres, Daniel S/GNH-2578-2022; Veres, Daniel/AAX-3319-2020; Rasmussen, Sune Olander/AAA-3190-2021; Blayo, Eric/AAG-7447-2019; Capron, Emilie/ITU-2672-2023; Martinerie, Patricia/N-5731-2017; Parrenin, Frédéric/H-3054-2014; Veres, Daniel/GNH-2718-2022; Blunier, Thomas/M-4609-2014; Severi, Mirko/J-2508-2012</t>
  </si>
  <si>
    <t>Svensson, Anders/0000-0002-4364-6085; Wolff, Eric W/0000-0002-5914-8531; Veres, Daniel/0000-0003-3932-577X; Rasmussen, Sune Olander/0000-0002-4177-3611; Martinerie, Patricia/0000-0002-6820-2296; Parrenin, Frédéric/0000-0002-9489-3991; Lemieux-Dudon, Benedicte/0000-0002-0718-2420; Blunier, Thomas/0000-0002-6065-7747; Severi, Mirko/0000-0003-1511-6762; Vinther, Bo/0000-0002-6078-771X; Blayo, Eric/0000-0002-8742-5655; Bazin, Lucie/0000-0003-4808-4090; LANDAIS, Amaelle/0000-0002-5620-5465</t>
  </si>
  <si>
    <t>CNRS-INSU; NERC [bas0100024] Funding Source: UKRI; Natural Environment Research Council [bas0100024] Funding Source: researchfish</t>
  </si>
  <si>
    <t>CNRS-INSU(Centre National de la Recherche Scientifique (CNRS)); NERC(UK Research &amp; Innovation (UKRI)Natural Environment Research Council (NERC)); Natural Environment Research Council(UK Research &amp; Innovation (UKRI)Natural Environment Research Council (NERC))</t>
  </si>
  <si>
    <t>10.5194/cp-9-1733-2013</t>
  </si>
  <si>
    <t>WOS:000323412600024</t>
  </si>
  <si>
    <t>Helsen, MM; van de Berg, WJ; van de Wal, RSW; van den Broeke, MR; Oerlemans, J</t>
  </si>
  <si>
    <t>Helsen, M. M.; van de Berg, W. J.; van de Wal, R. S. W.; van den Broeke, M. R.; Oerlemans, J.</t>
  </si>
  <si>
    <t>Coupled regional climate-ice-sheet simulation shows limited Greenland ice loss during the Eemian</t>
  </si>
  <si>
    <t>SEA-LEVEL RISE; SURFACE MASS-BALANCE; SOUTHERN GREENLAND; CORE EVIDENCE; MODEL; SENSITIVITY; TEMPERATURES; CONSTRAINTS; INSOLATION; COLLAPSE</t>
  </si>
  <si>
    <t>During the last interglacial period (Eemian, 130-115 kyr BP) eustatic global sea level likely peaked at &gt;6m above the present-day level, but estimates of the contribution of the Greenland Ice Sheet vary widely. Here we use an asynchronously two-way-coupled regional climate-ice-sheet model, which includes physically realistic feedbacks between the changing ice sheet topography and climate forcing. Our simulation results in a contribution from the Greenland Ice Sheet to the Eemian sea level highstand between 1.2 and 3.5 m, with a most likely value of 2.1 m. Simulated Eemian ice loss in Greenland is dominated by the rapid retreat of the southwestern margin; two-thirds of the ice loss occurred south of 70 degrees N. The southern dome survived the Eemian and remained connected to the central dome. Large-scale ice sheet retreat is prevented in areas with high accumulation. Our results broadly agree with ice-core-inferred elevation changes and marine records, but it does not match with the ice-core-derived temperature record from northern Greenland. During maximum Eemian summertime insolation, Greenland mass loss contributed similar to 0.5 m kyr(-1) to sea level rise, 24% of the reconstructed total rate of sea level rise. Next to that, a difference of &gt; 3 m remains between our maximum estimate of the Greenland contribution and the reconstructed minimum value of the global eustatic Eemian highstand. Hence, the Antarctic Ice Sheet must also have contributed significantly to this sea level highstand.</t>
  </si>
  <si>
    <t>[Helsen, M. M.; van de Berg, W. J.; van de Wal, R. S. W.; van den Broeke, M. R.; Oerlemans, J.] Univ Utrecht, Inst Marine &amp; Atmospher Res Utrecht IMAU, NL-3584 CC Utrecht, Netherlands</t>
  </si>
  <si>
    <t>Helsen, MM (corresponding author), Univ Utrecht, Inst Marine &amp; Atmospher Res Utrecht IMAU, Princetonpl 5, NL-3584 CC Utrecht, Netherlands.</t>
  </si>
  <si>
    <t>m.m.helsen@uu.nl</t>
  </si>
  <si>
    <t>van de Berg, Willem Jan/H-4385-2011; Van den Broeke, Michiel R./F-7867-2011; van de wal, roderik/D-1705-2011</t>
  </si>
  <si>
    <t>van de Berg, Willem Jan/0000-0002-8232-2040; Van den Broeke, Michiel R./0000-0003-4662-7565; van de wal, roderik/0000-0003-2543-3892</t>
  </si>
  <si>
    <t>Netherlands Organisation for Scientific Research (NWO); Netherlands Polar Programme of NWO/ALW; Royal Netherlands Academy of Sciences (KNAW); ice2sea programme from the European Union 7th Framework Programme [226375]</t>
  </si>
  <si>
    <t>Netherlands Organisation for Scientific Research (NWO)(Netherlands Organization for Scientific Research (NWO)); Netherlands Polar Programme of NWO/ALW; Royal Netherlands Academy of Sciences (KNAW); ice2sea programme from the European Union 7th Framework Programme(European Union (EU))</t>
  </si>
  <si>
    <t>We thank Thomas Reerink for developing the ice sheet model. Thanks to constructive comments of Anders Carlson and 4 other reviewers, the quality of this paper has substantially improved. The National Computing Facilities Foundation (NCF) provided supercomputer facilities with financial support from the Netherlands Organisation for Scientific Research (NWO). This work was supported by the Netherlands Polar Programme of NWO/ALW, the Royal Netherlands Academy of Sciences (KNAW) and the ice2sea programme from the European Union 7th Framework Programme, grant number 226375. Ice2sea contribution number 150.</t>
  </si>
  <si>
    <t>10.5194/cp-9-1773-2013</t>
  </si>
  <si>
    <t>WOS:000323412600027</t>
  </si>
  <si>
    <t>Legrand, M; Preunkert, S; Jourdain, B; Guilhermet, J; Faïn, X; Alekhina, I; Petit, JR</t>
  </si>
  <si>
    <t>Legrand, M.; Preunkert, S.; Jourdain, B.; Guilhermet, J.; Fain, X.; Alekhina, I.; Petit, J. R.</t>
  </si>
  <si>
    <t>Water-soluble organic carbon in snow and ice deposited at Alpine, Greenland, and Antarctic sites: a critical review of available data and their atmospheric relevance</t>
  </si>
  <si>
    <t>DURVILLE COASTAL ANTARCTICA; MAJOR 20TH-CENTURY CHANGES; LIGHT CARBOXYLIC-ACIDS; SALT SULFATE AEROSOLS; FOREST-FIRES; CHEMICAL CHARACTERISTICS; VEGETATION EMISSIONS; HYDROGEN-PEROXIDE; BOUNDARY-LAYER; CORES</t>
  </si>
  <si>
    <t>While it is now recognized that organic matter dominates the present-day atmospheric aerosol load over continents, its sources remain poorly known. The studies of organic species or organic fractions trapped in ice cores may help to overcome this lack of knowledge. Available data on the dissolved (or total) organic carbon (DOC or TOC) content of snow and ice often appear largely inconsistent, and, until now, no critical review has been conducted to understand the causes of these inconsistencies. To draw a more consistent picture of the organic carbon amount present in solid precipitation that accumulates on cold glaciers, we here review available data and, when needed, complete the data set with analyses of selected samples. The different data sets are then discussed by considering the age (modern versus pre-industrial, Holocene versus Last glacial Maximum) and type (surface snow, firn, or ice) of investigated samples, the deployed method, and the applied contamination control. Finally, the OC (DOC or TOC) levels of Antarctic, Greenland, and Alpine ice cores are compared and discussed with respect to natural (biomass burning, vegetation emissions) and anthropogenic sources (fossil fuel combustion) contributing to atmospheric OC aerosol.</t>
  </si>
  <si>
    <t>[Legrand, M.; Preunkert, S.; Jourdain, B.; Guilhermet, J.; Fain, X.; Petit, J. R.] UJF Grenoble 1, CNRS, LGGE, UMR5183, F-38041 Grenoble, France; [Alekhina, I.] Arctic &amp; Antarctic Res Inst, St Petersburg 199397, Russia</t>
  </si>
  <si>
    <t>Communaute Universite Grenoble Alpes; Universite Grenoble Alpes (UGA); Centre National de la Recherche Scientifique (CNRS); Arctic &amp; Antarctic Research Institute</t>
  </si>
  <si>
    <t>Legrand, M (corresponding author), UJF Grenoble 1, CNRS, LGGE, UMR5183, F-38041 Grenoble, France.</t>
  </si>
  <si>
    <t>legrand@lgge.obs.ujf-grenoble.fr</t>
  </si>
  <si>
    <t>IPO, PAGES/JXY-7546-2024; Faïn, Xavier/C-8645-2009; Legrand, Michel/AAU-4678-2020; FAIN, Xavier/AAF-7985-2019; Alekhina, Irina/L-2163-2016</t>
  </si>
  <si>
    <t>Faïn, Xavier/0000-0002-4119-6025; FAIN, Xavier/0000-0002-4119-6025; Alekhina, Irina/0000-0001-9820-8675</t>
  </si>
  <si>
    <t>European Commission [EVK2-2001-113]; CNRS-DFG French-German project Secondary organic aerosol production in the lower free troposphere over western Europe; Institut Polaire Francais-Paul Emile Victor (IPEV) [414]; ANR (Agence National de Recherche) [ANR-09-BLAN-0226]; FNRS-CFB, Belgium; FWO, Belgium; NRCan/GSC, Canada; CAS, China; FIST, Denmark; IPEV, France; CNRS/INSU, France; CEA, France; ANR, France; AWI, Germany; RannIs, Iceland; NIPR, Japan; KOPRI, Korea; NWO/ALW, the Netherlands; VR, Sweden; SNF, Switzerland; NERC, United Kingdom; US NSF, OPP United States; CNRS-INSU; Agence Nationale de la Recherche (ANR) [ANR-09-BLAN-0226] Funding Source: Agence Nationale de la Recherche (ANR)</t>
  </si>
  <si>
    <t>European Commission(European Union (EU)European Commission Joint Research Centre); CNRS-DFG French-German project Secondary organic aerosol production in the lower free troposphere over western Europe; Institut Polaire Francais-Paul Emile Victor (IPEV); ANR (Agence National de Recherche)(Agence Nationale de la Recherche (ANR)); FNRS-CFB, Belgium; FWO, Belgium(FWO); NRCan/GSC, Canada; CAS, China(Chinese Academy of Sciences); FIST, Denmark(Department of Science &amp; Technology (India)); IPEV, France; CNRS/INSU, France(Centre National de la Recherche Scientifique (CNRS)); CEA, France(French Atomic Energy Commission); ANR, France(Agence Nationale de la Recherche (ANR)); AWI, Germany; RannIs, Iceland; NIPR, Japan; KOPRI, Korea(Korea Polar Research Institute of Marine Research Placement (KOPRI)); NWO/ALW, the Netherlands(Netherlands Organization for Scientific Research (NWO)Netherlands Government); VR, Sweden(Swedish Research Council); SNF, Switzerland; NERC, United Kingdom(UK Research &amp; Innovation (UKRI)Natural Environment Research Council (NERC)); US NSF, OPP United States; CNRS-INSU(Centre National de la Recherche Scientifique (CNRS)); Agence Nationale de la Recherche (ANR)(Agence Nationale de la Recherche (ANR))</t>
  </si>
  <si>
    <t>We would like to thank D. Wagenbach and P. Stricker from the IUP Heidelberg for analytical efforts they have done over the last 10 yr in contributing to making it possible to perform routine measurements of OC in low-level ice samples. This work was partly supported by European Commission through the project CARBOSOL (EVK2-2001-113) and by the CNRS-DFG French-German project Secondary organic aerosol production in the lower free troposphere over western Europe. National financial support and field logistic supplies for the campaign at Concordia were provided by Institut Polaire Francais-Paul Emile Victor (IPEV) within programme No. 414. These Antarctic activities took also advantage of the field campaign organized in 2011/2012 at Concordia within the framework of the OPALE project funded by the ANR (Agence National de Recherche) contract ANR-09-BLAN-0226. The NEEM project is directed by the Centre for Ice and Climate at the Niels Bohr Institute, Copenhagen, and the US NSF OPP. It is supported by funding agencies and institutions in Belgium (FNRS-CFB and FWO), Canada (NRCan/GSC), China (CAS), Denmark (FIST), France (IPEV, CNRS/INSU, CEA, and ANR), Germany (AWI), Iceland (RannIs), Japan (NIPR), Korea (KOPRI), the Netherlands (NWO/ALW), Sweden (VR), Switzerland (SNF), the United Kingdom (NERC), and the United States (US NSF, OPP).; The publication of this article is financed by CNRS-INSU.</t>
  </si>
  <si>
    <t>10.5194/cp-9-2195-2013</t>
  </si>
  <si>
    <t>247EH</t>
  </si>
  <si>
    <t>WOS:000326597800010</t>
  </si>
  <si>
    <t>Milker, Y; Rachmayani, R; Weinkauf, MFG; Prange, M; Raitzsch, M; Schulz, M; Kucera, M</t>
  </si>
  <si>
    <t>Milker, Y.; Rachmayani, R.; Weinkauf, M. F. G.; Prange, M.; Raitzsch, M.; Schulz, M.; Kucera, M.</t>
  </si>
  <si>
    <t>Global and regional sea surface temperature trends during Marine Isotope Stage 11</t>
  </si>
  <si>
    <t>SOUTH CHINA SEA; PLANKTONIC FORAMINIFERAL MG/CA; WESTERN EQUATORIAL PACIFIC; NORTHERN HIGH-LATITUDES; SUB-ANTARCTIC ZONE; CLIMATE VARIABILITY; ICE SHEETS; MIDPLEISTOCENE TRANSITION; SUBTROPICAL CONVERGENCE; OCEAN TEMPERATURES</t>
  </si>
  <si>
    <t>The Marine Isotope Stage (MIS) 11 (424-374 ka) was characterized by a protracted deglaciation and an unusually long climatic optimum. It remains unclear to what degree the climate development during this interglacial reflects the unusually weak orbital forcing or greenhouse gas trends. Previously, arguments about the duration and timing of the MIS11 climatic optimum and about the pace of the deglacial warming were based on a small number of key records, which appear to show regional differences. In order to obtain a global signal of climate evolution during MIS11, we compiled a database of 78 sea surface temperature (SST) records from 57 sites spanning MIS11, aligned these individually on the basis of benthic (N = 28) or planktonic (N = 31) stable oxygen isotope curves to a common time frame and subjected 48 of them to an empirical orthogonal function (EOF) analysis. The analysis revealed a high commonality among all records, with the principal SST trend explaining almost 49% of the variability. This trend indicates that on the global scale, the surface ocean underwent rapid deglacial warming during Termination V, in pace with carbon dioxide rise, followed by a broad SST optimum centered at similar to 410 kyr. The second EOF, which explained similar to 18% of the variability, revealed the existence of a different SST trend, characterized by a delayed onset of the temperature optimum during MIS11 at similar to 398 kyr, followed by a prolonged warm period lasting beyond 380 kyr. This trend is most consistently manifested in the mid-latitude North Atlantic and Mediterranean Sea and is here attributed to the strength of the Atlantic meridional overturning circulation. A sensitivity analysis indicates that these results are robust to record selection and to age-model uncertainties of up to 3-6 kyr, but more sensitive to SST seasonal attribution and SST uncertainties &gt;1 degrees C. In order to validate the CCSM3 (Community Climate System Model, version 3) predictive potential, the annual and seasonal SST anomalies recorded in a total of 74 proxy records were compared with runs for three time slices representing orbital configuration extremes during the peak interglacial of MIS11. The modeled SST anomalies are characterized by a significantly lower variance compared to the reconstructions. Nevertheless, significant correlations between proxy and model data are found in comparisons on the seasonal basis, indicating that the model captures part of the long-term variability induced by astronomical forcing, which appears to have left a detectable signature in SST trends.</t>
  </si>
  <si>
    <t>[Milker, Y.; Weinkauf, M. F. G.; Kucera, M.] Univ Tubingen, Dept Geosci, D-72074 Tubingen, Germany; [Milker, Y.; Rachmayani, R.; Weinkauf, M. F. G.; Prange, M.; Schulz, M.; Kucera, M.] Univ Bremen, MARUM Ctr Marine Environm Sci, D-28359 Bremen, Germany; [Milker, Y.; Rachmayani, R.; Weinkauf, M. F. G.; Prange, M.; Schulz, M.; Kucera, M.] Univ Bremen, Fac Geosci, D-28359 Bremen, Germany; [Raitzsch, M.] Alfred Wegener Inst Polar &amp; Marine Res, D-27570 Bremerhaven, Germany</t>
  </si>
  <si>
    <t>Eberhard Karls University of Tubingen; University of Bremen; University of Bremen; Helmholtz Association; Alfred Wegener Institute, Helmholtz Centre for Polar &amp; Marine Research</t>
  </si>
  <si>
    <t>Milker, Y (corresponding author), Univ Hamburg, Ctr Earth Syst Res &amp; Sustainabil CEN, Inst Geol, Bundesstr 55, D-20146 Hamburg, Germany.</t>
  </si>
  <si>
    <t>yvonne.milker@uni-hamburg.de</t>
  </si>
  <si>
    <t>Kucera, Michal/AAE-8115-2020; Kucera, Michal/ABH-6065-2020; Weinkauf, Manuel/AAL-5704-2020; Schulz, Michael/P-7276-2016</t>
  </si>
  <si>
    <t>Kucera, Michal/0000-0002-7817-9018; Raitzsch, Markus/0000-0003-4214-358X; Weinkauf, Manuel F. G./0000-0002-4640-9659; Schulz, Michael/0000-0001-6500-2697; Prange, Matthias/0000-0001-5874-756X</t>
  </si>
  <si>
    <t>Deutsche Forschungsgemeinschaft (DFG)</t>
  </si>
  <si>
    <t>Deutsche Forschungsgemeinschaft (DFG)(German Research Foundation (DFG))</t>
  </si>
  <si>
    <t>We are grateful to the following colleagues for providing their data sets: T. Bickert, K. Billups, P. De Deckker, P. Dekens, H. Elderfield, J. M. Gonzales Donoso, B. W. Hayward, C. Hillaire-Marcel, E. Kandiano, K. Lawrence, D. Lea, L. T. Li, D. Nurnberg, F. Peeters, C. Pelejero, M.-S. Poli, S. Sepulcre, K.-J. Wei, J. Cheng, and M. Ziegler. We thank A. Voelker and an anonymous reviewer for their comments that helped improve the manuscript. We further thank A. Govin for her helpful comments. The study was funded by the Deutsche Forschungsgemeinschaft (DFG) through the Priority Programme INTERDYNAMIC. CCSM3 simulations were performed on the SGI Altix supercomputer of the Norddeutscher Verbund fur Hoch- und Hochstleistungsrechnen (HLRN). The presented data used for EOF analyses and the CCSM3 model data will be available on the PANGAEA database (www.pangaea.de).</t>
  </si>
  <si>
    <t>10.5194/cp-9-2231-2013</t>
  </si>
  <si>
    <t>WOS:000326597800012</t>
  </si>
  <si>
    <t>Van Liefferinge, B; Pattyn, F</t>
  </si>
  <si>
    <t>Van Liefferinge, B.; Pattyn, F.</t>
  </si>
  <si>
    <t>Using ice-flow models to evaluate potential sites of million year-old ice in Antarctica</t>
  </si>
  <si>
    <t>SUBGLACIAL LAKES; EAST ANTARCTICA; WEST ANTARCTICA; OXYGEN-ISOTOPE; MASS-BALANCE; DOME FUJI; LAW DOME; TEMPERATURE; CLIMATE; CORE</t>
  </si>
  <si>
    <t>Finding suitable potential sites for an undisturbed record of million-year old ice in Antarctica requires slow-moving ice (preferably an ice divide) and basal conditions that are not disturbed by large topographic variations. Furthermore, ice should be thick and cold basal conditions should prevail, since basal melting would destroy the bottom layers. However, thick ice (needed to resolve the signal at sufficient high resolution) increases basal temperatures, which is a conflicting condition for finding a suitable drill site. In addition, slow moving areas in the center of ice sheets are also low-accumulation areas, and low accumulation reduces potential cooling of the ice through vertical advection. While boundary conditions such as ice thickness and accumulation rates are relatively well constrained, the major uncertainty in determining basal thermal conditions resides in the geothermal heat flow (GHF) underneath the ice sheet. We explore uncertainties in existing GHF data sets and their effect on basal temperatures of the Antarctic Ice Sheet, and propose an updated method based on Pattyn (2010) to improve existing GHF data sets in agreement with known basal temperatures and their gradients to reduce this uncertainty. Both complementary methods lead to a better comprehension of basal temperature sensitivity and a characterization of potential ice coring sites within these uncertainties. The combination of both modeling approaches show that the most likely oldest ice sites are situated near the divide areas (close to existing deep drilling sites, but in areas of smaller ice thickness) and across the Gamburtsev Subglacial Mountains.</t>
  </si>
  <si>
    <t>[Van Liefferinge, B.; Pattyn, F.] Univ Libre Bruxelles, Lab Glaciol, B-1050 Brussels, Belgium</t>
  </si>
  <si>
    <t>Universite Libre de Bruxelles</t>
  </si>
  <si>
    <t>Van Liefferinge, B (corresponding author), Univ Libre Bruxelles, Lab Glaciol, CP 160-03,Ave FD Roosevelt 50, B-1050 Brussels, Belgium.</t>
  </si>
  <si>
    <t>bvlieffe@ulb.ac.be</t>
  </si>
  <si>
    <t>Pattyn, Frank/AAA-9640-2019; IPO, PAGES/JXY-7546-2024</t>
  </si>
  <si>
    <t>Pattyn, Frank/0000-0003-4805-5636; Van Liefferinge, Brice/0000-0001-7495-1771</t>
  </si>
  <si>
    <t>10.5194/cp-9-2335-2013</t>
  </si>
  <si>
    <t>WOS:000326597800018</t>
  </si>
  <si>
    <t>Fischer, H; Severinghaus, J; Brook, E; Wolff, E; Albert, M; Alemany, O; Arthern, R; Bentley, C; Blankenship, D; Chappellaz, J; Creyts, T; Dahl-Jensen, D; Dinn, M; Frezzotti, M; Fujita, S; Gallee, H; Hindmarsh, R; Hudspeth, D; Jugie, G; Kawamura, K; Lipenkov, V; Miller, H; Mulvaney, R; Parrenin, F; Pattyn, F; Ritz, C; Schwander, J; Steinhage, D; van Ommen, T; Wilhelms, F</t>
  </si>
  <si>
    <t>Fischer, H.; Severinghaus, J.; Brook, E.; Wolff, E.; Albert, M.; Alemany, O.; Arthern, R.; Bentley, C.; Blankenship, D.; Chappellaz, J.; Creyts, T.; Dahl-Jensen, D.; Dinn, M.; Frezzotti, M.; Fujita, S.; Gallee, H.; Hindmarsh, R.; Hudspeth, D.; Jugie, G.; Kawamura, K.; Lipenkov, V.; Miller, H.; Mulvaney, R.; Parrenin, F.; Pattyn, F.; Ritz, C.; Schwander, J.; Steinhage, D.; van Ommen, T.; Wilhelms, F.</t>
  </si>
  <si>
    <t>Where to find 1.5 million yr old ice for the IPICS Oldest-Ice ice core</t>
  </si>
  <si>
    <t>EPICA DOME-C; DRONNING MAUD LAND; CARBON-DIOXIDE CONCENTRATION; ANTARCTIC TEMPERATURE; MILLENNIAL-SCALE; CLIMATE VARIABILITY; ATMOSPHERIC CO2; ACCUMULATION; SHEET; FLOW</t>
  </si>
  <si>
    <t>The recovery of a 1.5 million yr long ice core from Antarctica represents a keystone of our understanding of Quaternary climate, the progression of glaciation over this time period and the role of greenhouse gas cycles in this progression. Here we tackle the question of where such ice may still be found in the Antarctic ice sheet. We can show that such old ice is most likely to exist in the plateau area of the East Antarctic ice sheet (EAIS) without stratigraphic disturbance and should be able to be recovered after careful pre-site selection studies. Based on a simple ice and heat flow model and glaciological observations, we conclude that positions in the vicinity of major domes and saddle position on the East Antarctic Plateau will most likely have such old ice in store and represent the best study areas for dedicated reconnaissance studies in the near future. In contrast to previous ice core drill site selections, however, we strongly suggest significantly reduced ice thickness to avoid bottom melting. For example for the geothermal heat flux and accumulation conditions at Dome C, an ice thickness lower than but close to about 2500m would be required to find 1.5 Myr old ice (i.e., more than 700m less than at the current EPICA Dome C drill site). Within this constraint, the resolution of an Oldest-Ice record and the distance of such old ice to the bedrock should be maximized to avoid ice flow disturbances, for example, by finding locations with minimum geothermal heat flux. As the geothermal heat flux is largely unknown for the EAIS, this parameter has to be carefully determined beforehand. In addition, detailed bedrock topography and ice flow history has to be reconstructed for candidates of an Oldest-Ice ice coring site. Finally, we argue strongly for rapid access drilling before any full, deep ice coring activity commences to bring datable samples to the surface and to allow an age check of the oldest ice.</t>
  </si>
  <si>
    <t>[Fischer, H.; Schwander, J.] Univ Bern, Inst Phys, CH-3012 Bern, Switzerland; [Fischer, H.; Schwander, J.] Univ Bern, Oeschger Ctr Climate Change Res, CH-3012 Bern, Switzerland; [Severinghaus, J.] Univ Calif San Diego, Scripps Inst Oceanog, San Diego, CA 92103 USA; [Brook, E.] Oregon State Univ, Dept Geosci, Corvallis, OR 97331 USA; [Wolff, E.; Arthern, R.; Dinn, M.; Hindmarsh, R.; Mulvaney, R.] British Antarctic Survey, Cambridge CB3 0ET, England; [Albert, M.] Dartmouth Coll, Thayer Sch Engn, Hanover, NH USA; [Alemany, O.; Chappellaz, J.; Gallee, H.; Parrenin, F.; Ritz, C.] Ecole Natl Super Electrochim &amp; Electrome Grenoble, Thermodynam &amp; Physicochim Met Lab, CNRS, Lab Glaciol &amp; Geophys Environm,UJF Grenoble, F-38402 St Martin Dheres, France; [Bentley, C.] Univ Wisconsin, Madison, WI USA; [Blankenship, D.] Univ Texas Austin, Inst Geophys, Austin, TX USA; [Creyts, T.] Columbia Univ, Lamont Doherty Earth Observ, Palisades, NY USA; [Dahl-Jensen, D.] Univ Copenhagen, Niels Bohr Inst, Ctr Ice &amp; Climate, DK-2100 Copenhagen, Denmark; [Frezzotti, M.] ENEA CRE, Rome, Italy; [Fujita, S.; Kawamura, K.] Natl Inst Polar Res, Tokyo, Japan; [Hudspeth, D.; van Ommen, T.] Australian Antarctic Div, Hobart, Tas, Australia; [Jugie, G.] Inst Polaire Francais Paul Emile Victor, Plouzane, France; [Lipenkov, V.] Arctic &amp; Antarctic Res Inst, St Petersburg 199226, Russia; [Miller, H.; Steinhage, D.; Wilhelms, F.] Alfred Wegener Inst Polar &amp; Marine Res, Bremerhaven, Germany; [Pattyn, F.] Univ Libre Bruxelles, Lab Glaciol, Brussels, Belgium</t>
  </si>
  <si>
    <t>University of Bern; University of Bern; University of California System; University of California San Diego; Scripps Institution of Oceanography; Oregon State University; UK Research &amp; Innovation (UKRI); Natural Environment Research Council (NERC); NERC British Antarctic Survey; Dartmouth College; Centre National de la Recherche Scientifique (CNRS); Communaute Universite Grenoble Alpes; Institut National Polytechnique de Grenoble; Universite Grenoble Alpes (UGA); University of Wisconsin System; University of Wisconsin Madison; University of Texas System; University of Texas Austin; Columbia University; University of Copenhagen; Niels Bohr Institute; Italian National Agency New Technical Energy &amp; Sustainable Economics Development; Research Organization of Information &amp; Systems (ROIS); National Institute of Polar Research (NIPR) - Japan; Australian Antarctic Division; Arctic &amp; Antarctic Research Institute; Helmholtz Association; Alfred Wegener Institute, Helmholtz Centre for Polar &amp; Marine Research; Universite Libre de Bruxelles</t>
  </si>
  <si>
    <t>Fischer, H (corresponding author), Univ Bern, Inst Phys, Sidlerstr 5, CH-3012 Bern, Switzerland.</t>
  </si>
  <si>
    <t>hubertus.fischer@climate.unibe.ch</t>
  </si>
  <si>
    <t>Brook, Edward/AAB-7807-2021; Dahl-Jensen, Dorthe/AAO-6951-2020; IPO, PAGES/JXY-7546-2024; Lipenkov, Vladimir Y/Q-8262-2016; FREZZOTTI, Massimo/AAK-7275-2020; Parrenin, Frédéric/H-3054-2014; Chappellaz, Jérôme A./A-4872-2011; Wolff, Eric W/D-7925-2014; Pattyn, Frank/AAA-9640-2019; Blankenship, Donald D./G-5935-2010; Fischer, Hubertus/A-1211-2014; Wilhelms, Frank/KEI-8426-2024; Hindmarsh, Richard/N-1195-2019; Mulvaney, Robert/K-3929-2012; van Ommen, Tas D/B-5020-2012; Fujita, Shuji/A-7884-2016</t>
  </si>
  <si>
    <t>Dahl-Jensen, Dorthe/0000-0002-1474-1948; FREZZOTTI, Massimo/0000-0002-2461-2883; Parrenin, Frédéric/0000-0002-9489-3991; Wolff, Eric W/0000-0002-5914-8531; Pattyn, Frank/0000-0003-4805-5636; Wilhelms, Frank/0000-0001-7688-3135; Hindmarsh, Richard/0000-0003-1633-2416; Fujita, Shuji/0000-0003-0127-0777</t>
  </si>
  <si>
    <t>EPICA (European Project for Ice Coring in Antarctica) Descartes Prize for Transnational Collaboration; NERC [bas0100027, bas0100024] Funding Source: UKRI; Grants-in-Aid for Scientific Research [21671001] Funding Source: KAKEN; Natural Environment Research Council [bas0100027, bas0100024] Funding Source: researchfish</t>
  </si>
  <si>
    <t>EPICA (European Project for Ice Coring in Antarctica) Descartes Prize for Transnational Collaboration; NERC(UK Research &amp; Innovation (UKRI)Natural Environment Research Council (NERC));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t>
  </si>
  <si>
    <t>This work is an outgrowth of the efforts of IPICS (International Partnerships in Ice Core Sciences; http://www.pages-igbp.org/ipics/), which is affiliated to the IGBP project PAGES (Past Global Changes), SCAR (Scientific Committee on Antarctic Research) and IACS (International Association of Cryospheric Sciences). IPICS has received substantial support from NSF (US National Science Foundation) and EPB (European Polar Board). This paper has been initiated during an Oldest-Ice workshop in October 2012, which was financially supported through the EPICA (European Project for Ice Coring in Antarctica) Descartes Prize for Transnational Collaboration 2007. H. Fischer thanks Laura Anton for rediscovering important scientific material, which got lost at a late stage of this paper.</t>
  </si>
  <si>
    <t>10.5194/cp-9-2489-2013</t>
  </si>
  <si>
    <t>269WT</t>
  </si>
  <si>
    <t>WOS:000328274700006</t>
  </si>
  <si>
    <t>Schneider, R; Schmitt, J; Köhler, P; Joos, F; Fischer, H</t>
  </si>
  <si>
    <t>Schneider, R.; Schmitt, J.; Koehler, P.; Joos, F.; Fischer, H.</t>
  </si>
  <si>
    <t>A reconstruction of atmospheric carbon dioxide and its stable carbon isotopic composition from the penultimate glacial maximum to the last glacial inception</t>
  </si>
  <si>
    <t>ICE CORE DATA; ANTARCTIC ICE; SOUTHERN-OCEAN; CACO3 PRESERVATION; CO2 CONCENTRATIONS; AGE SCALE; SEA-LEVEL; DOME-C; FRACTIONATION; CLIMATE</t>
  </si>
  <si>
    <t>The reconstruction of the stable carbon isotope evolution in atmospheric CO2 (delta C-13(atm)), as archived in Antarctic ice cores, bears the potential to disentangle the contributions of the different carbon cycle fluxes causing past CO2 variations. Here we present a new record of delta C-13(atm) before, during and after the Marine Isotope Stage 5.5 (155 000 to 105 000 yr BP). The dataset is archived on the data repository PANGEA (R) (www.pangea.de) under doi:10.1594/PANGAEA.817041. The record was derived with a well established sublimation method using ice from the EPICA Dome C (EDC) and the Talos Dome ice cores in East Antarctica. We find a 0.4 parts per thousand shift to heavier values between the mean delta C-13(atm) level in the Penultimate (similar to 140 000 yr BP) and Last Glacial Maximum (similar to 22 000 yr BP), which can be explained by either (i) changes in the isotopic composition or (ii) intensity of the carbon input fluxes to the combined ocean/atmosphere carbon reservoir or (iii) by long-term peat buildup. Our isotopic data suggest that the carbon cycle evolution along Termination II and the subsequent interglacial was controlled by essentially the same processes as during the last 24 000 yr, but with different phasing and magnitudes. Furthermore, a 5000 yr lag in the CO2 decline relative to EDC temperatures is confirmed during the glacial inception at the end of MIS5.5 (120 000 yr BP). Based on our isotopic data this lag can be explained by terrestrial carbon release and carbonate compensation.</t>
  </si>
  <si>
    <t>[Schneider, R.; Schmitt, J.; Joos, F.; Fischer, H.] Univ Bern, Inst Phys, CH-3012 Bern, Switzerland; [Schneider, R.; Schmitt, J.; Joos, F.; Fischer, H.] Univ Bern, Oeschger Ctr Climate Change Res, CH-3012 Bern, Switzerland; [Schmitt, J.; Koehler, P.; Fischer, H.] Helmholtz Ctr Polar &amp; Marine Res AWI, Alfred Wegener Inst, D-27515 Bremerhaven, Germany</t>
  </si>
  <si>
    <t>University of Bern; University of Bern; Helmholtz Association; Alfred Wegener Institute, Helmholtz Centre for Polar &amp; Marine Research</t>
  </si>
  <si>
    <t>Schneider, R (corresponding author), Univ Bern, Inst Phys, Sidlerstr 5, CH-3012 Bern, Switzerland.</t>
  </si>
  <si>
    <t>robert_schneider@posteo.de</t>
  </si>
  <si>
    <t>IPO, PAGES/JXY-7546-2024; Schmitt, Jochen/B-7893-2009; Köhler, Peter/F-7293-2010; Joos, Fortunat/B-4118-2018; Fischer, Hubertus/A-1211-2014</t>
  </si>
  <si>
    <t>Schmitt, Jochen/0000-0003-4695-3029; Köhler, Peter/0000-0003-0904-8484; Joos, Fortunat/0000-0002-9483-6030; Fischer, Hubertus/0000-0002-2787-4221</t>
  </si>
  <si>
    <t>Swiss NSF; DFG; German climate program DEKLIM; EU (EPICA-MIS); [243908]</t>
  </si>
  <si>
    <t>Swiss NSF(Swiss National Science Foundation (SNSF)); DFG(German Research Foundation (DFG)); German climate program DEKLIM; EU (EPICA-MIS)(European Union (EU));</t>
  </si>
  <si>
    <t>This work is a contribution to the European Project for Ice Coring in Antarctica (EPICA), a joint European Science Foundation/European Commission scientific program, funded by the EU (EPICA-MIS) and by national contributions from Belgium, Denmark, France, Germany, Italy, the Netherlands, Norway, Sweden, Switzerland and the United Kingdom as well as to the TALos Dome Ice CorE (TALDICE) project funded by Italy, France, Germany, Switzerland and United Kingdom. The main EPICA logistic support was provided by IPEV and PNRA (at Dome C) and AWI (at Dronning Maud Land). This work is also a contribution to the EU Integrated Programme Past4Future: Climate change - Learning from the past climate within the European Union's Seventh Framework programme (FP7/2007-2013) under grant agreement no. 243908. We thank A. Landais, D. Rodriguez, E. Capron and G. Dreyfus for the contribution of delta15N data. We acknowledge financial support by the Swiss NSF, the DFG priority program INTERDYNAMIK and the German climate program DEKLIM. We thank J. Chappellaz for many discussions on delta13Catm in ice cores and E. W. Wolff for discussions on the impact of climate variations during glacial/interglacial terminations on carbonate compensation effects in the subsequent warm periods. This is EPICA publication no. 292 and TALDICE publication no. 33.</t>
  </si>
  <si>
    <t>10.5194/cp-9-2507-2013</t>
  </si>
  <si>
    <t>WOS:000328274700007</t>
  </si>
  <si>
    <t>Jouzel, J</t>
  </si>
  <si>
    <t>Jouzel, J.</t>
  </si>
  <si>
    <t>A brief history of ice core science over the last 50 yr</t>
  </si>
  <si>
    <t>EPICA DOME-C; ABRUPT CLIMATE-CHANGE; GENERAL-CIRCULATION MODEL; SUB-MILLENNIAL SCALE; ANTARCTIC ICE; GREENLAND ICE; ATMOSPHERIC CO2; DEUTERIUM-EXCESS; FIRN-AIR; ISOTOPIC COMPOSITION</t>
  </si>
  <si>
    <t>For about 50 yr, ice cores have provided a wealth of information about past climatic and environmental changes. Ice cores from Greenland, Antarctica and other glacier-covered regions now encompass a variety of time scales. However, the longer time scales (e. g. at least back to the Last Glacial period) are covered by deep ice cores, the number of which is still very limited: seven from Greenland, with only one providing an undisturbed record of a part of the last interglacial period, and a dozen from Antarctica, with the longest record covering the last 800 000 yr. This article aims to summarize this successful adventure initiated by a few pioneers and their teams and to review key scientific results by focusing on climate (in particular water isotopes) and climate-related (e. g. greenhouse gases) reconstructions. Future research is well taken into account by the four projects defined by IPICS. However, it remains a challenge to get an intact record of the Last Interglacial in Greenland and to extend the Antarctic record through the mid-Pleistocene transition, if possible back to 1.5 Ma.</t>
  </si>
  <si>
    <t>CEA Saclay, CEA CNRS UVSQ UMR8212, Inst Pierre Simon Laplace, Lab Sci Climat &amp; Environm, F-91191 Gif Sur Yvette, France</t>
  </si>
  <si>
    <t>Universite Paris Saclay; Centre National de la Recherche Scientifique (CNRS); CNRS - National Institute for Earth Sciences &amp; Astronomy (INSU); Universite Paris Cite; CEA</t>
  </si>
  <si>
    <t>Jouzel, J (corresponding author), CEA Saclay, CEA CNRS UVSQ UMR8212, Inst Pierre Simon Laplace, Lab Sci Climat &amp; Environm, Bt 701, F-91191 Gif Sur Yvette, France.</t>
  </si>
  <si>
    <t>jean.jouzel@lsce.ipsl.fr</t>
  </si>
  <si>
    <t>IPO, PAGES/JXY-7546-2024</t>
  </si>
  <si>
    <t>10.5194/cp-9-2525-2013</t>
  </si>
  <si>
    <t>WOS:000328274700008</t>
  </si>
  <si>
    <t>Hou, S; Chappellaz, J; Raynaud, D; Masson-Delmotte, V; Jouzel, J; Bousquet, P; Hauglustaine, D</t>
  </si>
  <si>
    <t>Hou, S.; Chappellaz, J.; Raynaud, D.; Masson-Delmotte, V.; Jouzel, J.; Bousquet, P.; Hauglustaine, D.</t>
  </si>
  <si>
    <t>A new Himalayan ice core CH4 record: possible hints at the preindustrial latitudinal gradient</t>
  </si>
  <si>
    <t>ATMOSPHERIC METHANE; TEMPERATURE; GREENLAND</t>
  </si>
  <si>
    <t>Two ice cores recovered from the Himalayan East Rongbuk (ER) Glacier on the northeast saddle of Mt. Qomolangma (Everest) (28 degrees 01'N, 86 degrees 58'E, 6518m above sea level) give access to a tentative record of past Himalayan atmospheric mixing ratio of CH4 spanning the past 1200 yr. The major part of the record is affected by artifacts probably due to in situ production. After selecting what may represent the true atmospheric mixing ratio, an average of 749 +/- 25 ppbv of CH4 is estimated for the late preindustrial Holocene, which is similar to 36 +/- 17 (similar to 73 +/- 18) ppbv higher than the atmospheric levels recorded in the Greenland (Antarctic) ice cores. A comparison of these new data with model simulations of the CH4 latitudinal gradient suggests either that the models do not get a correct balance between high and low latitude CH4 sources, or that the filtered CH4 profile from the ER cores remains biased by small artifacts.</t>
  </si>
  <si>
    <t>[Hou, S.] Nanjing Univ, Sch Geog &amp; Oceanog Sci, Minist Educ, Key Lab Coast &amp; Isl Dev, Nanjing 210093, Jiangsu, Peoples R China; [Chappellaz, J.; Raynaud, D.] UJF Grenoble 1, CNRS, Lab Glaciol &amp; Geophys Environm, UMR5183, F-38041 Grenoble, France; [Masson-Delmotte, V.; Jouzel, J.; Bousquet, P.; Hauglustaine, D.] CEA CNRS UVSQ IPSL, UMR8212, IPSL, Lab Sci Climat &amp; Environm, F-91191 Gif Sur Yvette, France</t>
  </si>
  <si>
    <t>Nanjing University; Communaute Universite Grenoble Alpes; Universite Grenoble Alpes (UGA); Centre National de la Recherche Scientifique (CNRS); Universite Paris Saclay; Universite Paris Cite; CEA; Centre National de la Recherche Scientifique (CNRS); CNRS - National Institute for Earth Sciences &amp; Astronomy (INSU)</t>
  </si>
  <si>
    <t>Hou, S (corresponding author), Nanjing Univ, Sch Geog &amp; Oceanog Sci, Minist Educ, Key Lab Coast &amp; Isl Dev, Nanjing 210093, Jiangsu, Peoples R China.</t>
  </si>
  <si>
    <t>shugui@nju.edu.cn</t>
  </si>
  <si>
    <t>IPO, PAGES/JXY-7546-2024; Raynaud, Dominique/H-9626-2016; raynaud, dominique/ABG-4718-2020; BOUSQUET, Philippe/AGI-6602-2022; Masson-Delmotte, Valerie L/G-1995-2011; Chappellaz, Jérôme A./A-4872-2011; Hauglustaine, Didier/A-4154-2012</t>
  </si>
  <si>
    <t>Masson-Delmotte, Valerie L/0000-0001-8296-381X; Hauglustaine, Didier/0000-0002-4826-5118; Hou, Shugui/0000-0002-0905-3542; Bousquet, Philippe/0000-0002-4444-2703</t>
  </si>
  <si>
    <t>Chinese Academy of Sciences [XDB03030101-4]; National Basic Research program of China [2010CB951401]; Natural Science Foundation of China [40825017, 41171052]; Ministry of Education [20110091110025]; Priority Academic Program Development of Jiangsu Higher Education Institutions; Centre National de Recherche Scientifique (CNRS, PICS CLEAH); French embassy in China; Directorate For Geosciences; Office of Polar Programs (OPP) [0944552] Funding Source: National Science Foundation</t>
  </si>
  <si>
    <t>Chinese Academy of Sciences(Chinese Academy of Sciences); National Basic Research program of China(National Basic Research Program of China); Natural Science Foundation of China(National Natural Science Foundation of China (NSFC)); Ministry of Education; Priority Academic Program Development of Jiangsu Higher Education Institutions; Centre National de Recherche Scientifique (CNRS, PICS CLEAH); French embassy in China; Directorate For Geosciences; Office of Polar Programs (OPP)(National Science Foundation (NSF)NSF - Directorate for Geosciences (GEO))</t>
  </si>
  <si>
    <t>Thanks are due to many scientists, technicians, graduates and porters for their hard work in the field, to Amaelle Landais, Blandine Bellier, Nicolas Caillon and Stephane Cherrier for their help in the laboratories, and to Sander Houweling for providing the preindustrial CH4 simulation results. This work was supported in China by the Chinese Academy of Sciences (XDB03030101-4), the National Basic Research program of China (2010CB951401), the Natural Science Foundation of China (40825017 and 41171052), the Ministry of Education (20110091110025), the Priority Academic Program Development of Jiangsu Higher Education Institutions, and in France by the Centre National de Recherche Scientifique (CNRS, PICS CLEAH) and the French embassy in China.</t>
  </si>
  <si>
    <t>10.5194/cp-9-2549-2013</t>
  </si>
  <si>
    <t>WOS:000328274700009</t>
  </si>
  <si>
    <t>Hamon, N; Sepulchre, P; Lefebvre, V; Ramstein, G</t>
  </si>
  <si>
    <t>Hamon, N.; Sepulchre, P.; Lefebvre, V.; Ramstein, G.</t>
  </si>
  <si>
    <t>The role of eastern Tethys seaway closure in the Middle Miocene Climatic Transition (ca. 14 Ma)</t>
  </si>
  <si>
    <t>ATMOSPHERIC CARBON-DIOXIDE; DEEP-OCEAN CIRCULATION; SOUTHERN-OCEAN; BENTHIC FORAMINIFERA; ICE VOLUME; EVOLUTION; CO2; OLIGOCENE; PALEOGEOGRAPHY; EURASIA</t>
  </si>
  <si>
    <t>The Middle Miocene Climatic Transition (MMCT, approximately 14 Ma) is a key period in Cenozoic cooling and cryospheric expansion. Despite being well documented in isotopic record, the causes of the MMCT are still a matter of debate. Among various hypotheses, some authors suggested that it was due the final closure of the eastern Tethys seaway and subsequent oceanic circulation reorganisation. The aim of the present study is to quantify the impact of varying Tethys seaway depths on middle Miocene ocean and climate, in order to better understand its role in the MMCT. We present four sensitivity experiments with a fully coupled ocean-atmosphere general circulation model. Our results indicate the presence of a warm and salty water source in the northern Indian Ocean when the eastern Tethys is deep open (4000 or 1000 m), which corresponds to the Tethyan Indian Saline Water (TISW) described on the basis of isotopic studies. This water source is absent in the experiments with shallow (250 m) and closed Tethys seaway, inducing strong changes in the latitudinal density gradient and ultimately the reinforcement of the Antarctic Circumpolar Current (ACC). Moreover, when the Tethys seaway is shallow or closed, there is a westward water flow in the Gibraltar Strait that strengthens the Atlantic Meridional Overturning Circulation (AMOC) compared to the experiments with deep-open Tethys seaway. Our results therefore suggest that the shoaling and final closure of the eastern Tethys seaway played a major role in the oceanic circulation reorganisation during the middle Miocene. The results presented here provide new constraints on the timing of the Tethys seaway closure and particularly indicate that, prior to 14 Ma, a deep-open Tethys seaway should have allowed the formation of TISW. Moreover, whereas the final closure of this seaway likely played a major role in the reorganisation of oceanic circulation, we suggest that it was not the main driver of the global cooling and Antarctica ice-sheet expansion during the MMCT. Here we propose that the initiation of the MMCT was caused by an atmospheric pCO(2) drawdown and that the oceanic changes due to the Tethys seaway closure amplified the response of global climate and East Antarctic Ice Sheet.</t>
  </si>
  <si>
    <t>[Hamon, N.] Univ Poitiers, Inst Paleoprimatol Paleontol Humaine Evol &amp; Paleo, CNRS, INEE,UMR7262, Poitiers, France; [Hamon, N.; Sepulchre, P.; Lefebvre, V.; Ramstein, G.] Univ Versailles St Quentin en Yvelines, CEA, CNRS, Lab Sci Climat &amp; Environm,UMR8212, Gif Sur Yvette, France; [Lefebvre, V.] CNRS UPS IRD CNES, UMR5563, Geosci Environm Toulouse, Toulouse, France</t>
  </si>
  <si>
    <t>Centre National de la Recherche Scientifique (CNRS); CNRS - Institute of Ecology &amp; Environment (INEE); Universite de Poitiers; Universite Paris Saclay; CEA; Centre National de la Recherche Scientifique (CNRS); CNRS - National Institute for Earth Sciences &amp; Astronomy (INSU); Universite de Toulouse; Universite Toulouse III - Paul Sabatier; Centre National de la Recherche Scientifique (CNRS); Institut de Recherche pour le Developpement (IRD); CNRS - National Institute for Earth Sciences &amp; Astronomy (INSU)</t>
  </si>
  <si>
    <t>Hamon, N (corresponding author), Univ Poitiers, Inst Paleoprimatol Paleontol Humaine Evol &amp; Paleo, CNRS, INEE,UMR7262, Poitiers, France.</t>
  </si>
  <si>
    <t>noemiehamon@yahoo.fr</t>
  </si>
  <si>
    <t>Ramstein, Gilles/L-3328-2014; Lefebvre, Vincent/F-4900-2013; Sepulchre, Pierre/Q-2006-2017</t>
  </si>
  <si>
    <t>Ramstein, Gilles/0000-0002-1522-917X; Sepulchre, Pierre/0000-0002-4267-4025</t>
  </si>
  <si>
    <t>GENCI [CCRT/TGCC/CINES/IDRIS] [2013- [t2013012212]]; CNRS-INSU; CNRS; CEA; Region Poitou-Charentes</t>
  </si>
  <si>
    <t>GENCI [CCRT/TGCC/CINES/IDRIS]; CNRS-INSU(Centre National de la Recherche Scientifique (CNRS)); CNRS(Centre National de la Recherche Scientifique (CNRS)); CEA(French Atomic Energy Commission); Region Poitou-Charentes(Region Nouvelle-Aquitaine)</t>
  </si>
  <si>
    <t>We are particularly grateful to M. Brunet and the College de France, thanks to whom this work has been performed under the best circumstances. We also want to acknowledge P. Vignaud and the CNRS, as well as the CEA and Region Poitou-Charentes for the funding of this study. This work was performed using HPC resources from GENCI [CCRT/TGCC/CINES/IDRIS] (grant 2013- [t2013012212]).; The publication of this article is financed by CNRS-INSU.</t>
  </si>
  <si>
    <t>10.5194/cp-9-2687-2013</t>
  </si>
  <si>
    <t>WOS:000328274700018</t>
  </si>
  <si>
    <t>Mairesse, A; Goosse, H; Mathiot, P; Wanner, H; Dubinkina, S</t>
  </si>
  <si>
    <t>Mairesse, A.; Goosse, H.; Mathiot, P.; Wanner, H.; Dubinkina, S.</t>
  </si>
  <si>
    <t>Investigating the consistency between proxy-based reconstructions and climate models using data assimilation: a mid-Holocene case study</t>
  </si>
  <si>
    <t>LAST GLACIAL MAXIMUM; PMIP2 COUPLED SIMULATIONS; TREE-LINE AREA; HOLOCENE CLIMATE; HIGH-RESOLUTION; MEAN TEMPERATURE; SYSTEM MODEL; NORDIC SEAS; SURFACE; VEGETATION</t>
  </si>
  <si>
    <t>The mid-Holocene (6 kyr BP; thousand years before present) is a key period to study the consistency between model results and proxy-based reconstruction data as it corresponds to a standard test for models and a reasonable number of proxy-based records is available. Taking advantage of this relatively large amount of information, we have compared a compilation of 50 air and sea surface temperature reconstructions with the results of three simulations performed with general circulation models and one carried out with LOVECLIM, a model of intermediate complexity. The conclusions derived from this analysis confirm that models and data agree on the large-scale spatial pattern but the models underestimate the magnitude of some observed changes and that large discrepancies are observed at the local scale. To further investigate the origin of those inconsistencies, we have constrained LOVECLIM to follow the signal recorded by the proxies selected in the compilation using a data-assimilation method based on a particle filter. In one simulation, all the 50 proxy-based records are used while in the other two only the continental or oceanic proxy-based records constrain the model results. As expected, data assimilation leads to improving the consistency between model results and the reconstructions. In particular, this is achieved in a robust way in all the experiments through a strengthening of the westerlies at midlatitude that warms up northern Europe. Furthermore, the comparison of the LOVECLIM simulations with and without data assimilation has also objectively identified 16 proxy-based paleoclimate records whose reconstructed signal is either incompatible with the signal recorded by some other proxy-based records or with model physics.</t>
  </si>
  <si>
    <t>[Mairesse, A.; Goosse, H.; Dubinkina, S.] Catholic Univ Louvain, Earth &amp; Life Inst, Georges Lemaitre Ctr Earth &amp; Climate Res, B-1348 Louvain, Belgium; [Mathiot, P.] British Antarctic Survey, NERC, Cambridge CB3 0ET, England; [Wanner, H.] Univ Bern, Inst Geog, Bern, Switzerland; [Wanner, H.] Univ Bern, Oeschger Ctr Climate Change Res, Bern, Switzerland</t>
  </si>
  <si>
    <t>Universite Catholique Louvain; UK Research &amp; Innovation (UKRI); Natural Environment Research Council (NERC); NERC British Antarctic Survey; University of Bern; University of Bern</t>
  </si>
  <si>
    <t>Mairesse, A (corresponding author), Catholic Univ Louvain, Earth &amp; Life Inst, Georges Lemaitre Ctr Earth &amp; Climate Res, Pl Louis Pasteur 3, B-1348 Louvain, Belgium.</t>
  </si>
  <si>
    <t>aurelien.mairesse@uclouvain.be</t>
  </si>
  <si>
    <t>Dubinkina, Svetlana/0000-0003-2187-5909; Mathiot, Pierre/0000-0002-2001-0762</t>
  </si>
  <si>
    <t>European Union [243908]; FRS-FNRS; NERC [bas0100028] Funding Source: UKRI; Natural Environment Research Council [bas0100028] Funding Source: researchfish</t>
  </si>
  <si>
    <t>European Union(European Union (EU)); FRS-FNRS(Fonds de la Recherche Scientifique - FNRS); NERC(UK Research &amp; Innovation (UKRI)Natural Environment Research Council (NERC)); Natural Environment Research Council(UK Research &amp; Innovation (UKRI)Natural Environment Research Council (NERC))</t>
  </si>
  <si>
    <t>The authors acknowledge the constructive and precise comments of the two anonymous reviewers. We thank all the people who made the data available, in particular Guillaume Leduc, Joan O. Grimalt, Belen Martrat and Heikki Seppa. We acknowledge the World Climate Research Programme's Working Group on Coupled Modelling, which is responsible for CMIP. For CMIP the US Department of Energy's Program for Climate Model Diagnosis and Intercomparison provides coordinating support and led development of software infrastructure in partnership with the Global Organization for Earth System Science Portals. We acknowledge D. Roche for making available the ice sheet forcing data for the LOVECLIM model. A. Mairesse also wishes to thank Marit-Solveig Seidenkrantz and Anne de Vernal for the very useful discussions about the oceanic proxy-based reconstructions as well as Eric Wolff and Joeel Guiot about the ice-core and the pollen data, respectively. H. Goosse is a senior research associate with the Fonds National de la Recherche Scientifique (F. R. S. - FNRS-Belgium). The research leading to these results has received funding from the European Union's Seventh Framework programme (FP7/2007-2013) under grant agreement no. 243908, Past4Future: Climate change - Learning from the past climate. Computational resources have been provided by the supercomputing facilities of the Universite catholique de Louvain (CISM/UCL) and the Consortium des Equipements de Calcul Intensif en Federation Wallonie Bruxelles (CECI) funded by FRS-FNRS. This is Past4Future contribution no. 61.</t>
  </si>
  <si>
    <t>10.5194/cp-9-2741-2013</t>
  </si>
  <si>
    <t>gold, Green Published, Green Submitted, Green Accepted</t>
  </si>
  <si>
    <t>WOS:000328274700022</t>
  </si>
  <si>
    <t>Schüpbach, S; Federer, U; Kaufmann, PR; Albani, S; Barbante, C; Stocker, TF; Fischer, H</t>
  </si>
  <si>
    <t>Schuepbach, S.; Federer, U.; Kaufmann, P. R.; Albani, S.; Barbante, C.; Stocker, T. F.; Fischer, H.</t>
  </si>
  <si>
    <t>High-resolution mineral dust and sea ice proxy records from the Talos Dome ice core</t>
  </si>
  <si>
    <t>LAST GLACIAL MAXIMUM; NORTHERN VICTORIA LAND; EAST ANTARCTICA; SOUTHERN-OCEAN; ATMOSPHERIC CO2; AEOLIAN DUST; CHRONOLOGY AICC2012; ATLANTIC SECTOR; CLIMATE-CHANGE; GREENLAND ICE</t>
  </si>
  <si>
    <t>In this study we report on new non-sea salt calcium (nssCa(2+), mineral dust proxy) and sea salt sodium (ssNa(+), sea ice proxy) records along the East Antarctic Talos Dome deep ice core in centennial resolution reaching back 150 thousand years (ka) before present. During glacial conditions nssCa(2+) fluxes in Talos Dome are strongly related to temperature as has been observed before in other deep Antarctic ice core records, and has been associated with synchronous changes in the main source region (southern South America) during climate variations in the last glacial. However, during warmer climate conditions Talos Dome mineral dust input is clearly elevated compared to other records mainly due to the contribution of additional local dust sources in the Ross Sea area. Based on a simple transport model, we compare nssCa(2+) fluxes of different East Antarctic ice cores. From this multi-site comparison we conclude that changes in transport efficiency or atmospheric lifetime of dust particles do have a minor effect compared to source strength changes on the large-scale concentration changes observed in Antarctic ice cores during climate variations of the past 150 ka. Our transport model applied on ice core data is further validated by climate model data. The availability of multiple East Antarctic nssCa(2+) records also allows for a revision of a former estimate on the atmospheric CO2 sensitivity to reduced dust induced iron fertilisation in the Southern Ocean during the transition from the Last Glacial Maximum to the Holocene (T1). While a former estimate based on the EPICA Dome C (EDC) record only suggested 20 ppm, we find that reduced dust induced iron fertilisation in the Southern Ocean may be responsible for up to 40 ppm of the total atmospheric CO2 increase during T1. During the last interglacial, ssNa(+) levels of EDC and EPICA Dronning Maud Land (EDML) are only half of the Holocene levels, in line with higher temperatures during that period, indicating much reduced sea ice extent in the Atlantic as well as the Indian Ocean sector of the Southern Ocean. In contrast, Holocene ssNa(+) flux in Talos Dome is about the same as during the last interglacial, indicating that there was similar ice cover present in the Ross Sea area during MIS 5.5 as during the Holocene.</t>
  </si>
  <si>
    <t>[Schuepbach, S.; Federer, U.; Kaufmann, P. R.; Stocker, T. F.; Fischer, H.] Univ Bern, Inst Phys, Bern, Switzerland; [Schuepbach, S.; Federer, U.; Kaufmann, P. R.; Stocker, T. F.; Fischer, H.] Univ Bern, Oeschger Ctr Climate Change Res, Bern, Switzerland; [Schuepbach, S.; Barbante, C.] Univ Venice, Environm Sci Informat &amp; Stat Dept, I-30123 Venice, Italy; [Albani, S.] Cornell Univ, Dept Earth &amp; Atmospher Sci, Ithaca, NY USA; [Barbante, C.] CNR, Inst Dynam Environm Proc, Venice, Italy</t>
  </si>
  <si>
    <t>University of Bern; University of Bern; Universita Ca Foscari Venezia; Cornell University; Consiglio Nazionale delle Ricerche (CNR); Istituto per la Dinamica dei Processi Ambientali (IDPA-CNR)</t>
  </si>
  <si>
    <t>Schüpbach, S (corresponding author), Univ Bern, Inst Phys, Bern, Switzerland.</t>
  </si>
  <si>
    <t>schuepbach@climate.unibe.ch</t>
  </si>
  <si>
    <t>Barbante, Carlo/B-3195-2011; Albani, Samuel/AAC-5604-2020; Albani, Samuel/G-5329-2015; IPO, PAGES/JXY-7546-2024; Fischer, Hubertus/A-1211-2014</t>
  </si>
  <si>
    <t>Albani, Samuel/0000-0001-9736-5134; Albani, Samuel/0000-0001-9736-5134; Fischer, Hubertus/0000-0002-2787-4221; Barbante, Carlo/0000-0003-4177-2288; Schupbach, Simon/0000-0003-3188-2635</t>
  </si>
  <si>
    <t>Swiss National Science Foundation; Prince Albert II of Monaco foundation</t>
  </si>
  <si>
    <t>Swiss National Science Foundation(Swiss National Science Foundation (SNSF)); Prince Albert II of Monaco foundation</t>
  </si>
  <si>
    <t>We thank the AWI team, in particular Anna Wegner and Birthe Twarloh, as well as Matthias Bigler and Christof Bernhard for their support during the CFA analyses. This research is funded by the Swiss National Science Foundation and the Prince Albert II of Monaco foundation. The Talos Dome Ice core Project (TALDICE), a joint European programme, is funded by national contributions from Italy, France, Germany, Switzerland and the UK. Primary logistical support was provided by PNRA at Talos Dome. This is TALDICE publication no. 35.</t>
  </si>
  <si>
    <t>10.5194/cp-9-2789-2013</t>
  </si>
  <si>
    <t>AA1BF</t>
  </si>
  <si>
    <t>WOS:000330830500001</t>
  </si>
  <si>
    <t>Amato, P</t>
  </si>
  <si>
    <t>Yumoto, I</t>
  </si>
  <si>
    <t>Amato, Pierre</t>
  </si>
  <si>
    <t>Energy Metabolism at Low-temperature and Frozen Conditions in Cold-adapted Microorganisms</t>
  </si>
  <si>
    <t>COLD-ADAPTED MICROORGANISMS</t>
  </si>
  <si>
    <t>PSEUDOALTEROMONAS-HALOPLANKTIS TAC125; ARCTIC SEA-ICE; METHANOCOCCOIDES-BURTONII; ACCLIMATION PROTEINS; ANTARCTIC ARCHAEON; ESCHERICHIA-COLI; COLWELLIA-PSYCHRERYTHRAEA; PSYCHROTROPHIC BACTERIUM; MACROMOLECULAR-SYNTHESIS; EXTREME ENVIRONMENTS</t>
  </si>
  <si>
    <t>Managing biochemical energy is a challenge that microorganisms have to face for maintaining activity at low temperatures, at which metabolic processes are altered by the decrease in reaction rates and by the rigidification of cellular structures, notably enzymes and membranes. Cold-adapted prokaryotes and eukaryotes, while exhibiting distinct trophic modes, share specificities for compensating these thermodynamic effects and keep the cellular machinery running: they elevate the concentration of adenylate compounds, the key molecules of the energy metabolism. This is achieved by tight adjustments acting at several levels of the metabolism in a global strategy of energy saving: strong orientation of the adenylate metabolism towards the production and regeneration of AMP and its phosphorylation, whereas its destruction is repressed; elevation of the respiration rate; intervention of specific enzymes allowing the rapid synthesis of ATP (polyphosphatases and interferases), shifts in the utilization of substrates; and rerouting of central metabolic pathways. These are presented here and illustrated by examples of metabolic regulations in cold-adapted microorganisms evidenced by recent transcriptomic and proteomic approaches.</t>
  </si>
  <si>
    <t>[Amato, Pierre] Clermont Univ, Univ Blaise Pascal, ICCF, Clermont Ferrand, France; [Amato, Pierre] CNRS, UMR 6296, ICCF, Aubiere, France</t>
  </si>
  <si>
    <t>Centre National de la Recherche Scientifique (CNRS); Universite Clermont Auvergne (UCA); Centre National de la Recherche Scientifique (CNRS); CNRS - Institute of Chemistry (INC); Universite Clermont Auvergne (UCA)</t>
  </si>
  <si>
    <t>Amato, P (corresponding author), Clermont Univ, Univ Blaise Pascal, ICCF, Clermont Ferrand, France.</t>
  </si>
  <si>
    <t>pierre.amato@univ-bpclermont.fr</t>
  </si>
  <si>
    <t>CAISTER ACADEMIC PRESS</t>
  </si>
  <si>
    <t>WYMONDHAM</t>
  </si>
  <si>
    <t>32 HEWITTS LANE, WYMONDHAM NR 18 0JA, ENGLAND</t>
  </si>
  <si>
    <t>978-1-908230-90-4; 978-1-908230-26-3</t>
  </si>
  <si>
    <t>BF6GC</t>
  </si>
  <si>
    <t>WOS:000383037600006</t>
  </si>
  <si>
    <t>Yoshimune, K; Kawamoto, J; Kurihara, T</t>
  </si>
  <si>
    <t>Yoshimune, Kazuaki; Kawamoto, Jun; Kurihara, Tatsuo</t>
  </si>
  <si>
    <t>Proteins Involved in Cold Adaptation</t>
  </si>
  <si>
    <t>PSEUDOALTEROMONAS-HALOPLANKTIS TAC125; CYTOPHAGA SP KUC-1; DNAK-NULL MUTANT; ESCHERICHIA-COLI; LOW-TEMPERATURES; TRIGGER FACTOR; HEAT-SHOCK; PROTEOMIC ANALYSIS; COLWELLIA-PSYCHRERYTHRAEA; PSYCHROPHILIC BACTERIUM</t>
  </si>
  <si>
    <t>This chapter primarily describes cold shock proteins (CSPs), which are induced in response to temperature downshift in both psychrophiles and mesophiles. These proteins are important for various cellular processes, including transcription, translation, protein synthesis and folding, and membrane functions, to maintain their viability under cold conditions. Here, the CSPs in psychrophilic and mesophilic microorganisms are represented on the basis of the results of proteome analyses. In particular, CSPs that were isolated from the Antarctic psychrophile Shewanella livingstonensis Ac10 are described in detail. A number of microorganisms induce molecular chaperones in response to the cold, although the majority of chaperones are induced as a result of heat shock. Chaperones with peptidyl prolyl cis-trans isomerase activity are often induced by cold to accelerate protein folding by interconverting the cis and trans isomers of proline imidic peptide bonds, and these cold shock chaperones are also described here. Cold-adapted proteins often have higher flexibility as compared to mesophilic proteins. The features of cold-adapted proteins are briefly described. Finally, the production of recombinant proteins in psychrophiles is shown to suggest a future application of psychrophiles.</t>
  </si>
  <si>
    <t>[Yoshimune, Kazuaki] Nihon Univ, Dept Appl Mol Chem, Narashino, Chiba, Japan; [Kawamoto, Jun; Kurihara, Tatsuo] Kyoto Univ, Inst Chem Res, Uji, Kyoto, Japan</t>
  </si>
  <si>
    <t>Nihon University; Kyoto University</t>
  </si>
  <si>
    <t>Yoshimune, K (corresponding author), Nihon Univ, Dept Appl Mol Chem, Narashino, Chiba, Japan.</t>
  </si>
  <si>
    <t>yoshimune.kazuaki@nihon-u.ac.jp; jun_k@mbc.kuicr.kyoto-u.ac.jp; kurihara@scl.kyoto-u.ac.jp</t>
  </si>
  <si>
    <t>Kurihara, Tatsuo/ACX-5827-2022</t>
  </si>
  <si>
    <t>WOS:000383037600007</t>
  </si>
  <si>
    <t>Yamauchi, S; Fukata, S; Hayashi, H</t>
  </si>
  <si>
    <t>Yamauchi, Seiji; Fukata, Shinsuke; Hayashi, Hidenori</t>
  </si>
  <si>
    <t>Heat Shock Response in Psychrophilic Microorganisms</t>
  </si>
  <si>
    <t>ACTIVE CITRATE SYNTHASE; ESCHERICHIA-COLI; MESSENGER-RNA; TRIGGER FACTOR; MOLECULAR-BASIS; TRANSCRIPTIONAL REGULATION; ANTARCTIC BACTERIUM; ISOCITRATE LYASE; STRESS-RESPONSE; ATPASE ACTIVITY</t>
  </si>
  <si>
    <t>Psychrophilic microorganisms can optimally grow at temperatures below 15 degrees C. In these microorganisms, heat stress occurs at relatively low temperatures in comparison with that in mesophilic microorganisms. The majority of psychrophilic microorganisms possess genes encoding a complete set of heat shock proteins (Hsps). Therefore, psychrophilic microorganisms respond to heat stress by producing Hsps like other microorganisms; however, they need a specific system to enable the expression and function of Hsps at relatively low temperatures. In this chapter, we summarize the heat shock response of psychrophilic microorganisms, focusing on how this response starts working at relatively low temperatures and what the features of psychrophilic Hsps are.</t>
  </si>
  <si>
    <t>[Yamauchi, Seiji; Hayashi, Hidenori] Ehime Univ, Cell Free Sci &amp; Technol Res Ctr, Matsuyama, Ehime, Japan; [Fukata, Shinsuke] Ehime Univ, Grad Sch Sci &amp; Technol, Matsuyama, Ehime, Japan</t>
  </si>
  <si>
    <t>Ehime University; Ehime University</t>
  </si>
  <si>
    <t>Yamauchi, S (corresponding author), Ehime Univ, Cell Free Sci &amp; Technol Res Ctr, Matsuyama, Ehime, Japan.</t>
  </si>
  <si>
    <t>yamauchi@ccr.ehime-u.ac.jp; v855004c@mails.cc.ehime-u.ac.jp; hayashi.hidenori.mj@ehime-u.ac.jp</t>
  </si>
  <si>
    <t>WOS:000383037600008</t>
  </si>
  <si>
    <t>Ancel, A; Beaulieu, M; Gilbert, C</t>
  </si>
  <si>
    <t>Ancel, Andre; Beaulieu, Michael; Gilbert, Caroline</t>
  </si>
  <si>
    <t>The different breeding strategies of penguins: A review</t>
  </si>
  <si>
    <t>COMPTES RENDUS BIOLOGIES</t>
  </si>
  <si>
    <t>Southern hemisphere; Breeding range; Mate fidelity; Egg formation; Reproduction; Vulnerability</t>
  </si>
  <si>
    <t>EMPEROR APTENODYTES-FORSTERI; CHINSTRAP PENGUINS; PYGOSCELIS-ADELIAE; CLIMATE-CHANGE; KING PENGUINS; MEGADYPTES-ANTIPODES; REPRODUCTIVE SUCCESS; INCUBATION PERIOD; FORAGING BEHAVIOR; ENDOCRINE CONTROL</t>
  </si>
  <si>
    <t>The 18 penguin species are exclusively and widely distributed in the Southern hemisphere, from the Equator to the Antarctic continent, and are thus submitted to various ecological constraints in their reproductive strategy. This results in a high variability in all aspects of the breeding biology of the different species. Although penguins appear primarily adapted for a marine existence, they remain dependent on land for breeding, rearing young, and moulting. Here we describe and compare the breeding cycle of all the penguin species, highlighting the characteristics of each species in terms of breeding range, population status, threats induced by environmental changes, duration of the different phases of the breeding cycle, mate fidelity, body mass, body height, egg mass and duration of egg formation. We also focus on the breeding cycle of the genus Aptenodytes, since it largely differs from the breeding cycle of most of the other penguin species. (c) 2013 Academie des sciences. Published by Elsevier Masson SAS. All rights reserved.</t>
  </si>
  <si>
    <t>[Ancel, Andre] Univ Strasbourg, IPHC, F-67087 Strasbourg, France; [Ancel, Andre] CNRS, UMR 7178, F-67037 Strasbourg, France; [Beaulieu, Michael] Univ Freiburg, D-79104 Freiburg, Germany; [Gilbert, Caroline] Univ Paris Est, Ecole Natl Vet Alfort, UMR CNRS MNHN 7179, F-94704 Maisons Alfort, France</t>
  </si>
  <si>
    <t>Universites de Strasbourg Etablissements Associes; Universite de Strasbourg; Universites de Strasbourg Etablissements Associes; Universite de Strasbourg; Centre National de la Recherche Scientifique (CNRS); CNRS - National Institute of Nuclear and Particle Physics (IN2P3); University of Freiburg; Ecole Nationale Veterinaire d'Alfort (ENVA); Centre National de la Recherche Scientifique (CNRS); CNRS - Institute of Ecology &amp; Environment (INEE); Museum National d'Histoire Naturelle (MNHN)</t>
  </si>
  <si>
    <t>Ancel, A (corresponding author), IPHC DEPE, UMR CNRS UdS 7178, 23 Rue Becquerel, F-67087 Strasbourg, France.</t>
  </si>
  <si>
    <t>andre.ancel@iphc.cnrs.fr</t>
  </si>
  <si>
    <t>Beaulieu, Michaël/A-5261-2011; Gilbert, Caroline/HKV-2124-2023</t>
  </si>
  <si>
    <t>Beaulieu, Michaël/0000-0002-9948-269X; Gilbert, Caroline/0000-0002-9957-405X</t>
  </si>
  <si>
    <t>ACAD SCIENCES</t>
  </si>
  <si>
    <t>23 QUAI DE CONTI, PARIS, FRANCE</t>
  </si>
  <si>
    <t>1631-0691</t>
  </si>
  <si>
    <t>1768-3238</t>
  </si>
  <si>
    <t>CR BIOL</t>
  </si>
  <si>
    <t>C. R. Biol.</t>
  </si>
  <si>
    <t>10.1016/j.crvi.2013.02.002</t>
  </si>
  <si>
    <t>125PC</t>
  </si>
  <si>
    <t>WOS:000317552300001</t>
  </si>
  <si>
    <t>Beaulieu, M; Thierry, AM; González-Acuña, D; Polito, MJ</t>
  </si>
  <si>
    <t>Beaulieu, Michael; Thierry, Anne-Mathilde; Gonzalez-Acuna, Daniel; Polito, Michael J.</t>
  </si>
  <si>
    <t>Integrating oxidative ecology into conservation physiology</t>
  </si>
  <si>
    <t>CONSERVATION PHYSIOLOGY</t>
  </si>
  <si>
    <t>Antarctica; demography; oxidative balance; penguins; population decline; seabirds</t>
  </si>
  <si>
    <t>BREEDING PERFORMANCE; BECHERVAISE ISLAND; EAST ANTARCTICA; TRADE-OFFS; STRESS; ADELIE; PENGUINS; DAMAGE; KRILL; COST</t>
  </si>
  <si>
    <t>Ecologists have recently shown great interest in using physiological markers as indicators of the health of animal populations. In this context, the measurement of markers of oxidative balance, such as antioxidant defences and oxidative damage, may be a valuable tool. Indeed, at the individual level, antioxidant defences are positively associated with fertility and survival probability, while elevated oxidative damage during reproduction or growth may negatively affect recruitment and survival. Therefore, variation in oxidative balance is likely to influence demographic processes. This suggests that conservationists may be able to use oxidative markers to monitor population health. Yet, the connection between these markers and demographic parameters first needs to be established. We present here preliminary results obtained in colonies of breeding Gentoo (Pygoscelis papua) and Adelie penguins (Pygoscelis adeliae), showing that antioxidant defences strongly reflect population trends. However, population trend was not related to oxidative damage. This suggests that in the context of the emerging field of conservation physiology, antioxidant defences may represent a key parameter to monitor population health. We therefore exhort other research teams to assess the generality of this finding in other biological models, especially in species of conservation concern.</t>
  </si>
  <si>
    <t>[Beaulieu, Michael] Univ Freiburg, Dept Evolutionary Biol &amp; Anim Ecol, Fac Biol, Hauptstr 1, D-79104 Freiburg, Germany; [Thierry, Anne-Mathilde] Univ Strasbourg, IPHC, F-67087 Strasbourg, France; [Gonzalez-Acuna, Daniel] Univ Concepcion, Fac Ciencias Vet, Chillan, Chile; [Polito, Michael J.] Woods Hole Oceanog Inst, Woods Hole, MA 02543 USA</t>
  </si>
  <si>
    <t>University of Freiburg; Universites de Strasbourg Etablissements Associes; Universite de Strasbourg; Universidad de Concepcion; Woods Hole Oceanographic Institution</t>
  </si>
  <si>
    <t>Beaulieu, M (corresponding author), Univ Freiburg, Dept Evolutionary Biol &amp; Anim Ecol, Fac Biol, Hauptstr 1, D-79104 Freiburg, Germany.</t>
  </si>
  <si>
    <t>miklvet@hotmail.fr</t>
  </si>
  <si>
    <t>Thierry, Anne-Mathilde/A-1715-2010; Polito, Michael/G-9118-2012; Beaulieu, Michaël/A-5261-2011</t>
  </si>
  <si>
    <t>Polito, Michael/0000-0001-8639-4431; Beaulieu, Michaël/0000-0002-9948-269X; Thierry, Anne-Mathilde/0000-0002-0483-5131</t>
  </si>
  <si>
    <t>Instituto Antartico Chileno (INACH) [T-27-10]; American Ornithologist Union; Sigma Xi; Antarctic Science Bursary</t>
  </si>
  <si>
    <t>Instituto Antartico Chileno (INACH); American Ornithologist Union; Sigma Xi; Antarctic Science Bursary</t>
  </si>
  <si>
    <t>This work was supported by the Antarctic Science Bursary, Instituto Antartico Chileno (INACH), American Ornithologist Union, and Sigma Xi. We thank the French Polar Institute Paul-Emile Victor (IPEV), US Antarctic Marine Living Resources program, Raytheon Polar Services, G. Watters, and W. Trivelpiece for providing logistical support. Animal use was conducted under approved protocols from IPEV (Prg. 137), INACH (Project T-27-10), the University of North Carolina Wilmington (A0910-20), and a US National Science Foundation Antarctic Conservation Act permit provided to G. Watters (2011-005). We are grateful to Dr S. Cooke as well as three anonymous referees for constructive comments on the manuscript.</t>
  </si>
  <si>
    <t>2051-1434</t>
  </si>
  <si>
    <t>CONSERV PHYSIOL</t>
  </si>
  <si>
    <t>Conserv. Physiol.</t>
  </si>
  <si>
    <t>cot004</t>
  </si>
  <si>
    <t>10.1093/conphys/cot004</t>
  </si>
  <si>
    <t>Biodiversity Conservation; Ecology; Environmental Sciences; Physiology</t>
  </si>
  <si>
    <t>Biodiversity &amp; Conservation; Environmental Sciences &amp; Ecology; Physiology</t>
  </si>
  <si>
    <t>V43TM</t>
  </si>
  <si>
    <t>WOS:000209703700002</t>
  </si>
  <si>
    <t>Nitsche, FO; Gohl, K; Larter, RD; Hillenbrand, CD; Kuhn, G; Smith, JA; Jacobs, S; Anderson, JB; Jakobsson, M</t>
  </si>
  <si>
    <t>Nitsche, F. O.; Gohl, K.; Larter, R. D.; Hillenbrand, C. -D.; Kuhn, G.; Smith, J. A.; Jacobs, S.; Anderson, J. B.; Jakobsson, M.</t>
  </si>
  <si>
    <t>Paleo ice flow and subglacial meltwater dynamics in Pine Island Bay, West Antarctica</t>
  </si>
  <si>
    <t>GLACIAL GEOMORPHIC FEATURES; GROUNDING-LINE RETREAT; AMUNDSEN SEA EMBAYMENT; CONTINENTAL-SHELF; SHEET; BENEATH; STREAM; WATER; ONSET; DISCHARGE</t>
  </si>
  <si>
    <t>Increasing evidence for an elaborate subglacial drainage network underneath modern Antarctic ice sheets suggests that basal meltwater has an important influence on ice stream flow. Swath bathymetry surveys from previously glaciated continental margins display morphological features indicative of subglacial meltwater flow in inner shelf areas of some paleo ice stream troughs. Over the last few years several expeditions to the eastern Amundsen Sea embayment (West Antarctica) have investigated the paleo ice streams that extended from the Pine Island and Thwaites glaciers. A compilation of high-resolution swath bathymetry data from inner Pine Island Bay reveals details of a rough seabed topography including several deep channels that connect a series of basins. This complex basin and channel network is indicative of meltwater flow beneath the paleo-Pine Island and Thwaites ice streams, along with substantial subglacial water inflow from the east. This meltwater could have enhanced ice flow over the rough bedrock topography. Meltwater features diminish with the onset of linear features north of the basins. Similar features have previously been observed in several other areas, including the Dotson-Getz Trough (western Amundsen Sea embayment) and Marguerite Bay (SW Antarctic Peninsula), suggesting that these features may be widespread around the Antarctic margin and that subglacial meltwater drainage played a major role in past ice-sheet dynamics.</t>
  </si>
  <si>
    <t>[Nitsche, F. O.; Jacobs, S.] Columbia Univ, Lamont Doherty Earth Observ, Palisades, NY 10964 USA; [Gohl, K.; Kuhn, G.] Alfred Wegener Inst Polar &amp; Marine Res, Bremerhaven, Germany; [Larter, R. D.; Hillenbrand, C. -D.; Smith, J. A.] British Antarctic Survey, Cambridge CB3 0ET, England; [Anderson, J. B.] Rice Univ, Dept Earth Sci, Houston, TX USA; [Jakobsson, M.] Stockholm Univ, Dept Geol Sci, S-10691 Stockholm, Sweden</t>
  </si>
  <si>
    <t>Columbia University; Helmholtz Association; Alfred Wegener Institute, Helmholtz Centre for Polar &amp; Marine Research; UK Research &amp; Innovation (UKRI); Natural Environment Research Council (NERC); NERC British Antarctic Survey; Rice University; Stockholm University</t>
  </si>
  <si>
    <t>Nitsche, FO (corresponding author), Columbia Univ, Lamont Doherty Earth Observ, Palisades, NY 10964 USA.</t>
  </si>
  <si>
    <t>fnitsche@ldeo.columbia.edu</t>
  </si>
  <si>
    <t>Jakobsson, Martin/JAN-6828-2023; Jakobsson, Martin/F-6214-2010; Smith, James A/N-1836-2013; Nitsche, Frank O./A-9343-2009</t>
  </si>
  <si>
    <t>Jakobsson, Martin/0000-0002-9033-3559; Nitsche, Frank O./0000-0002-4137-547X; Kuhn, Gerhard/0000-0001-6069-7485; Larter, Robert/0000-0002-8414-7389; Gohl, Karsten/0000-0002-9558-2116</t>
  </si>
  <si>
    <t>NSF [ANT 08-38735, ANT 06-32282]; NSF/ARRA [ANT-0837925]; NERC [bas0100027] Funding Source: UKRI; Natural Environment Research Council [bas0100027] Funding Source: researchfish; Office of Polar Programs (OPP); Directorate For Geosciences [0837925, 0838735] Funding Source: National Science Foundation</t>
  </si>
  <si>
    <t>NSF(National Science Foundation (NSF)); NSF/ARRA;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</si>
  <si>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We thank the masters and crews of the research vessels, R/V Nathaniel B. Palmer, RRS James Clark Ross, IB Oden and R/V Polarstern for their support during the data acquisition. Numerous people were directly involved in processing and editing the data. Nick Rackebrandt (University of Bremen) provided the map with estimated sediment thickness in Pine Island Bay. F. Nitsche was supported by NSF grants ANT 08-38735 and ANT 06-32282, S. Jacobs by NSF grant ANT 06-32282 and J. Anderson by NSF/ARRA grant ANT-0837925. The IB Oden expedition OSO0708 was carried out as collaboration between Swedish Polar Research Secretariat, the Swedish Research Council and the US National Science Foundation (NSF).</t>
  </si>
  <si>
    <t>10.5194/tc-7-249-2013</t>
  </si>
  <si>
    <t>gold, Green Accepted, Green Submitted</t>
  </si>
  <si>
    <t>WOS:000314800400019</t>
  </si>
  <si>
    <t>Frezzotti, M; Scarchilli, C; Becagli, S; Proposito, M; Urbini, S</t>
  </si>
  <si>
    <t>Frezzotti, M.; Scarchilli, C.; Becagli, S.; Proposito, M.; Urbini, S.</t>
  </si>
  <si>
    <t>A synthesis of the Antarctic surface mass balance during the last 800 yr</t>
  </si>
  <si>
    <t>DRONNING-MAUD-LAND; DOME EAST ANTARCTICA; SHALLOW FIRN CORES; ICE-CORE; SNOW ACCUMULATION; SOUTHERN-HEMISPHERE; CLIMATE VARIABILITY; TALOS DOME; SEA-ICE; ATMOSPHERIC CIRCULATION</t>
  </si>
  <si>
    <t>Global climate models suggest that Antarctic snowfall should increase in a warming climate and mitigate rises in the sea level. Several processes affect surface mass balance (SMB), introducing large uncertainties in past, present and future ice sheet mass balance. To provide an extended perspective on the past SMB of Antarctica, we used 67 firn/ice core records to reconstruct the temporal variability in the SMB over the past 800 yr and, in greater detail, over the last 200 yr. Our SMB reconstructions indicate that the SMB changes over most of Antarctica are statistically negligible and that the current SMB is not exceptionally high compared to the last 800 yr. High-accumulation periods have occurred in the past, specifically during the 1370s and 1610s. However, a clear increase in accumulation of more than 10% has occurred in high SMB coastal regions and over the highest part of the East Antarctic ice divide since the 1960s. To explain the differences in behaviour between the coastal/ice divide sites and the rest of Antarctica, we suggest that a higher frequency of blocking anticyclones increases the precipitation at coastal sites, leading to the advection of moist air in the highest areas, whereas blowing snow and/or erosion have significant negative impacts on the SMB at windy sites. Eight hundred years of stacked records of the SMB mimic the total solar irradiance during the 13th and 18th centuries. The link between those two variables is probably indirect and linked to a teleconnection in atmospheric circulation that forces complex feedback between the tropical Pacific and Antarctica via the generation and propagation of a large-scale atmospheric wave train.</t>
  </si>
  <si>
    <t>[Frezzotti, M.; Scarchilli, C.; Proposito, M.] Agenzia Nazl Nuove Tecnol Energia &amp; Sviluppo Sost, ENEA, Rome, Italy; [Becagli, S.] Univ Florence, Dept Chem, Sesto Fiorentino, Italy; [Urbini, S.] INGV, Rome, Italy</t>
  </si>
  <si>
    <t>Italian National Agency New Technical Energy &amp; Sustainable Economics Development; University of Florence; Istituto Nazionale Geofisica e Vulcanologia (INGV)</t>
  </si>
  <si>
    <t>Frezzotti, M (corresponding author), Agenzia Nazl Nuove Tecnol Energia &amp; Sviluppo Sost, ENEA, Rome, Italy.</t>
  </si>
  <si>
    <t>massimo.frezzotti@enea.it</t>
  </si>
  <si>
    <t>Becagli, Silvia/GNW-2665-2022; FREZZOTTI, Massimo/AAK-7275-2020</t>
  </si>
  <si>
    <t>FREZZOTTI, Massimo/0000-0002-2461-2883; urbini, stefano/0000-0002-8053-4197; Becagli, Silvia/0000-0003-3633-4849; Proposito, Marco/0000-0002-5977-3003; Scarchilli, Claudio/0000-0002-2414-2439</t>
  </si>
  <si>
    <t>European Commission [226375]</t>
  </si>
  <si>
    <t>European Commission(European Union (EU)European Commission Joint Research Centre)</t>
  </si>
  <si>
    <t>This research was conducted as part of the framework of the Project on Glaciology of the PNRA-MIUR, ice2sea project and contributed to the European Science Foundation (ESF) HOLOCLIP Project. The HOLOCLIP Project, a joint research project of the ESF PolarCLIMATE programme, is funded by national contributions from Italy, France, Germany, Spain, Netherlands, Belgium and the United Kingdom. We acknowledge the ice2sea project, funded by the European Commission's 7th Framework Programme through grant number 226375. This is ice2sea publication 70 and HOLOCLIP publication 15.</t>
  </si>
  <si>
    <t>10.5194/tc-7-303-2013</t>
  </si>
  <si>
    <t>WOS:000317005200002</t>
  </si>
  <si>
    <t>Krumpen, T; Janout, M; Hodges, KI; Gerdes, R; Girard-Ardhuin, F; Hölemann, JA; Willmes, S</t>
  </si>
  <si>
    <t>Krumpen, T.; Janout, M.; Hodges, K. I.; Gerdes, R.; Girard-Ardhuin, F.; Hoelemann, J. A.; Willmes, S.</t>
  </si>
  <si>
    <t>Variability and trends in Laptev Sea ice outflow between 1992-2011</t>
  </si>
  <si>
    <t>PASSIVE-MICROWAVE DATA; ARCTIC-OCEAN; CIRCULATION REGIMES; EXPORT; COVER; MODEL; DECLINE; OSCILLATION; ANOMALIES; MOTION</t>
  </si>
  <si>
    <t>Variability and trends in seasonal and interannual ice area export out of the Laptev Sea between 1992 and 2011 are investigated using satellite-based sea ice drift and concentration data. We found an average total winter (October to May) ice area transport across the northern and eastern Laptev Sea boundaries (NB and EB) of 3.48x10(5) km(2). The average transport across the NB (2.87x10(5) km(2)) is thereby higher than across the EB (0.61x10(5) km(2)), with a less pronounced seasonal cycle. The total Laptev Sea ice area flux significantly increased over the last decades (0.85x10(5) km(2) decade(-1), p &gt; 0.95), dominated by increasing export through the EB (0.55x10(5) km(2) decade(-1), p &gt; 0.90), while the increase in export across the NB is smaller (0.3x10(5) km(2) decade(-1)) and statistically not significant. The strong coupling between across-boundary SLP gradient and ice drift velocity indicates that monthly variations in ice area flux are primarily controlled by changes in geostrophic wind velocities, although the Laptev Sea ice circulation shows no clear relationship with large-scale atmospheric indices. Also there is no evidence of increasing wind velocities that could explain the overall positive trends in ice export. The increased transport rates are rather the consequence of a changing ice cover such as thinning and/or a decrease in concentration. The use of a back-propagation method revealed that most of the ice that is incorporated into the Transpolar Drift is formed during freeze-up and originates from the central and western part of the Laptev Sea, while the exchange with the East Siberian Sea is dominated by ice coming from the central and southeastern Laptev Sea. Furthermore, our results imply that years of high ice export in late winter (February to May) have a thinning effect on the ice cover, which in turn preconditions the occurence of negative sea ice extent anomalies in summer.</t>
  </si>
  <si>
    <t>[Krumpen, T.; Janout, M.; Gerdes, R.; Hoelemann, J. A.] Alfred Wegener Inst Polar &amp; Marine Res, D-27570 Bremerhaven, Germany; [Hodges, K. I.] Natl Ctr Earth Observat, Reading RG6 6AL, Berks, England; [Girard-Ardhuin, F.] IFREMER, Spatial Oceanog Lab, F-29280 Plouzane, France; [Willmes, S.] Univ Trier, Dept Environm Meteorol, D-54286 Trier, Germany</t>
  </si>
  <si>
    <t>Helmholtz Association; Alfred Wegener Institute, Helmholtz Centre for Polar &amp; Marine Research; UK Research &amp; Innovation (UKRI); Natural Environment Research Council (NERC); NERC National Centre for Earth Observation; Ifremer; Universitat Trier</t>
  </si>
  <si>
    <t>Krumpen, T (corresponding author), Alfred Wegener Inst Polar &amp; Marine Res, Busse Str 24, D-27570 Bremerhaven, Germany.</t>
  </si>
  <si>
    <t>thomas.krumpen@awi.de</t>
  </si>
  <si>
    <t>Girard-Ardhuin, Fanny/AAE-9430-2019; Willmes, Sascha/J-5796-2012; Girard-Ardhuin, Fanny/L-4153-2015; Krumpen, Thomas/D-5163-2011; Janout, Markus/AAI-7219-2020; Hoelemann, Jens/N-3608-2016</t>
  </si>
  <si>
    <t>Girard-Ardhuin, Fanny/0000-0001-7819-7665; Girard-Ardhuin, Fanny/0000-0001-7819-7665; Krumpen, Thomas/0000-0001-6234-8756; Hoelemann, Jens/0000-0001-5102-4086; Janout, Markus/0000-0003-4908-2855</t>
  </si>
  <si>
    <t>BMBF [03G0639A]; Alfred Wegener Institute; European Commission [FP7 GA226534]; ESA [EO-9429]</t>
  </si>
  <si>
    <t>BMBF(Federal Ministry of Education &amp; Research (BMBF)); Alfred Wegener Institute; European Commission(European Union (EU)European Commission Joint Research Centre); ESA(European Space Agency)</t>
  </si>
  <si>
    <t>This work was carried out as part of the Russian-German cooperation System Laptev Sea, funded by the BMBF under grant 03G0639A and the Alfred Wegener Institute. We thank the European Commission as part of the project ArcRisk Arctic Health Risks: impacts on health in the Arctic and Europe owing to climate-induced changes in contaminant cycling (FP7 GA226534). Envisat satellite data were obtained through ESA Project EO-9429 The use of Envisat ASAR imagery for generation and validation of Arctic and Antarctic landfast sea ice masks. AMSR-E and SSM/I brightness temperatures were provided by the NSIDC (Boulder, USA). Ice drift information was obtained from CERSAT/Ifremer (Plouzane, France) and NSIDC, respectively. Furthermore, we thank Charles Fowler from the University of Colorado Boulder for providing an updated version of existing NSIDC drift fields and Lars Smedsrud (University of Bergen) for Fram Strait outflow estimates. The authors also very much appreciate helpful comments made by Stefan Hendricks from the Alfred Wegener Institute and Alfred Helbig from the University of Trier. Finally, we thank the two anonymous reviewers and the editor for insightful comments on the manuscript.</t>
  </si>
  <si>
    <t>10.5194/tc-7-349-2013</t>
  </si>
  <si>
    <t>WOS:000317005200005</t>
  </si>
  <si>
    <t>Fretwell, P; Pritchard, HD; Vaughan, DG; Bamber, JL; Barrand, NE; Bell, R; Bianchi, C; Bingham, RG; Blankenship, DD; Casassa, G; Catania, G; Callens, D; Conway, H; Cook, AJ; Corr, HFJ; Damaske, D; Damm, V; Ferraccioli, F; Forsberg, R; Fujita, S; Gim, Y; Gogineni, P; Griggs, JA; Hindmarsh, RCA; Holmlund, P; Holt, JW; Jacobel, RW; Jenkins, A; Jokat, W; Jordan, T; King, EC; Kohler, J; Krabill, W; Riger-Kusk, M; Langley, KA; Leitchenkov, G; Leuschen, C; Luyendyk, BP; Matsuoka, K; Mouginot, J; Nitsche, FO; Nogi, Y; Nost, OA; Popov, SV; Rignot, E; Rippin, DM; Rivera, A; Roberts, J; Ross, N; Siegert, MJ; Smith, AM; Steinhage, D; Studinger, M; Sun, B; Tinto, BK; Welch, BC; Wilson, D; Young, DA; Xiangbin, C; Zirizzotti, A</t>
  </si>
  <si>
    <t>Fretwell, P.; Pritchard, H. D.; Vaughan, D. G.; Bamber, J. L.; Barrand, N. E.; Bell, R.; Bianchi, C.; Bingham, R. G.; Blankenship, D. D.; Casassa, G.; Catania, G.; Callens, D.; Conway, H.; Cook, A. J.; Corr, H. F. J.; Damaske, D.; Damm, V.; Ferraccioli, F.; Forsberg, R.; Fujita, S.; Gim, Y.; Gogineni, P.; Griggs, J. A.; Hindmarsh, R. C. A.; Holmlund, P.; Holt, J. W.; Jacobel, R. W.; Jenkins, A.; Jokat, W.; Jordan, T.; King, E. C.; Kohler, J.; Krabill, W.; Riger-Kusk, M.; Langley, K. A.; Leitchenkov, G.; Leuschen, C.; Luyendyk, B. P.; Matsuoka, K.; Mouginot, J.; Nitsche, F. O.; Nogi, Y.; Nost, O. A.; Popov, S. V.; Rignot, E.; Rippin, D. M.; Rivera, A.; Roberts, J.; Ross, N.; Siegert, M. J.; Smith, A. M.; Steinhage, D.; Studinger, M.; Sun, B.; Tinto, B. K.; Welch, B. C.; Wilson, D.; Young, D. A.; Xiangbin, C.; Zirizzotti, A.</t>
  </si>
  <si>
    <t>Bedmap2: improved ice bed, surface and thickness datasets for Antarctica</t>
  </si>
  <si>
    <t>DIGITAL ELEVATION MODEL; SATELLITE RADAR; EAST ANTARCTICA; WEST; SHEET; SEA; GRAVITY; BENEATH; BATHYMETRY; TOPOGRAPHY</t>
  </si>
  <si>
    <t>We present Bedmap2, a new suite of gridded products describing surface elevation, ice-thickness and the seafloor and subglacial bed elevation of the Antarctic south of 60 degrees S. We derived these products using data from a variety of sources, including many substantial surveys completed since the original Bedmap compilation (Bedmap1) in 2001. In particular, the Bedmap2 ice thickness grid is made from 25 million measurements, over two orders of magnitude more than were used in Bedmap1. In most parts of Antarctica the subglacial landscape is visible in much greater detail than was previously available and the improved data-coverage has in many areas revealed the full scale of mountain ranges, valleys, basins and troughs, only fragments of which were previously indicated in local surveys. The derived statistics for Bedmap2 show that the volume of ice contained in the Antarctic ice sheet (27 million km(3)) and its potential contribution to sea-level rise (58 m) are similar to those of Bedmap1, but the mean thickness of the ice sheet is 4.6% greater, the mean depth of the bed beneath the grounded ice sheet is 72m lower and the area of ice sheet grounded on bed below sea level is increased by 10 %. The Bedmap2 compilation highlights several areas beneath the ice sheet where the bed elevation is substantially lower than the deepest bed indicated by Bedmap1. These products, along with grids of data coverage and uncertainty, provide new opportunities for detailed modelling of the past and future evolution of the Antarctic ice sheets.</t>
  </si>
  <si>
    <t>[Fretwell, P.; Pritchard, H. D.; Vaughan, D. G.; Barrand, N. E.; Corr, H. F. J.; Ferraccioli, F.; Hindmarsh, R. C. A.; Jenkins, A.; Jordan, T.; King, E. C.; Smith, A. M.] British Antarctic Survey, Cambridge CB3 0ET, England; [Bamber, J. L.; Griggs, J. A.; Siegert, M. J.] Univ Bristol, Sch Geog Sci, Bristol BS8 1TH, Avon, England; [Bell, R.; Nitsche, F. O.; Tinto, B. K.] Columbia Univ, Lamont Doherty Earth Observ, Palisades, NY USA; [Bianchi, C.; Zirizzotti, A.] Ist Nazl Geofis &amp; Vulcanol, Rome, Italy; [Bingham, R. G.] Univ Aberdeen, Sch Geosci, Aberdeen AB9 1FX, Scotland; [Blankenship, D. D.; Catania, G.; Holt, J. W.; Young, D. A.] Univ Texas Austin, Inst Geophys, Austin, TX 78712 USA; [Casassa, G.; Rivera, A.] Ctr Estudios Cient, Valdivia 9, Chile; [Callens, D.] Univ Libre Bruxelles, Lab Glaciol, Brussels, Belgium; [Conway, H.] Univ Washington, Seattle, WA 98195 USA; [Cook, A. J.] Swansea Univ, Dept Geog, Swansea, W Glam, Wales; [Damaske, D.; Damm, V.] Fed Inst Geosci &amp; Nat Resources, Hannover, Germany; [Forsberg, R.] Tech Univ Denmark, Natl Space Inst, Lyngby, Denmark; [Fujita, S.] Natl Inst Polar Res, Tokyo, Japan; [Gim, Y.] CALTECH, Jet Prop Lab, Pasadena, CA USA; [Gogineni, P.; Leuschen, C.] Univ Kansas, Lawrence, KS 66045 USA; [Holmlund, P.] Stockholm Univ, S-10691 Stockholm, Sweden; [Jacobel, R. W.] St Olaf Coll, Northfield, MN 55057 USA; [Jokat, W.; Steinhage, D.; Welch, B. C.] Alfred Wegener Inst Polar &amp; Marine Res, Bremerhaven, Germany; [Kohler, J.] Norwegian Polar Res Inst, Fram Ctr, Tromso, Norway; [Krabill, W.] NASA, Wallops Flight Facil, Wallops Isl, VA USA; [Riger-Kusk, M.] Univ Canterbury, Coll Sci, Christchurch 1, New Zealand; [Langley, K. A.] Univ Oslo, Dept Geosci, N-0316 Oslo, Norway; [Leitchenkov, G.] Inst Geol &amp; Mineral Resources World Ocean, St Petersburg, Russia; [Luyendyk, B. P.] Univ Calif Santa Barbara, Earth Res Inst, Santa Barbara, CA 93106 USA; [Matsuoka, K.; Nost, O. A.] Norwegian Polar Res Inst, Tromso, Norway; [Mouginot, J.] Univ Calif Irvine, Dept Earth Syst Sci, Irvine, CA USA; [Nogi, Y.] Natl Inst Polar Res, Tokyo, Japan; [Popov, S. V.] Polar Marine Geosurvey Expedit, St Petersburg, Russia; [Rignot, E.] Univ Calif Irvine, Sch Phys Sci, Irvine, CA USA; [Rippin, D. M.] Univ York, Environm Dept, York YO10 5DD, N Yorkshire, England; [Roberts, J.] Australian Antarctic Div, Dept Sustainabil Environm Water Populat &amp; Communi, Hobart, Tas, Australia; [Ross, N.] Newcastle Univ, Sch Geog Polit &amp; Sociol, Newcastle Upon Tyne NE1 7RU, Tyne &amp; Wear, England; [Studinger, M.] NASA, Goddard Space Flight Ctr, Greenbelt, MD 20771 USA; [Sun, B.; Xiangbin, C.] Polar Res Inst China, Shanghai, Peoples R China; [Wilson, D.] Univ Calif Santa Barbara, Inst Crustal Studies, Santa Barbara, CA 93106 USA</t>
  </si>
  <si>
    <t>UK Research &amp; Innovation (UKRI); Natural Environment Research Council (NERC); NERC British Antarctic Survey; University of Bristol; Columbia University; Istituto Nazionale Geofisica e Vulcanologia (INGV); University of Aberdeen; University of Texas System; University of Texas Austin; Universite Libre de Bruxelles; University of Washington; University of Washington Seattle; Swansea University; Technical University of Denmark; Research Organization of Information &amp; Systems (ROIS); National Institute of Polar Research (NIPR) - Japan; California Institute of Technology; National Aeronautics &amp; Space Administration (NASA); NASA Jet Propulsion Laboratory (JPL); University of Kansas; Stockholm University; Saint Olaf College; Helmholtz Association; Alfred Wegener Institute, Helmholtz Centre for Polar &amp; Marine Research; Norwegian Polar Institute; National Aeronautics &amp; Space Administration (NASA); NASA Goddard Space Flight Center; Wallops Flight Facility; University of Oslo; University of California System; University of California Santa Barbara; Norwegian Polar Institute; University of California System; University of California Irvine; Research Organization of Information &amp; Systems (ROIS); National Institute of Polar Research (NIPR) - Japan; University of California System; University of California Irvine; University of York - UK; Australian Antarctic Division; Newcastle University - UK; National Aeronautics &amp; Space Administration (NASA); NASA Goddard Space Flight Center; Polar Research Institute of China; University of California System; University of California Santa Barbara</t>
  </si>
  <si>
    <t>Fretwell, P (corresponding author), British Antarctic Survey, Cambridge CB3 0ET, England.</t>
  </si>
  <si>
    <t>ptf@bas.ac.uk</t>
  </si>
  <si>
    <t>Roberts, Jason L/B-2235-2012; Zirizzotti, Achille/HKE-0592-2023; Pritchard, Hamish Daniel/AAU-4696-2021; Rignot, Eric/A-4560-2014; Nitsche, Frank O/A-9343-2009; Popov, Sergey/IYJ-2371-2023; Mouginot, Jeremie/G-7045-2015; Vaughan, David/C-8348-2011; Jenkins, Adrian/IUN-2406-2023; Popov, Sergey V./I-2319-2013; Corr, Hugh/C-5398-2011; Holt, John W/C-4896-2009; Rippin, David Manish/AAW-5063-2021; Hindmarsh, Richard/N-1195-2019; Casassa, Gino/AAX-6142-2020; Bamber, Jonathan/C-7608-2011; Siegert, Martin J/A-3826-2008; Siegert, Martin/M-9939-2019; Bingham, Robert G/G-3576-2017; Matsuoka, Kenichi/B-7298-2017; Catania, Ginny/B-9787-2008; Young, Duncan/G-6256-2010; Fujita, Shuji/A-7884-2016</t>
  </si>
  <si>
    <t>Roberts, Jason L/0000-0002-3477-4069; Rignot, Eric/0000-0002-3366-0481; Nitsche, Frank O/0000-0002-4137-547X; Popov, Sergey/0000-0002-1830-8658; Mouginot, Jeremie/0000-0001-9155-5455; Popov, Sergey V./0000-0002-1830-8658; Rippin, David Manish/0000-0001-7757-9880; Hindmarsh, Richard/0000-0003-1633-2416; Bamber, Jonathan/0000-0002-2280-2819; Siegert, Martin J/0000-0002-0090-4806; Siegert, Martin/0000-0002-0090-4806; Studinger, Michael/0000-0003-1265-4741; Jokat, Wilfried/0000-0002-7793-5854; Leitchenkov, German/0000-0001-6316-8511; Vaughan, David/0000-0002-9065-0570; Rivera, Andres/0000-0002-2779-4192; Zirizzotti, Achille/0000-0001-7586-9219; Ferraccioli, Fausto/0000-0002-9347-4736; Bingham, Robert G/0000-0002-0630-2021; Barrand, Nicholas/0000-0003-4428-1863; Matsuoka, Kenichi/0000-0002-3587-3405; Catania, Ginny/0000-0002-7561-5902; Conway, Howard/0000-0003-4634-3474; Forsberg, Rene/0000-0002-7288-9545; Nogi, Yoshifumi/0000-0001-8457-4244; Jenkins, Adrian/0000-0002-9117-0616; Nost, Ole Anders/0000-0002-6139-4088; Young, Duncan/0000-0002-6866-8176; Jordan, Tom/0000-0003-2780-1986; Fujita, Shuji/0000-0003-0127-0777; Kohler, Jack/0000-0003-1963-054X</t>
  </si>
  <si>
    <t>Directorate For Geosciences; Office of Polar Programs (OPP) [0838735] Funding Source: National Science Foundation; NERC [bas0100027, NE/J005665/2, bas0100026, NE/J008087/1, NE/F016646/2, NE/G013071/2, NE/F015526/1, NE/H021078/2, bas0100028, NE/G014248/1] Funding Source: UKRI; Natural Environment Research Council [NE/G013071/2, bas0100027, bas0100028, NE/F016646/2, NE/H021078/2, NE/J005665/2, bas0100026, NE/J008087/1, NE/F015526/1, NE/G014248/1] Funding Source: researchfish</t>
  </si>
  <si>
    <t>Directorate For Geosciences; Office of Polar Programs (OPP)(National Science Foundation (NSF)NSF - Directorate for Geosciences (GEO)); NERC(UK Research &amp; Innovation (UKRI)Natural Environment Research Council (NERC)); Natural Environment Research Council(UK Research &amp; Innovation (UKRI)Natural Environment Research Council (NERC))</t>
  </si>
  <si>
    <t>10.5194/tc-7-375-2013</t>
  </si>
  <si>
    <t>WOS:000317005200007</t>
  </si>
  <si>
    <t>Drouet, AS; Docquier, D; Durand, G; Hindmarsh, R; Pattyn, F; Gagliardini, O; Zwinger, T</t>
  </si>
  <si>
    <t>Drouet, A. S.; Docquier, D.; Durand, G.; Hindmarsh, R.; Pattyn, F.; Gagliardini, O.; Zwinger, T.</t>
  </si>
  <si>
    <t>Grounding line transient response in marine ice sheet models</t>
  </si>
  <si>
    <t>SEA-LEVEL RISE; DYNAMICS</t>
  </si>
  <si>
    <t>Marine ice-sheet stability is mostly controlled by the dynamics of the grounding line, i.e. the junction between the grounded ice sheet and the floating ice shelf. Grounding line migration has been investigated within the framework of MISMIP (Marine Ice Sheet Model Intercomparison Project), which mainly aimed at investigating steady state solutions. Here we focus on transient behaviour, executing short-term simulations (200 yr) of a steady ice sheet perturbed by the release of the buttressing restraint exerted by the ice shelf on the grounded ice upstream. The transient grounding line behaviour of four different flowline ice-sheet models has been compared. The models differ in the physics implemented (full Stokes and shallow shelf approximation), the numerical approach, as well as the grounding line treatment. Their overall response to the loss of buttressing is found to be broadly consistent in terms of grounding line position, rate of surface elevation change and surface velocity. However, still small differences appear for these latter variables, and they can lead to large discrepancies (&gt; 100 %) observed in terms of ice sheet contribution to sea level when cumulated over time. Despite the recent important improvements of marine ice-sheet models in their ability to compute steady state configurations, our results question the capacity of these models to compute short-term reliable sea-level rise projections.</t>
  </si>
  <si>
    <t>[Drouet, A. S.; Durand, G.; Gagliardini, O.] Univ Grenoble 1, CNRS, UMR 5183, LGGE, F-38041 Grenoble, France; [Docquier, D.; Pattyn, F.] Univ Libre Bruxelles, Lab Glaciol, B-1050 Brussels, Belgium; [Hindmarsh, R.] British Antarctic Survey, Nat Environm Res Council, Cambridge CB3 0ET, England; [Gagliardini, O.] Inst Univ France, Paris, France; [Zwinger, T.] CSC IT Ctr Sci Ltd, Espoo, Finland</t>
  </si>
  <si>
    <t>Centre National de la Recherche Scientifique (CNRS); Communaute Universite Grenoble Alpes; Universite Grenoble Alpes (UGA); Universite Libre de Bruxelles; UK Research &amp; Innovation (UKRI); Natural Environment Research Council (NERC); NERC British Antarctic Survey; Institut Universitaire de France; Finnish IT center for science</t>
  </si>
  <si>
    <t>Durand, G (corresponding author), Univ Grenoble 1, CNRS, UMR 5183, LGGE, F-38041 Grenoble, France.</t>
  </si>
  <si>
    <t>durand@lgge.obs.ujf-grenoble.fr</t>
  </si>
  <si>
    <t>Hindmarsh, Richard/N-1195-2019; Pattyn, Frank/AAA-9640-2019; Docquier, David/P-5635-2019; Gagliardini, Olivier/GQQ-1222-2022; Zwinger, Thomas/H-5163-2018</t>
  </si>
  <si>
    <t>Hindmarsh, Richard/0000-0003-1633-2416; Pattyn, Frank/0000-0003-4805-5636; Docquier, David/0000-0002-5720-4253; Gagliardini, Olivier/0000-0001-9162-3518; Zwinger, Thomas/0000-0003-3360-4401; Durand, Gael/0000-0001-8979-2355</t>
  </si>
  <si>
    <t>Rhone-Alpes region [CPER07 13 CIRA]; ice2sea programme from the European Union [226375]; CNRS-INSU; NERC [NE/J008087/1, NE/J008095/1, NE/F015526/1, bas0100027] Funding Source: UKRI; Natural Environment Research Council [NE/J008095/1, bas0100027, NE/J008087/1, NE/F015526/1] Funding Source: researchfish</t>
  </si>
  <si>
    <t>Rhone-Alpes region(Region Auvergne-Rhone-Alpes); ice2sea programme from the European Union; CNRS-INSU(Centre National de la Recherche Scientifique (CNRS)); NERC(UK Research &amp; Innovation (UKRI)Natural Environment Research Council (NERC)); Natural Environment Research Council(UK Research &amp; Innovation (UKRI)Natural Environment Research Council (NERC))</t>
  </si>
  <si>
    <t>Some of the computations presented in this paper were performed using the CIMENT infrastructure (https://ciment.ujf-grenoble.fr), which is supported by the Rhone-Alpes region (GRANT CPER07 13 CIRA: http://www.ci-ra.org). This work was also supported by funding from the ice2sea programme from the European Union 7th Framework Programme, grant number 226375. Ice2sea contribution number 127.; The publication of this article is financed by CNRS-INSU.</t>
  </si>
  <si>
    <t>10.5194/tc-7-395-2013</t>
  </si>
  <si>
    <t>gold, Green Submitted, Green Published, Green Accepted</t>
  </si>
  <si>
    <t>WOS:000317005500001</t>
  </si>
  <si>
    <t>De Rydt, J; Gudmundsson, GH; Corr, HFJ; Christoffersen, P</t>
  </si>
  <si>
    <t>De Rydt, J.; Gudmundsson, G. H.; Corr, H. F. J.; Christoffersen, P.</t>
  </si>
  <si>
    <t>Surface undulations of Antarctic ice streams tightly controlled by bedrock topography</t>
  </si>
  <si>
    <t>PINE ISLAND GLACIER; FLOW</t>
  </si>
  <si>
    <t>Full Stokes flow-line models predict that fast-flowing ice streams transmit information about their bedrock topography most efficiently to the surface for basal undulations with length scales between 1 and 20 times the mean ice thickness. This typical behaviour is independent of the precise values of the flow law and sliding law exponents, and should be universally observable. However, no experimental evidence for this important theoretical prediction has been obtained so far, hence ignoring an important test for the physical validity of current-day ice flow models. In our work we use recently acquired airborne radar data for the Rutford Ice Stream and Evans Ice Stream, and we show that the surface response of fast-flowing ice is highly sensitive to bedrock irregularities with wavelengths of several ice thicknesses. The sensitivity depends on the slip ratio, i.e. the ratio between mean basal sliding velocity and mean deformational velocity. We find that higher values of the slip ratio generally lead to a more efficient transfer, whereas the transfer is significantly dampened for ice that attains most of its surface velocity by creep. Our findings underline the importance of bedrock topography for ice stream dynamics on spatial scales up to 20 times the mean ice thickness. Our results also suggest that local variations in the flow regime and surface topography at this spatial scale cannot be explained by variations in basal slipperiness.</t>
  </si>
  <si>
    <t>[De Rydt, J.; Christoffersen, P.] Univ Cambridge, Scott Polar Res Inst, Cambridge CB2 1ER, England; [De Rydt, J.; Gudmundsson, G. H.; Corr, H. F. J.] British Antarctic Survey, Cambridge CB3 0ET, England</t>
  </si>
  <si>
    <t>University of Cambridge; UK Research &amp; Innovation (UKRI); Natural Environment Research Council (NERC); NERC British Antarctic Survey</t>
  </si>
  <si>
    <t>De Rydt, J (corresponding author), Univ Cambridge, Scott Polar Res Inst, Lensfield Rd, Cambridge CB2 1ER, England.</t>
  </si>
  <si>
    <t>janryd69@bas.ac.uk</t>
  </si>
  <si>
    <t>Corr, Hugh/C-5398-2011; Gudmundsson, Gudmundur Hilmar/AAU-5987-2020; Gudmundsson, Gudmundur Hilmar/F-6499-2012; Christoffersen, Poul/W-3708-2019; De Rydt, Jan/H-5692-2018</t>
  </si>
  <si>
    <t>Gudmundsson, Gudmundur Hilmar/0000-0003-4236-5369; Gudmundsson, Gudmundur Hilmar/0000-0003-4236-5369; Christoffersen, Poul/0000-0003-2643-8724; De Rydt, Jan/0000-0002-2978-8706</t>
  </si>
  <si>
    <t>NERC [NE/E005950/1, bas0100027] Funding Source: UKRI; Natural Environment Research Council [NE/E005950/1, bas0100027] Funding Source: researchfish</t>
  </si>
  <si>
    <t>10.5194/tc-7-407-2013</t>
  </si>
  <si>
    <t>WOS:000317005500002</t>
  </si>
  <si>
    <t>Favier, V; Agosta, C; Parouty, S; Durand, G; Delaygue, G; Gallée, H; Drouet, AS; Trouvilliez, A; Krinner, G</t>
  </si>
  <si>
    <t>Favier, V.; Agosta, C.; Parouty, S.; Durand, G.; Delaygue, G.; Gallee, H.; Drouet, A. -S.; Trouvilliez, A.; Krinner, G.</t>
  </si>
  <si>
    <t>An updated and quality controlled surface mass balance dataset for Antarctica</t>
  </si>
  <si>
    <t>SNOW ACCUMULATION; VARIABILITY; PLATEAU; CLIMATE; PRECIPITATION; REASSESSMENT; 20TH-CENTURY; SUBLIMATION; ADELIE; WIND</t>
  </si>
  <si>
    <t>We present an updated and quality controlled surface mass balance (SMB) database for the Antarctic ice sheet. Importantly, the database includes formatted metadata, such as measurement technique, elevation, time covered, etc, which allows any user to filter out the data. Here, we discard data with limited spatial and temporal representativeness, too small measurement accuracy, or lack of quality control. Applied to the database, this filtering process gives four times more reliable data than when applied to previously available databases. New data with high spatial resolution are now available over long traverses, and at low elevation in some areas. However, the quality control led to a considerable reduction in the spatial density of data in several regions, particularly over West Antarctica. Over interior plateaus, where the SMB is low, the spatial density of measurements remains high. This quality controlled dataset was compared to results from ERA-Interim reanalysis to assess whether field data allow us to reconstruct an accurate description of the main SMB distribution features in Antarctica. We identified large areas where data gaps impede model validation: except for very few areas (e. g., Adelie Land), measurements in the elevation range between 200 m and 1000 m above sea level are not regularly distributed and do not allow a thorough validation of models in such regions with complex topography, where the highest scattering of SMB values is reported. Clearly, increasing the spatial density of field measurements at low elevations, in the Antarctic Peninsula and in West Antarctica is a scientific priority.</t>
  </si>
  <si>
    <t>[Favier, V.; Agosta, C.; Parouty, S.; Durand, G.; Delaygue, G.; Gallee, H.; Drouet, A. -S.; Trouvilliez, A.; Krinner, G.] UJF CNRS, LGGE, F-38402 St Martin Dheres, France; [Trouvilliez, A.] UR ETGR Eros Torrentielle Neige Avalanches, IRSTEA, F-38402 St Martin Dheres, France; [Agosta, C.] Univ Liege, Dept Geog, B-4000 Liege, Belgium</t>
  </si>
  <si>
    <t>Centre National de la Recherche Scientifique (CNRS); Communaute Universite Grenoble Alpes; Universite Grenoble Alpes (UGA); INRAE; University of Liege</t>
  </si>
  <si>
    <t>Favier, V (corresponding author), UJF CNRS, LGGE, 54 Rue Moliere,BP 96, F-38402 St Martin Dheres, France.</t>
  </si>
  <si>
    <t>favier@lgge.obs.ujf-grenoble.fr</t>
  </si>
  <si>
    <t>Krinner, Gerhard/AAB-8837-2022; Agosta, Cécile/HLQ-5577-2023; Agosta, Cécile/B-9625-2013; Krinner, Gerhard/A-6450-2011; Favier, Vincent/T-1936-2017</t>
  </si>
  <si>
    <t>Krinner, Gerhard/0000-0002-2959-5920; Agosta, Cécile/0000-0003-4091-1653; Durand, Gael/0000-0001-8979-2355; Favier, Vincent/0000-0001-6024-9498</t>
  </si>
  <si>
    <t>IPEV (Institut Polaire Paul-Emile Victor); INSU (Institut National des Sciences de l'Univers); European Commission [226375]; ANR [ANR-07-VULN-013]</t>
  </si>
  <si>
    <t>IPEV (Institut Polaire Paul-Emile Victor); INSU (Institut National des Sciences de l'Univers); European Commission(European Union (EU)European Commission Joint Research Centre); ANR(Agence Nationale de la Recherche (ANR))</t>
  </si>
  <si>
    <t>The GLACIOCLIM-SAMBA observatory is supported by IPEV (Institut Polaire Paul-Emile Victor) and INSU (Institut National des Sciences de l'Univers). We acknowledge the ice2sea project funded by the European Commission's 7th Framework Programme through grant number 226375. We thank Jerome Chappellaz, Kenji Kawamura and Kumiko Azuma who helped us contact data owners to obtain new unpublished data. We thank M. Fily and ANR fundings (VANISH project no. ANR-07-VULN-013) for providing several new unpublished data around Dome C. We are grateful to O. Magand and P. Smeets who provided partially updated databases, and we particularly thank A. Bliss, M. Ding, and H. Motoyama who gave us access to the full information on published datasets over long traverses. Finally, we thank the two anonymous reviewers for their valuable comments. This is ice2sea manuscript number ice2sea128.</t>
  </si>
  <si>
    <t>10.5194/tc-7-583-2013</t>
  </si>
  <si>
    <t>WOS:000317005500015</t>
  </si>
  <si>
    <t>Gudmundsson, GH</t>
  </si>
  <si>
    <t>Gudmundsson, G. H.</t>
  </si>
  <si>
    <t>Ice-shelf buttressing and the stability of marine ice sheets</t>
  </si>
  <si>
    <t>FLOW; DYNAMICS; MODEL</t>
  </si>
  <si>
    <t>Ice-shelf buttressing and the stability of marine-type ice sheets are investigated numerically. Buttressing effects are analysed for a situation where a stable grounding line is located on a bed sloping upwards in the direction of flow. Such grounding-line positions are known to be unconditionally unstable in the absence of transverse flow variations. It is shown that ice-shelf buttressing can restore stability under these conditions. Ice flux at the grounding line is, in general, not a monotonically increasing function of ice thickness. This, possibly at first somewhat counterintuitive result, is found to be fully consistent with recent theoretical work. Grounding lines on retrograde slopes are conditionally stable, and the stability regime is a non-trivial function of bed and ice-shelf geometry. The stability of grounding lines cannot be assessed from considerations of local bed slope only.</t>
  </si>
  <si>
    <t>British Antarctic Survey, Cambridge CB3 0ET, England</t>
  </si>
  <si>
    <t>Gudmundsson, GH (corresponding author), British Antarctic Survey, Madingley Rd, Cambridge CB3 0ET, England.</t>
  </si>
  <si>
    <t>ghg@bas.ac.uk</t>
  </si>
  <si>
    <t>Gudmundsson, Gudmundur Hilmar/AAU-5987-2020; Gudmundsson, Gudmundur Hilmar/F-6499-2012</t>
  </si>
  <si>
    <t>Gudmundsson, Gudmundur Hilmar/0000-0003-4236-5369; Gudmundsson, Gudmundur Hilmar/0000-0003-4236-5369</t>
  </si>
  <si>
    <t>NERC [NE/H02333X/1]; NERC [NE/H02333X/1, bas0100027] Funding Source: UKRI; Natural Environment Research Council [NE/H02333X/1, bas0100027]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</si>
  <si>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</si>
  <si>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NERC grant Nr. NE/H02333X/1. The support by J. Vosper is acknowledged. I thank R. Arthern for a number of very helpful and constructive comments.</t>
  </si>
  <si>
    <t>10.5194/tc-7-647-2013</t>
  </si>
  <si>
    <t>WOS:000321181800002</t>
  </si>
  <si>
    <t>Xie, H; Lei, R; Ke, C; Wang, H; Li, Z; Zhao, J; Ackley, SF</t>
  </si>
  <si>
    <t>Xie, H.; Lei, R.; Ke, C.; Wang, H.; Li, Z.; Zhao, J.; Ackley, S. F.</t>
  </si>
  <si>
    <t>Summer sea ice characteristics and morphology in the Pacific Arctic sector as observed during the CHINARE 2010 cruise</t>
  </si>
  <si>
    <t>OCEAN; TRANSMISSION; SNOW</t>
  </si>
  <si>
    <t>In the summer of 2010, atmosphere-ice-ocean interaction was studied aboard the icebreaker R/V Xuelong during the Chinese National Arctic Research Expedition (CHINARE), in the sea ice zone of the Pacific Arctic sector between 150 degrees W and 180 degrees W up to 88.5 degrees N. The expedition lasted from 21 July to 28 August and comprised of ice observations and measurements along the cruise track, 8 short-term stations and one 12-day drift station. Ship-based observations of ice thickness and concentration are compared with ice thickness measured by an electromagnetic induction device (EM31) mounted off the ship's side and ice concentrations obtained from AMSR-E. It is found that the modal thickness from ship-based visual observations matches well with the modal thickness from the mounted EM31. A grid of 8 profiles of ice thickness measurements (four repeats) was conducted at the 12-day drift station in the central Arctic (similar to 86 degrees 50' N-87 degrees 20' N) and an average melt rate of 2 cm day(-1), primarily bottom melt, was found. As compared with the 2005 data from the Healy/Oden Trans-Arctic Expedition (HOTRAX) for the same sector but similar to 20 days later (9 August to 10 September), the summer 2010 was first-year ice dominant (vs. the multi-year ice dominant in 2005), 70% or less in mean ice concentration (vs. 90% in 2005), and 94-114 cm in mean ice thickness (vs. 150 cm in 2005). Those changes suggest the continuation of ice thinning, less concentration, and younger ice for the summer sea ice in the sector since 2007 when a record minimum sea ice extent was ob-served. Overall, the measurements provide a valuable dataset of sea ice morphological properties over the Arctic Pacific Sector in summer 2010 and can be used as a benchmark for measurements of future changes.</t>
  </si>
  <si>
    <t>[Xie, H.; Ackley, S. F.] Univ Texas San Antonio, Lab Remote Sensing &amp; Geoinformat, San Antonio, TX 78249 USA; [Lei, R.] Polar Res Inst China, Key Lab Polar Sci State Ocean Adm, Shanghai 200136, Peoples R China; [Ke, C.] Nanjing Univ, Sch Geog &amp; Oceanog Sci, Nanjing 210093, Jiangsu, Peoples R China; [Wang, H.] Zhejiang Univ, Dept Earth Sci, Hangzhou 310027, Zhejiang, Peoples R China; [Li, Z.] Dalian Univ Technol, State Key Lab Coastal &amp; Offshore Engn, Dalian 116024, Peoples R China; [Zhao, J.] Ocean Univ China, Coll Phys &amp; Environm Oceanog, Qingdao 266100, Peoples R China</t>
  </si>
  <si>
    <t>University of Texas System; University of Texas at San Antonio (UTSA); Polar Research Institute of China; Nanjing University; Zhejiang University; Dalian University of Technology; Ocean University of China</t>
  </si>
  <si>
    <t>Xie, H (corresponding author), Univ Texas San Antonio, Lab Remote Sensing &amp; Geoinformat, San Antonio, TX 78249 USA.</t>
  </si>
  <si>
    <t>hongjie.xie@utsa.edu</t>
  </si>
  <si>
    <t>Xie, Hongjie/B-5845-2009</t>
  </si>
  <si>
    <t>Xie, Hongjie/0000-0003-3516-1210</t>
  </si>
  <si>
    <t>NASA [NNX08AQ87G]; Chinese NSF [40930848]; National High Technology Research and Development Program of China [2010AA09Z103]; Chinese Arctic and Antarctic Administration [IC201301]; Chinese Arctic Expedition Team; NASA [NNX08AQ87G, 95455] Funding Source: Federal RePORTER</t>
  </si>
  <si>
    <t>NASA(National Aeronautics &amp; Space Administration (NASA)); Chinese NSF(National Natural Science Foundation of China (NSFC)); National High Technology Research and Development Program of China(National High Technology Research and Development Program of China); Chinese Arctic and Antarctic Administration; Chinese Arctic Expedition Team; NASA(National Aeronautics &amp; Space Administration (NASA))</t>
  </si>
  <si>
    <t>The study was partially supported by the NASA grant (#NNX08AQ87G), the Chinese NSF grant (#40930848), the National High Technology Research and Development Program of China (#2010AA09Z103) and the Oversea Cooperation Program of Chinese Arctic and Antarctic Administration (#IC201301). Travel expenses for H. Xie for the cruise were covered by NOAA's Climate Research/Sea Ice Outlook Program. We sincerely acknowledge the support from the Chinese Arctic and Antarctic Administration, the Chinese Arctic Expedition Team-2010, and the other persons of the sea ice team of the cruise. Advice from Christian Haas and Blake Weissling for processing the EM31 data and critical reviews from two anonymous reviewers and Hajo Eicken, Editor, to improve the paper are all greatly appreciated.</t>
  </si>
  <si>
    <t>10.5194/tc-7-1057-2013</t>
  </si>
  <si>
    <t>WOS:000323985700003</t>
  </si>
  <si>
    <t>Gardelle, J; Berthier, E; Arnaud, Y; Kääb, A</t>
  </si>
  <si>
    <t>Gardelle, J.; Berthier, E.; Arnaud, Y.; Kaab, A.</t>
  </si>
  <si>
    <t>Region-wide glacier mass balances over the Pamir-Karakoram-Himalaya during 1999-2011</t>
  </si>
  <si>
    <t>SEA-LEVEL RISE; DEBRIS-COVERED GLACIERS; CHHOTA SHIGRI GLACIER; REMOTE-SENSING DATA; UPPER INDUS BASIN; ELEVATION CHANGES; WESTERN HIMALAYA; CLIMATE-CHANGE; BALTORO GLACIER; NEPAL-HIMALAYA</t>
  </si>
  <si>
    <t>The recent evolution of Pamir-Karakoram-Himalaya (PKH) glaciers, widely acknowledged as valuable high-altitude as well as mid-latitude climatic indicators, remains poorly known. To estimate the region-wide glacier mass balance for 9 study sites spread from the Pamir to the Hengduan Shan (eastern Himalaya), we compared the 2000 Shuttle Radar Topography Mission (SRTM) digital elevation model (DEM) to recent (2008-2011) DEMs derived from SPOT5 stereo imagery. During the last decade, the region-wide glacier mass balances were contrasted with moderate mass losses in the eastern and central Himalaya (-0.22 +/- 0.12m w.e. yr(-1) to -0.33 +/- 0.14m w.e. yr(-1)) and larger losses in the western Himalaya (-0.45 +/- 0.13m w.e. yr(-1)). Recently reported slight mass gain or balanced mass budget of glaciers in the central Karakoram is confirmed for a larger area (+0.10 +/- 0.16m w.e. yr(-1)) and also observed for glaciers in the western Pamir (+0.14 +/- 0.13m w.e. yr(-1)). Thus, the Karakoram anomaly should be renamed the Pamir-Karakoram anomaly, at least for the last decade. The overall mass balance of PKH glaciers, -0.14 +/- 0.08m w.e. yr(-1), is two to three times less negative than the global average for glaciers distinct from the Greenland and Antarctic ice sheets. Together with recent studies using ICESat and GRACE data, DEM differencing confirms a contrasted pattern of glacier mass change in the PKH during the first decade of the 21st century.</t>
  </si>
  <si>
    <t>[Gardelle, J.] Univ Grenoble 1, CNRS, LGGE, UMR5183, F-38402 St Martin Dheres, France; [Berthier, E.] Univ Toulouse, CNRS, LEGOS, F-31400 Toulouse, France; [Arnaud, Y.] Univ Grenoble 1, LTHE LGGE, IRD, F-38402 St Martin Dheres, France; [Kaab, A.] Univ Oslo, Dept Geosci, N-0316 Oslo, Norway</t>
  </si>
  <si>
    <t>Centre National de la Recherche Scientifique (CNRS); Communaute Universite Grenoble Alpes; Universite Grenoble Alpes (UGA); Universite de Toulouse; Universite Toulouse III - Paul Sabatier; Centre National de la Recherche Scientifique (CNRS); Institut de Recherche pour le Developpement (IRD); Laboratoire d'Etudes en Geophysique et oceanographie spatiales; Communaute Universite Grenoble Alpes; Institut National Polytechnique de Grenoble; Universite Grenoble Alpes (UGA); Centre National de la Recherche Scientifique (CNRS); Institut de Recherche pour le Developpement (IRD); University of Oslo</t>
  </si>
  <si>
    <t>Berthier, E (corresponding author), Univ Toulouse, CNRS, LEGOS, 14 Av Edouard Belin, F-31400 Toulouse, France.</t>
  </si>
  <si>
    <t>etienne.berthier@legos.obs-mip.fr</t>
  </si>
  <si>
    <t>Berthier, Etienne/B-8900-2009</t>
  </si>
  <si>
    <t>Berthier, Etienne/0000-0001-5978-9155; Kaab, Andreas/0000-0002-6017-6564</t>
  </si>
  <si>
    <t>CNES [397]; Programme National de Teledetection Spatiale; French National Research Agency [ANR-09-CEP-005-01/PAPRIKA]; ESA [4000101778/10/I-AM]; European Research Council under the European Union [320816]</t>
  </si>
  <si>
    <t>CNES(Centre National D'etudes Spatiales); Programme National de Teledetection Spatiale; French National Research Agency(Agence Nationale de la Recherche (ANR)); ESA(European Space Agency); European Research Council under the European Union(European Research Council (ERC))</t>
  </si>
  <si>
    <t>We thank G. Cogley, A. Gardner, T. Nuimura, T. Bolch, P. Wagnon, M. Barandun, M. Hoelzle, M. Huss and an anonymous referee for their constructive comments that led to a considerably improved manuscript. We thank the Water and Power Development Authority (WAPDA) for their hydrological data (processed by P. Chevallier) and F. Papa for sharing his updated run-off data ahead of publication. We thank T. Bolch for sharing his glacier outlines from the Everest area. We thank the USGS for allowing free access to their Landsat archive, CGIAR-SCI for SRTM C-band data, DLR for SRTM X-band data and GLIMS for glacier inventories. J. Gardelle acknowledges a PhD fellowship from the French Space Agency (CNES) and the French National Research Center (CNRS). E. Berthier acknowledges support from CNES through the TOSCA and ISIS proposal no. 397 and from the Programme National de Teledetection Spatiale. E. Berthier acknowledges M. Masiokas and R. Villalba for welcoming him at the IANIGLA (Mendoza, Argentina). Y. Arnaud acknowledges support from French National Research Agency through ANR-09-CEP-005-01/PAPRIKA. A. Kaab acknowledges support from ESA through Glaciers_cci (4000101778/10/I-AM) and from the European Research Council under the European Union's Seventh Framework Programme (FP/2007-2013)/ERC Grant Agreement n. 320816.</t>
  </si>
  <si>
    <t>10.5194/tc-7-1263-2013</t>
  </si>
  <si>
    <t>WOS:000323985700017</t>
  </si>
  <si>
    <t>Sasgen, I; Konrad, H; Ivins, ER; Van den Broeke, MR; Bamber, JL; Martinec, Z; Klemann, V</t>
  </si>
  <si>
    <t>Sasgen, I.; Konrad, H.; Ivins, E. R.; Van den Broeke, M. R.; Bamber, J. L.; Martinec, Z.; Klemann, V.</t>
  </si>
  <si>
    <t>Antarctic ice-mass balance 2003 to 2012: regional reanalysis of GRACE satellite gravimetry measurements with improved estimate of glacial-isostatic adjustment based on GPS uplift rates</t>
  </si>
  <si>
    <t>SEA-LEVEL CHANGE; NORTH-AMERICA; GREENLAND; SHEET; PENINSULA; MODELS; EARTH; SURFACE; IMPACT; SIGNAL</t>
  </si>
  <si>
    <t>We present regional-scale mass balances for 25 drainage basins of the Antarctic Ice Sheet (AIS) from satellite observations of the Gravity and Climate Experiment (GRACE) for time period January 2003 to September 2012. Satellite gravimetry estimates of the AIS mass balance are strongly influenced by mass movement in the Earth interior caused by ice advance and retreat during the last glacial cycle. Here, we develop an improved glacial-isostatic adjustment (GIA) estimate for Antarctica using newly available GPS uplift rates, allowing us to more accurately separate GIA-induced trends in the GRACE gravity fields from those caused by current imbalances of the AIS. Our revised GIA estimate is considerably lower than previous predictions, yielding an estimate of apparent mass change of 53 +/- 18 Gt yr(-1). Therefore, our AIS mass balance of -114 +/- 23 Gt yr(-1) is less negative than previous GRACE estimates. The northern Antarctic Peninsula and the Amundsen Sea sector exhibit the largest mass loss (-26 +/- 3 Gt yr(-1) and -127 +/- 7 Gt yr(-1), respectively). In contrast, East Antarctica exhibits a slightly positive mass balance (26 +/- 13 Gt yr(-1)), which is, however, mostly the consequence of compensating mass anomalies in Dronning Maud and Enderby Land (positive) and Wilkes and George V Land (negative) due to interannual accumulation variations. In total, 6% of the area constitutes about half the AIS imbalance, contributing 151 +/- 7 Gt yr(-1) (ca. 0.4 mm yr(-1)) to global mean sea-level change. Most of this imbalance is caused by ice-dynamic speed-up expected to prevail in the near future.</t>
  </si>
  <si>
    <t>[Sasgen, I.; Konrad, H.; Klemann, V.] GFZ German Res Ctr Geosci, Dept Geodesy &amp; Remote Sensing, D-14473 Potsdam, Germany; [Ivins, E. R.] CALTECH, Jet Prop Lab, Pasadena, CA 91109 USA; [Van den Broeke, M. R.] Univ Utrecht, Inst Marine &amp; Atmospher Res, NL-3508 TA Utrecht, Netherlands; [Bamber, J. L.] Univ Bristol, Sch Geog Sci, Bristol BS8 1SS, Avon, England; [Martinec, Z.] Dublin Inst Adv Studies, Sch Cosm Phys, Dublin 4, Ireland; [Klemann, V.] Natl Oceanog Ctr, Liverpool L3 5DA, Merseyside, England</t>
  </si>
  <si>
    <t>Helmholtz Association; Helmholtz-Center Potsdam GFZ German Research Center for Geosciences; California Institute of Technology; National Aeronautics &amp; Space Administration (NASA); NASA Jet Propulsion Laboratory (JPL); Utrecht University; University of Bristol; Dublin Institute for Advanced Studies; NERC National Oceanography Centre</t>
  </si>
  <si>
    <t>Sasgen, I (corresponding author), GFZ German Res Ctr Geosci, Dept Geodesy &amp; Remote Sensing, Telegrafenberg A20, D-14473 Potsdam, Germany.</t>
  </si>
  <si>
    <t>sasgen@gfz-potsdam.de</t>
  </si>
  <si>
    <t>Bamber, Jonathan/C-7608-2011; Van den Broeke, Michiel R./F-7867-2011; Martinec, Zdenek/AAA-6095-2022; Konrad, Hannes/H-7647-2013; Konrad, Hannes H/A-1813-2016; Martinec, Zdenek/M-9860-2017; Ivins, Erik R/C-2416-2011; Klemann, Volker/H-3660-2013</t>
  </si>
  <si>
    <t>Bamber, Jonathan/0000-0002-2280-2819; Van den Broeke, Michiel R./0000-0003-4662-7565; Konrad, Hannes H/0000-0002-5058-8637; Martinec, Zdenek/0000-0002-7036-2571; Klemann, Volker/0000-0002-8342-8947; Ivins, Erik/0000-0003-0148-357X</t>
  </si>
  <si>
    <t>Deutsche Forschungsgemeinschaft (DFG, German Research Foundation) [SA 1734/2-2, KL 2284/1-3, SPP1257]; Utrecht University; Netherlands Polar Programme; NASA; European Commission [226375, ice2sea137]; Grant Agency of the Czech Republic [P210/10/2227]; NERC [noc010010] Funding Source: UKRI; Natural Environment Research Council [noc010010] Funding Source: researchfish</t>
  </si>
  <si>
    <t>Deutsche Forschungsgemeinschaft (DFG, German Research Foundation)(German Research Foundation (DFG)); Utrecht University; Netherlands Polar Programme; NASA(National Aeronautics &amp; Space Administration (NASA)); European Commission(European Union (EU)European Commission Joint Research Centre); Grant Agency of the Czech Republic(Grant Agency of the Czech RepublicNorwegian Agency for Development Cooperation - NORAD); NERC(UK Research &amp; Innovation (UKRI)Natural Environment Research Council (NERC)); Natural Environment Research Council(UK Research &amp; Innovation (UKRI)Natural Environment Research Council (NERC))</t>
  </si>
  <si>
    <t>We thank M. King and the two anonymous referees for their comments that have helped us to improve the manuscript. I. Sasgen and H. Konrad would like to acknowledge support from the Deutsche Forschungsgemeinschaft (DFG, German Research Foundation) through grant SA 1734/2-2 and V. Klemann through grant KL 2284/1-3 (both SPP1257); IS performed part of this work at the Jet Propulsion Laboratory, California Institute of Technology. We would like to thank the German Space Operations Center (GSOC) of the German Aerospace Center (DLR) for providing continuously, and nearly 100% of, the raw telemetry data of the twin GRACE satellites. This work is a contribution to the Helmholtz Climate Initiative REKLIM (Regional Climate Change), a joint research project of the Helmholtz Association of German Research Centres (HGF). M. van den Broeke acknowledges support from Utrecht University and the Netherlands Polar Programme. E. R. Ivins is supported by NASA's Earth Surface and Interior Focus Area and Cryosphere Program: work performed at the Jet Propulsion Laboratory, California Institute of Technology. J. L. Bamber was partly supported by the European Commission's 7th Framework Programme through grant number 226375. Ice2sea contribution number ice2sea137. Z. Martinec acknowledges support from the Grant Agency of the Czech Republic through grant no. P210/10/2227.</t>
  </si>
  <si>
    <t>10.5194/tc-7-1499-2013</t>
  </si>
  <si>
    <t>WOS:000328544800013</t>
  </si>
  <si>
    <t>Dutrieux, P; Vaughan, DG; Corr, HFJ; Jenkins, A; Holland, PR; Joughin, I; Fleming, AH</t>
  </si>
  <si>
    <t>Dutrieux, P.; Vaughan, D. G.; Corr, H. F. J.; Jenkins, A.; Holland, P. R.; Joughin, I.; Fleming, A. H.</t>
  </si>
  <si>
    <t>Pine Island glacier ice shelf melt distributed at kilometre scales</t>
  </si>
  <si>
    <t>SHEET GROUNDING LINES; WEST ANTARCTICA; OCEAN CIRCULATION; BASAL CHANNELS; AMUNDSEN SEA; BENEATH; MODEL; DRIVEN; RADAR</t>
  </si>
  <si>
    <t>By thinning and accelerating, West Antarctic ice streams are contributing about 10% of the observed global sea level rise. Much of this ice loss is from Pine Island Glacier, which has thinned since at least 1992, driven by changes in ocean heat transport beneath its ice shelf and retreat of the grounding line. Details of the processes driving this change, however, remain largely elusive, hampering our ability to predict the future behaviour of this and similar systems. Here, a Lagrangian methodology is developed to measure oceanic melting of such rapidly advecting ice. High-resolution satellite and airborne observations of ice surface velocity and elevation are used to quantify patterns of basal melt under the Pine Island Glacier ice shelf and the associated adjustments to ice flow. At the broad scale, melt rates of up to 100 m yr(-1) occur near the grounding line, reducing to 30 m yr(-1) just 20 km downstream. Between 2008 and 2011, basal melting was largely compensated by ice advection, allowing us to estimate an average loss of ice to the ocean of 87 km(3) yr(-1), in close agreement with 2009 oceanographically constrained estimates. At smaller scales, a network of basal channels typically 500 m to 3 km wide is sculpted by concentrated melt, with kilometre-scale anomalies reaching 50% of the broad-scale basal melt. Basal melting enlarges the channels close to the grounding line, but farther downstream melting tends to diminish them. Kilometre-scale variations in melt are a key component of the complex ice-ocean interaction beneath the ice shelf, implying that greater understanding of their effect, or very high resolution models, are required to predict the sea-level contribution of the region.</t>
  </si>
  <si>
    <t>[Dutrieux, P.; Vaughan, D. G.; Corr, H. F. J.; Jenkins, A.; Holland, P. R.; Fleming, A. H.] British Antarctic Survey, NERC, Cambridge CB3 0ET, England; [Joughin, I.] Univ Washington, Appl Phys Lab, Polar Sci Ctr, Seattle, WA 98105 USA</t>
  </si>
  <si>
    <t>UK Research &amp; Innovation (UKRI); Natural Environment Research Council (NERC); NERC British Antarctic Survey; University of Washington; University of Washington Seattle</t>
  </si>
  <si>
    <t>Dutrieux, P (corresponding author), British Antarctic Survey, NERC, Cambridge CB3 0ET, England.</t>
  </si>
  <si>
    <t>pierre.dutrieux@bas.ac.uk</t>
  </si>
  <si>
    <t>Vaughan, David/C-8348-2011; Joughin, Ian/AAR-7778-2021; Corr, Hugh/C-5398-2011; Holland, Paul R/G-2796-2012; Joughin, Ian R/A-2998-2008; Jenkins, Adrian/IUN-2406-2023; Dutrieux, Pierre/B-7568-2012</t>
  </si>
  <si>
    <t>Joughin, Ian/0000-0001-6229-679X; Joughin, Ian R/0000-0001-6229-679X; Dutrieux, Pierre/0000-0002-8066-934X; Vaughan, David/0000-0002-9065-0570; Jenkins, Adrian/0000-0002-9117-0616</t>
  </si>
  <si>
    <t>Natural Environmental Research Council (NERC); NERC [NE/G001367/1]; National Aeronautics and Space Administration [NNX08AD64G]; CNES; NERC [bas0100028, NE/G001367/1, NE/J005770/1] Funding Source: UKRI; Natural Environment Research Council [bas0100028, NE/J005770/1, NE/G001367/1] Funding Source: researchfish</t>
  </si>
  <si>
    <t>Natural Environmental Research Council (NERC)(UK Research &amp; Innovation (UKRI)Natural Environment Research Council (NERC)); NERC(UK Research &amp; Innovation (UKRI)Natural Environment Research Council (NERC)); National Aeronautics and Space Administration(National Aeronautics &amp; Space Administration (NASA)); CNES(Centre National D'etudes Spatiales); NERC(UK Research &amp; Innovation (UKRI)Natural Environment Research Council (NERC)); Natural Environment Research Council(UK Research &amp; Innovation (UKRI)Natural Environment Research Council (NERC))</t>
  </si>
  <si>
    <t>The CNES is acknowledged for funding the SPIRIT project and providing us with the SPIRIT products. We thank Hamish Pritchard for providing the ICESat data, Carl Robinson and Captain Doug Cochrane who acquired the airborne data, and Hilmar Gudmundsson, Nicholas Barrand and Igor Ramirez for discussions. This work is part of the British Antarctic Survey Program Polar Science for Planet Earth funded in part by the Natural Environmental Research Council (NERC). P. Dutrieux was supported by NERC grant NE/G001367/1, and I. Joughin was supported by the National Aeronautics and Space Administration grant NNX08AD64G.</t>
  </si>
  <si>
    <t>10.5194/tc-7-1543-2013</t>
  </si>
  <si>
    <t>WOS:000328544800016</t>
  </si>
  <si>
    <t>Livingstone, SJ; Clark, CD; Woodward, J; Kingslake, J</t>
  </si>
  <si>
    <t>Livingstone, S. J.; Clark, C. D.; Woodward, J.; Kingslake, J.</t>
  </si>
  <si>
    <t>Potential subglacial lake locations and meltwater drainage pathways beneath the Antarctic and Greenland ice sheets</t>
  </si>
  <si>
    <t>WEST ANTARCTICA; SYSTEM; MORPHOLOGY; GLACIER; STREAM; FLOW; BED; ACCELERATION; VARIABILITY; STABILITY</t>
  </si>
  <si>
    <t>We use the Shreve hydraulic potential equation as a simplified approach to investigate potential subglacial lake locations and meltwater drainage pathways beneath the Antarctic and Greenland ice sheets. We validate the method by demonstrating its ability to recall the locations of &gt; 60% of the known subglacial lakes beneath the Antarctic Ice Sheet. This is despite uncertainty in the ice-sheet bed elevation and our simplified modelling approach. However, we predict many more lakes than are observed. Hence we suggest that thousands of subglacial lakes remain to be found. Applying our technique to the Greenland Ice Sheet, where very few subglacial lakes have so far been observed, recalls 1607 potential lake locations, covering 1.2% of the bed. Our results will therefore provide suitable targets for geophysical surveys aimed at identifying lakes beneath Greenland. We also apply the technique to modelled past ice-sheet configurations and find that during deglaciation both ice sheets likely had more subglacial lakes at their beds. These lakes, inherited from past ice-sheet configurations, would not form under current surface conditions, but are able to persist, suggesting a retreating ice-sheet will have many more subglacial lakes than advancing ones. We also investigate subglacial drainage pathways of the present-day and former Greenland and Antarctic ice sheets. Key sectors of the ice sheets, such as the Siple Coast (Antarctica) and NE Greenland Ice Stream system, are suggested to have been susceptible to subglacial drainage switching. We discuss how our results impact our understanding of meltwater drainage, basal lubrication and ice-stream formation.</t>
  </si>
  <si>
    <t>[Livingstone, S. J.; Clark, C. D.] Univ Sheffield, Dept Geog, Sheffield S10 2TN, S Yorkshire, England; [Woodward, J.] Northumbria Univ, Dept Geog Engn &amp; Environm, Newcastle Upon Tyne NE1 8ST, Tyne &amp; Wear, England; [Kingslake, J.] British Antarctic Survey, Cambridge CB3 0ET, England</t>
  </si>
  <si>
    <t>University of Sheffield; Northumbria University; UK Research &amp; Innovation (UKRI); Natural Environment Research Council (NERC); NERC British Antarctic Survey</t>
  </si>
  <si>
    <t>Livingstone, SJ (corresponding author), Univ Sheffield, Dept Geog, Sheffield S10 2TN, S Yorkshire, England.</t>
  </si>
  <si>
    <t>s.j.livingstone@sheffield.ac.uk</t>
  </si>
  <si>
    <t>Woodward, John/I-1046-2013; clark, chris/C-3830-2009</t>
  </si>
  <si>
    <t>clark, chris/0000-0002-1021-6679; Livingstone, Stephen/0000-0002-7240-5037; Woodward, John/0000-0002-4980-4080</t>
  </si>
  <si>
    <t>NERC [NE/H015256/1]; NERC [bas0100027, NE/H015256/1] Funding Source: UKRI; Natural Environment Research Council [NE/H015256/1, bas0100027] Funding Source: researchfish</t>
  </si>
  <si>
    <t>This work was supported by a NERC Early Career Research Fellowship awarded to SJL (NE/H015256/1). The data are available upon request from the lead author. We thank Matt Simpson, Pippa Whitehouse and Frank Pattyn for supplying ice-sheet model output on the deglaciation of the Greenland Ice Sheet and Antarctic Ice Sheet, and modelled basal temperature data respectively. The manuscript has benefitted greatly from the comments of two anonymous reviewers and Sasha Carter.</t>
  </si>
  <si>
    <t>10.5194/tc-7-1721-2013</t>
  </si>
  <si>
    <t>WOS:000328546300005</t>
  </si>
  <si>
    <t>Libois, Q; Picard, G; France, JL; Arnaud, L; Dumont, M; Carmagnola, CM; King, MD</t>
  </si>
  <si>
    <t>Libois, Q.; Picard, G.; France, J. L.; Arnaud, L.; Dumont, M.; Carmagnola, C. M.; King, M. D.</t>
  </si>
  <si>
    <t>Influence of grain shape on light penetration in snow</t>
  </si>
  <si>
    <t>NONSPHERICAL ICE PARTICLE; SINGLE-SCATTERING PROPERTIES; OPTICAL-PROPERTIES; SOLAR-RADIATION; SURFACE-AREA; BIDIRECTIONAL REFLECTANCE; INFRARED REFLECTANCE; INDEPENDENT SPHERES; SPECTRAL ALBEDO; ANTARCTIC SNOW</t>
  </si>
  <si>
    <t>The energy budget and the photochemistry of a snowpack depend greatly on the penetration of solar radiation in snow. Below the snow surface, spectral irradiance decreases exponentially with depth with a decay constant called the asymptotic flux extinction coefficient. As with the albedo of the snowpack, the asymptotic flux extinction coefficient depends on snow grain shape. While representing snow by a collection of spherical particles has been successful in the numerical computation of albedo, such a description poorly explains the decrease of irradiance in snow with depth. Here we explore the limits of the spherical representation. Under the assumption of geometric optics and weak absorption by snow, the grain shape can be simply described by two parameters: the absorption enhancement parameter B and the geometric asymmetry factor g(G). Theoretical calculations show that the albedo depends on the ratio B/(1-g(G)) and the asymptotic flux extinction coefficient depends on the product B(1-g(G)). To understand the influence of grain shape, the values of B and g(G) are calculated for a variety of simple geometric shapes using ray tracing simulations. The results show that B and (1-g(G)) generally co-vary so that the asymptotic flux extinction coefficient exhibits larger sensitivity to the grain shape than albedo. In particular it is found that spherical grains propagate light deeper than any other investigated shape. In a second step, we developed a method to estimate B from optical measurements in snow. A multi-layer, two-stream, radiative transfer model, with explicit grain shape dependence, is used to retrieve values of the B parameter of snow by comparing the model to joint measurements of reflectance and irradiance profiles. Such measurements were performed in Antarctica and in the Alps yielding estimates of B between 0.8 and 2.0. In addition, values of B were estimated from various measurements found in the literature, leading to a wider range of values (1.0-9.9) which may be partially explained by the limited accuracy of the data. This work highlights the large variety of snow microstructure and experimentally demonstrates that spherical grains, with B = 1.25, are inappropriate to model irradiance profiles in snow, an important result that should be considered in further studies dedicated to subsurface absorption of short-wave radiation and snow photochemistry.</t>
  </si>
  <si>
    <t>[Libois, Q.; Picard, G.; Arnaud, L.] Univ Grenoble Alpes, LGGE UMR5183, F-38041 Grenoble, France; [Libois, Q.; Picard, G.; Arnaud, L.] CNRS, LGGE UMR5183, F-38041 Grenoble, France; [France, J. L.; King, M. D.] Royal Holloway Univ London, Dept Earth Sci, Egham TW20 0EX, Surrey, England; [Dumont, M.; Carmagnola, C. M.] Meteo France, CNRS, CNRM, GAME UMR 3589,Ctr Etud Neige, Grenoble, France</t>
  </si>
  <si>
    <t>Communaute Universite Grenoble Alpes; Universite Grenoble Alpes (UGA); Communaute Universite Grenoble Alpes; Universite Grenoble Alpes (UGA); Centre National de la Recherche Scientifique (CNRS); University of London; Royal Holloway University London; Centre National de la Recherche Scientifique (CNRS); CNRS - National Institute for Earth Sciences &amp; Astronomy (INSU); Meteo France</t>
  </si>
  <si>
    <t>Libois, Q (corresponding author), Univ Grenoble Alpes, LGGE UMR5183, F-38041 Grenoble, France.</t>
  </si>
  <si>
    <t>quentin.libois@lgge.obs.ujf-grenoble.fr</t>
  </si>
  <si>
    <t>Picard, Ghislain/D-4246-2013; King, Martin/B-1308-2009; Dumont, Marie/R-4507-2019; Dumont, Marie/A-7271-2015; France, James/L-9719-2015</t>
  </si>
  <si>
    <t>Picard, Ghislain/0000-0003-1475-5853; King, Martin/0000-0002-0089-7693; Dumont, Marie/0000-0002-4002-5873; arnaud, laurent/0000-0002-4432-4205; libois, quentin/0000-0001-8963-4170; France, James/0000-0002-8785-1240</t>
  </si>
  <si>
    <t>ANR MONISNOW programme; NERC [NE/F0004796/1, NE/F010788]; NERC FSF [555.0608, 584.0609]; Royal Holloway Earth Sciences research strategy fund awards; NERC [NE/F004796/1, fsf010001] Funding Source: UKRI; Natural Environment Research Council [NE/F004796/1, fsf010001] Funding Source: researchfish</t>
  </si>
  <si>
    <t>ANR MONISNOW programme(Agence Nationale de la Recherche (ANR)); NERC(UK Research &amp; Innovation (UKRI)Natural Environment Research Council (NERC)); NERC FSF; Royal Holloway Earth Sciences research strategy fund awards; NERC(UK Research &amp; Innovation (UKRI)Natural Environment Research Council (NERC)); Natural Environment Research Council(UK Research &amp; Innovation (UKRI)Natural Environment Research Council (NERC))</t>
  </si>
  <si>
    <t>We wish to thank A. A. Kokhanovsky and two anonymous reviewers for their comments. This study was supported by the ANR MONISNOW programme. We are grateful to the French Polar Institute (IPEV) for the logistic support at Concordia station in Antarctica through the CALVA and NiteDC programmes. J. L. F. and M. D. K. thank NERC for support through grants NE/F0004796/1, NE/F010788 and NERC FSF for support through grants 555.0608, 584.0609 and support from Royal Holloway Earth Sciences research strategy fund awards.</t>
  </si>
  <si>
    <t>10.5194/tc-7-1803-2013</t>
  </si>
  <si>
    <t>WOS:000328546300010</t>
  </si>
  <si>
    <t>Wever, R; van der Horst, MA</t>
  </si>
  <si>
    <t>Wever, Ron; van der Horst, Michael A.</t>
  </si>
  <si>
    <t>The role of vanadium haloperoxidases in the formation of volatile brominated compounds and their impact on the environment</t>
  </si>
  <si>
    <t>DALTON TRANSACTIONS</t>
  </si>
  <si>
    <t>HALOGENATED ORGANIC-COMPOUNDS; TROPICAL ATLANTIC-OCEAN; HYDROGEN-PEROXIDE; OZONE DESTRUCTION; CORALLINA-PILULIFERA; BROWN-ALGAE; EUCHEUMA DENTICULATUM; ANTARCTIC MACROALGAE; ASCOPHYLLUM-NODOSUM; LAMINARIA-DIGITATA</t>
  </si>
  <si>
    <t>Vanadium haloperoxidases differ strongly from heme peroxidases in substrate specificity and stability and in contrast to a heme group they contain the bare metal oxide vanadate as a prosthetic group. These enzymes specifically oxidize halides in the presence of hydrogen peroxide into hypohalous acids. These reactive halogen intermediates will react rapidly and aspecifically with many organic molecules. Marine algae and diatoms containing these iodo-and bromoperoxidases produce short-lived brominated methanes (bromoform, CHBr3 and dibromomethane CH2Br2) or iodinated compounds. Some seas and oceans are supersaturated with these compounds and they form an important source of bromine to the troposphere and lower stratosphere and contribute significantly to the global budget of halogenated hydrocarbons. This perspective focuses, in particular, on the biosynthesis of these volatile compounds and the direct or indirect involvement of vanadium haloperoxidases in the production of huge amounts of bromoform and dibromomethane. Some of the global sources are discussed and from the literature a picture emerges in which oxidized brominated species generated by phytoplankton, seaweeds and cyanobacteria react with dissolved organic matter in seawater, resulting in the formation of intermediate brominated compounds. These compounds are unstable and decay via a haloform reaction to form an array of volatile brominated compounds of which bromoform is the major component followed by dibromomethane.</t>
  </si>
  <si>
    <t>[Wever, Ron; van der Horst, Michael A.] Univ Amsterdam, Vant Hoff Inst Mol Sci, NL-1098 XH Amsterdam, Netherlands</t>
  </si>
  <si>
    <t>University of Amsterdam</t>
  </si>
  <si>
    <t>Wever, R (corresponding author), Univ Amsterdam, Vant Hoff Inst Mol Sci, Sci Pk 904, NL-1098 XH Amsterdam, Netherlands.</t>
  </si>
  <si>
    <t>r.wever@uva.nl</t>
  </si>
  <si>
    <t>Wever, Ron/AAM-4520-2020</t>
  </si>
  <si>
    <t>1477-9226</t>
  </si>
  <si>
    <t>1477-9234</t>
  </si>
  <si>
    <t>DALTON T</t>
  </si>
  <si>
    <t>Dalton Trans.</t>
  </si>
  <si>
    <t>10.1039/c3dt50525a</t>
  </si>
  <si>
    <t>Chemistry, Inorganic &amp; Nuclear</t>
  </si>
  <si>
    <t>192YY</t>
  </si>
  <si>
    <t>Green Published, Green Submitted, hybrid</t>
  </si>
  <si>
    <t>WOS:000322525100005</t>
  </si>
  <si>
    <t>Buizert, C; Sowers, T; Blunier, T</t>
  </si>
  <si>
    <t>Buizert, Christo; Sowers, Todd; Blunier, Thomas</t>
  </si>
  <si>
    <t>Assessment of diffusive isotopic fractionation in polar firn, and application to ice core trace gas records</t>
  </si>
  <si>
    <t>EARTH AND PLANETARY SCIENCE LETTERS</t>
  </si>
  <si>
    <t>ice core; isotopic fractionation; greenhouse gas; firn air; 8.2 ka event</t>
  </si>
  <si>
    <t>ABRUPT CLIMATE-CHANGE; ATMOSPHERIC CH4; NITROUS-OXIDE; ANTARCTIC ICE; AIR; METHANE; CO2; SCALE; DELTA-N-15; TRANSPORT</t>
  </si>
  <si>
    <t>During rapid variations of the atmospheric mixing ratio of a trace gas, diffusive transport in the porous firn layer atop ice sheets and glaciers alters the isotopic composition of that gas relative to the overlying atmosphere. Records of past atmospheric trace gas isotopic composition from ice cores and firn need to be corrected for this diffusive fractionation artifact. We present a novel, semi-empirical method to accurately estimate the magnitude of the diffusive fractionation in the ice core record. Our method (1) consists of a relatively simple analytical calculation; (2) requires only commonly available ice core data; (3) is not subject to the uncertainties inherent to estimating the accumulation rate, temperature, close-off depth and depth-diffusivity relationship back in time; (4) does not require knowledge of the true atmospheric variations, but uses the smoothed records obtained from ice cores; (5) arguably gives more accurate results than a combined firn densification-firn air transport modeling study would. We apply the method to records of CH4, CO2 and N2O mixing ratios, and we find that the correction is particularly important for delta C-13-CH4. We apply the correction to delta C-13-CH4 records over the last glacial termination and the 8.2 ka event. In both cases the diffusive signal exceeds the analytical precision of the data, and has a significant impact on the observed isotopic trends. For the 8.2 ka event the corrected data show an isotopic enrichment in delta C-13-CH4 for the duration of the event, consistent with reduced wetland emissions. (C) 2012 Elsevier B.V. All rights reserved.</t>
  </si>
  <si>
    <t>[Buizert, Christo] Oregon State Univ, Coll Earth Ocean &amp; Atmospher Sci, Corvallis, OR 97331 USA; [Buizert, Christo; Blunier, Thomas] Univ Copenhagen, Niels Bohr Inst, Ctr Ice &amp; Climate, DK-2100 Copenhagen O, Denmark; [Sowers, Todd] Penn State Univ, Earth &amp; Environm Syst Inst, University Pk, PA 16802 USA</t>
  </si>
  <si>
    <t>Oregon State University; University of Copenhagen; Niels Bohr Institute; Pennsylvania Commonwealth System of Higher Education (PCSHE); Pennsylvania State University; Pennsylvania State University - University Park</t>
  </si>
  <si>
    <t>Buizert, C (corresponding author), Oregon State Univ, Coll Earth Ocean &amp; Atmospher Sci, 104 CEOAS Admin Bldg, Corvallis, OR 97331 USA.</t>
  </si>
  <si>
    <t>buizertc@science.oregonstate.edu</t>
  </si>
  <si>
    <t>Blunier, Thomas/M-4609-2014</t>
  </si>
  <si>
    <t>Blunier, Thomas/0000-0002-6065-7747; Buizert, Christo/0000-0002-2227-1747</t>
  </si>
  <si>
    <t>NOAA; NSF [ARC 08-06407]; Office Of Internatl Science &amp;Engineering; Office Of The Director [0968391] Funding Source: National Science Foundation; Office of Polar Programs (OPP); Directorate For Geosciences [0806407] Funding Source: National Science Foundation; Office of Polar Programs (OPP); Directorate For Geosciences [0944348] Funding Source: National Science Foundation</t>
  </si>
  <si>
    <t>NOAA(National Oceanic Atmospheric Admin (NOAA) - USA); NSF(National Science Foundation (NSF)); Office Of Internatl Science &amp;Engineering; Office Of The Director(National Science Foundation (NSF)NSF - Office of the Director (OD)); Office of Polar Programs (OPP); Directorate For Geosciences(National Science Foundation (NSF)NSF - Directorate for Geosciences (GEO)); Office of Polar Programs (OPP); Directorate For Geosciences(National Science Foundation (NSF)NSF - Directorate for Geosciences (GEO))</t>
  </si>
  <si>
    <t>C. Buizert was supported by the NOAA Climate and Global Change Fellowship Program, administered by the University Corporation for Atmospheric Research; T. Sowers was supported through NSF grant ARC 08-06407. We want to thank Steve Montzka, Ed Dlugokencky, Mark Battle, David Etheridge, Cathy Trudinger, Kenji Kawamura, Satoshi Sugawara, Patricia Martinerie, Carl Brenninkmeijer, Jeffrey Severinghaus and Gabrielle Dreyfus for sharing firn air and ice core data. The manuscript benefited considerably from thoughtful and constructive comments by three anonymous reviewers.</t>
  </si>
  <si>
    <t>0012-821X</t>
  </si>
  <si>
    <t>1385-013X</t>
  </si>
  <si>
    <t>EARTH PLANET SC LETT</t>
  </si>
  <si>
    <t>Earth Planet. Sci. Lett.</t>
  </si>
  <si>
    <t>10.1016/j.epsl.2012.11.039</t>
  </si>
  <si>
    <t>089JO</t>
  </si>
  <si>
    <t>WOS:000314907000013</t>
  </si>
  <si>
    <t>Macmillan, S; Olsen, N</t>
  </si>
  <si>
    <t>Macmillan, S.; Olsen, N.</t>
  </si>
  <si>
    <t>Observatory data and the Swarm mission</t>
  </si>
  <si>
    <t>Magnetic survey satellites; geomagnetic observatory data</t>
  </si>
  <si>
    <t>MAGNETIC-FIELD; MODEL</t>
  </si>
  <si>
    <t>The ESA Swarm mission to identify and measure very accurately the different magnetic signals that arise in the Earth's core, mantle, crust, oceans, ionosphere and magnetosphere, which together form the magnetic field around the Earth, has increased interest in magnetic data collected on the surface of the Earth at observatories. The scientific use of Swarm data and Swarm-derived products is greatly enhanced by combination with observatory data and indices. As part of the Swarm Level-2 data activities plans are in place to distribute such ground-based data along with the Swarm data as auxiliary data products. We describe here the preparation of the data set of ground observatory hourly mean values, including procedures to check and select observatory data spanning the modern magnetic survey satellite era. We discuss other possible combined uses of satellite and observatory data, in particular those that may use higher cadence 1-second and 1-minute data from observatories.</t>
  </si>
  <si>
    <t>[Macmillan, S.] British Geol Survey, Edinburgh EH9 3LA, Midlothian, Scotland; [Olsen, N.] Tech Univ Denmark, DK-2800 Lyngby, Denmark</t>
  </si>
  <si>
    <t>UK Research &amp; Innovation (UKRI); Natural Environment Research Council (NERC); NERC British Geological Survey; Technical University of Denmark</t>
  </si>
  <si>
    <t>Macmillan, S (corresponding author), British Geol Survey, Murchison House, Edinburgh EH9 3LA, Midlothian, Scotland.</t>
  </si>
  <si>
    <t>smac@bgs.ac.uk</t>
  </si>
  <si>
    <t>Olsen, Nils/AAZ-1044-2021; Macmillan, Susan/M-6202-2019</t>
  </si>
  <si>
    <t>Olsen, Nils/0000-0003-1132-6113;</t>
  </si>
  <si>
    <t>Centre de Recherche en Astronomie Astrophysique et Geophysique, ALGERIA; Servicio Meteorologico Nacional, ARGENTINA; Universidad Nacional de la Plata, ARGENTINA; Geoscience Australia, AUSTRALIA; Zentralanstalt fur Meteorologie und Geodynamik, AUSTRIA; Institut Royal Meteorologique de Belgique, BELGIUM; CNPq-Observatorio Nacional, BRAZIL; Academy of Sciences, BULGARIA; Geological Survey of Canada, CANADA; Academy of Sciences, CHINA; Seismological Bureau, CHINA; Directorate General of Telecommunications, CHINA (Taiwan); Instituto Geografico Agustin Codazzi, COLOMBIA; Academy of Sciences, CZECH REPUBLIC; Technical University of Denmark, DENMARK; Addis Ababa University, ETHIOPIA; Finnish Meteorological Institute, FINLAND; Sodankyla Geophysical Observatory, FINLAND; Institut de Physique du Globe de Paris, FRANCE; Ecole et Observatoire des Sciences de la Terre, FRANCE; Institut Francais de Recherche Scientifique pour le Developpement, FRANCE; Academy of Sciences, GEORGIA; Ludwig Maximilians University Munich, GERMANY; Alfred-Wegener-Institute for Polar and Marine Research, GERMANY; GeoForschungsZentrum Helmholtz Zentrum in Potsdam, GERMANY; University of Karlsruhe GERMANY; University of Stuttgart, GERMANY; Institute of Geology and Mineral Exploration, GREECE; Academy of Sciences, HUNGARY; Eotvos Lorand Geophysical Institute of Hungary, HUNGARY; University of Iceland, ICELAND; Indian Institute of Geomagnetism, INDIA; Meteorological and Geophysical Agency, INDONESIA; Irish Meteorological Service, IRELAND; Survey of Israel, ISRAEL; Instituto Nazionale di Geofisica e Vulcanologia, ITALY; Japan Coast Guard, JAPAN; Japan Meteorological Agency, JAPAN; Geographical Survey Institute, JAPAN; Institute of the Ionosphere, KAZAKHSTAN; National Centre for Geophysical Research, LEBANON; Universite d'Antananarivo, MADAGASCAR; Universidad Nacional Autonoma de Mexico, MEXICO; Institute of Geological and Nuclear Sciences, NEW ZEALAND; University of Tromso, NORWAY; Instituto Geofisico del Peru, PERU; Academy of Sciences, POLAND; Instituto Nacional de Geologia, REPUBLICA DE MOCAMBIQUE; Geological Survey of Romania, ROMANIA; Academy of Sciences, RUSSIA; Institute of Solar-Terrestrial Physics, RUSSIA; Dept. of Agriculture, Forestry, Fisheries and Meteorology, SAMOA; Geomagnetic College Grocka, SERBIA; Geomagnetic College Grocka, MONTENEGRO; Slovenska Akademia Vied, SLOVAKIA; National Research Foundation, SOUTH AFRICA; Observatori de l'Ebre, SPAIN; Real Instituto y Observatorio de la Armada, SPAIN; Instituto Geografico Nacional, SPAIN; Sveriges Geologiska Undersokning, SWEDEN; Swedish Institute of Space Physics, SWEDEN; Earthquake Research Institute, TURKEY; US Geological Survey, UNITED STATES OF AMERICA; British Geological Survey, UNITED KINGDOM; Academy of Sciences, UKRAINE; Ukrainian Antarctic Center, UKRAINE; National Centre for Science and Technology, VIETNAM; Halliburton, BP and Sable Offshore Energy; NERC [bgs05003] Funding Source: UKRI; Natural Environment Research Council [bgs05003] Funding Source: researchfish</t>
  </si>
  <si>
    <t>Centre de Recherche en Astronomie Astrophysique et Geophysique, ALGERIA; Servicio Meteorologico Nacional, ARGENTINA; Universidad Nacional de la Plata, ARGENTINA(National University of La Plata); Geoscience Australia, AUSTRALIA; Zentralanstalt fur Meteorologie und Geodynamik, AUSTRIA; Institut Royal Meteorologique de Belgique, BELGIUM; CNPq-Observatorio Nacional, BRAZIL; Academy of Sciences, BULGARIA; Geological Survey of Canada, CANADA; Academy of Sciences, CHINA; Seismological Bureau, CHINA; Directorate General of Telecommunications, CHINA (Taiwan); Instituto Geografico Agustin Codazzi, COLOMBIA; Academy of Sciences, CZECH REPUBLIC(Czech Academy of SciencesCzech Republic Government); Technical University of Denmark, DENMARK; Addis Ababa University, ETHIOPIA; Finnish Meteorological Institute, FINLAND; Sodankyla Geophysical Observatory, FINLAND; Institut de Physique du Globe de Paris, FRANCE; Ecole et Observatoire des Sciences de la Terre, FRANCE; Institut Francais de Recherche Scientifique pour le Developpement, FRANCE; Academy of Sciences, GEORGIA; Ludwig Maximilians University Munich, GERMANY; Alfred-Wegener-Institute for Polar and Marine Research, GERMANY; GeoForschungsZentrum Helmholtz Zentrum in Potsdam, GERMANY; University of Karlsruhe GERMANY; University of Stuttgart, GERMANY; Institute of Geology and Mineral Exploration, GREECE; Academy of Sciences, HUNGARY; Eotvos Lorand Geophysical Institute of Hungary, HUNGARY; University of Iceland, ICELAND; Indian Institute of Geomagnetism, INDIA(Department of Science &amp; Technology (India)); Meteorological and Geophysical Agency, INDONESIA; Irish Meteorological Service, IRELAND; Survey of Israel, ISRAEL; Instituto Nazionale di Geofisica e Vulcanologia, ITALY; Japan Coast Guard, JAPAN; Japan Meteorological Agency, JAPAN; Geographical Survey Institute, JAPAN; Institute of the Ionosphere, KAZAKHSTAN; National Centre for Geophysical Research, LEBANON; Universite d'Antananarivo, MADAGASCAR; Universidad Nacional Autonoma de Mexico, MEXICO(Universidad Nacional Autonoma de Mexico); Institute of Geological and Nuclear Sciences, NEW ZEALAND; University of Tromso, NORWAY; Instituto Geofisico del Peru, PERU; Academy of Sciences, POLAND; Instituto Nacional de Geologia, REPUBLICA DE MOCAMBIQUE; Geological Survey of Romania, ROMANIA; Academy of Sciences, RUSSIA; Institute of Solar-Terrestrial Physics, RUSSIA(Russian Academy of Sciences); Dept. of Agriculture, Forestry, Fisheries and Meteorology, SAMOA; Geomagnetic College Grocka, SERBIA; Geomagnetic College Grocka, MONTENEGRO; Slovenska Akademia Vied, SLOVAKIA; National Research Foundation, SOUTH AFRICA(National Research Foundation - South AfricaSouth African Medical Research Council); Observatori de l'Ebre, SPAIN; Real Instituto y Observatorio de la Armada, SPAIN; Instituto Geografico Nacional, SPAIN; Sveriges Geologiska Undersokning, SWEDEN; Swedish Institute of Space Physics, SWEDEN; Earthquake Research Institute, TURKEY; US Geological Survey, UNITED STATES OF AMERICA; British Geological Survey, UNITED KINGDOM; Academy of Sciences, UKRAINE; Ukrainian Antarctic Center, UKRAINE; National Centre for Science and Technology, VIETNAM; Halliburton, BP and Sable Offshore Energy; NERC(UK Research &amp; Innovation (UKRI)Natural Environment Research Council (NERC)); Natural Environment Research Council(UK Research &amp; Innovation (UKRI)Natural Environment Research Council (NERC))</t>
  </si>
  <si>
    <t>The following organisations are thanked for supporting the observatories considered in this study: Centre de Recherche en Astronomie Astrophysique et Geophysique, ALGERIA; Servicio Meteorologico Nacional, ARGENTINA; Universidad Nacional de la Plata, ARGENTINA; Geoscience Australia, AUSTRALIA; Zentralanstalt fur Meteorologie und Geodynamik, AUSTRIA; Institut Royal Meteorologique de Belgique, BELGIUM; CNPq-Observatorio Nacional, BRAZIL; Academy of Sciences, BULGARIA; Geological Survey of Canada, CANADA; Academy of Sciences, CHINA; Seismological Bureau, CHINA; Directorate General of Telecommunications, CHINA (Taiwan); Instituto Geografico Agustin Codazzi, COLOMBIA; Academy of Sciences, CZECH REPUBLIC; Technical University of Denmark, DENMARK; Addis Ababa University, ETHIOPIA; Finnish Meteorological Institute, FINLAND; Sodankyla Geophysical Observatory, FINLAND; Institut de Physique du Globe de Paris, FRANCE; Ecole et Observatoire des Sciences de la Terre, FRANCE; Institut Francais de Recherche Scientifique pour le Developpement, FRANCE; Academy of Sciences, GEORGIA; Ludwig Maximilians University Munich, GERMANY; Alfred-Wegener-Institute for Polar and Marine Research, GERMANY; GeoForschungsZentrum Helmholtz Zentrum in Potsdam, GERMANY; Universities of Karlsruhe and Stuttgart, GERMANY; Institute of Geology and Mineral Exploration, GREECE; Academy of Sciences, HUNGARY; Eotvos Lorand Geophysical Institute of Hungary, HUNGARY; University of Iceland, ICELAND; Indian Institute of Geomagnetism, INDIA; Meteorological and Geophysical Agency, INDONESIA; The Irish Meteorological Service, IRELAND; Survey of Israel, ISRAEL; Instituto Nazionale di Geofisica e Vulcanologia, ITALY; Japan Coast Guard, JAPAN; Japan Meteorological Agency, JAPAN; Geographical Survey Institute, JAPAN; Institute of the Ionosphere, KAZAKHSTAN; National Centre for Geophysical Research, LEBANON; Universite d'Antananarivo, MADAGASCAR; Universidad Nacional Autonoma de Mexico, MEXICO; Institute of Geological and Nuclear Sciences, NEW ZEALAND; University of Tromso, NORWAY; Instituto Geofisico del Peru, PERU; Academy of Sciences, POLAND; Instituto Nacional de Geologia, REPUBLICA DE MOCAMBIQUE; Geological Survey of Romania, ROMANIA; Academy of Sciences, RUSSIA; Institute of Solar-Terrestrial Physics, RUSSIA; Dept. of Agriculture, Forestry, Fisheries and Meteorology, SAMOA; Geomagnetic College Grocka, SERBIA and MONTENEGRO; Slovenska Akademia Vied, SLOVAKIA; National Research Foundation, SOUTH AFRICA; Observatori de l'Ebre, SPAIN; Real Instituto y Observatorio de la Armada, SPAIN; Instituto Geografico Nacional, SPAIN; Sveriges Geologiska Undersokning, SWEDEN; Swedish Institute of Space Physics, SWEDEN; Earthquake Research Institute, TURKEY; US Geological Survey, UNITED STATES OF AMERICA; British Geological Survey, UNITED KINGDOM; Academy of Sciences, UKRAINE; Ukrainian Antarctic Center, UKRAINE and National Centre for Science and Technology, VIETNAM. The following companies are also thanked for their support of JCO and SBL observatories: Halliburton, BP and Sable Offshore Energy. This paper is published with the permission of the Executive Director of the British Geological Survey (Natural Environment Research Council).</t>
  </si>
  <si>
    <t>10.5047/eps.2013.07.011</t>
  </si>
  <si>
    <t>267IM</t>
  </si>
  <si>
    <t>Green Accepted, Green Published, hybrid</t>
  </si>
  <si>
    <t>WOS:000328090700016</t>
  </si>
  <si>
    <t>Patton, H; Hubbard, A; Bradwell, T; Glasser, NF; Hambrey, MJ; Clark, CD</t>
  </si>
  <si>
    <t>Patton, H.; Hubbard, A.; Bradwell, T.; Glasser, N. F.; Hambrey, M. J.; Clark, C. D.</t>
  </si>
  <si>
    <t>Rapid marine deglaciation: asynchronous retreat dynamics between the Irish Sea Ice Stream and terrestrial outlet glaciers</t>
  </si>
  <si>
    <t>EARTH SURFACE DYNAMICS</t>
  </si>
  <si>
    <t>DEPOSITIONAL EVIDENCE; STRUCTURAL EVOLUTION; MEDIAL MORAINES; MAXIMUM EXTENT; EASTERN MARGIN; SHELF; CAP; SEDIMENTARY; SHEET; LANDFORMS</t>
  </si>
  <si>
    <t>Understanding the retreat behaviour of past marine-based ice sheets provides vital context for accurate assessments of the present stability and long-term response of contemporary polar ice sheets to climate and oceanic warming. Here new multibeam swath bathymetry data and sedimentological analysis are combined with high resolution ice-sheet modelling to reveal complex landform assemblages and process dynamics associated with deglaciation of the Celtic ice sheet within the Irish Sea Basin. Our reconstruction indicates a nonlinear relationship between the rapidly receding Irish Sea Ice Stream and the retreat of outlet glaciers draining the adjacent, terrestrially based ice cap centred over Wales. Retreat of Welsh ice was episodic; superimposed over low-order oscillations of its margin are asynchronous outlet readvances driven by catchment-wide mass balance variations that are amplified through migration of the ice cap's main ice divide. Formation of large, linear ridges which extend at least 12.5 km offshore (locally known as sarns) and which dominate the regional bathymetry are attributed to repeated frontal and medial morainic deposition associated with the readvancing phases of these outlet glaciers. Our study provides new insight into ice-sheet extent, dynamics and non-linear retreat across a major palaeo-ice stream confluence zone, and has ramifications for the interpretation of recent fluctuations observed by satellites over short timescales across marine sectors of the Greenland and Antarctic ice sheets.</t>
  </si>
  <si>
    <t>[Patton, H.; Hubbard, A.; Glasser, N. F.; Hambrey, M. J.] Aberystwyth Univ, Inst Geog &amp; Earth Sci, Aberystwyth SY23 3DB, Dyfed, Wales; [Bradwell, T.] British Geol Survey, Edinburgh EH9 3LA, Midlothian, Scotland; [Clark, C. D.] Univ Sheffield, Dept Geog, Sheffield S10 2TN, S Yorkshire, England</t>
  </si>
  <si>
    <t>Aberystwyth University; UK Research &amp; Innovation (UKRI); Natural Environment Research Council (NERC); NERC British Geological Survey; University of Sheffield</t>
  </si>
  <si>
    <t>Patton, H (corresponding author), Aberystwyth Univ, Inst Geog &amp; Earth Sci, Aberystwyth SY23 3DB, Dyfed, Wales.</t>
  </si>
  <si>
    <t>henrypatton@gmail.com</t>
  </si>
  <si>
    <t>Patton, Henry/H-7525-2019; clark, chris/C-3830-2009; Hubbard, Alun/R-5085-2017</t>
  </si>
  <si>
    <t>Patton, Henry/0000-0001-9670-611X; Bradwell, Tom/0000-0003-0947-3309; clark, chris/0000-0002-1021-6679; Hubbard, Alun/0000-0002-0503-3915; Glasser, Neil/0000-0002-8245-2670</t>
  </si>
  <si>
    <t>British Geological Survey [2K08/E108]; Aberystwyth University via the BGS-University Funding Initiative [2K08/E108]; Climate Change Consortium of Wales; MAREMAP programme; Natural Environment Research Council [NE/J009768/1] Funding Source: researchfish; NERC [NE/J009768/1] Funding Source: UKRI</t>
  </si>
  <si>
    <t>British Geological Survey; Aberystwyth University via the BGS-University Funding Initiative; Climate Change Consortium of Wales; MAREMAP programme; Natural Environment Research Council(UK Research &amp; Innovation (UKRI)Natural Environment Research Council (NERC)); NERC(UK Research &amp; Innovation (UKRI)Natural Environment Research Council (NERC))</t>
  </si>
  <si>
    <t>This study was supported by a Joint Studentship (2K08/E108) provided by the British Geological Survey and Aberystwyth University via the BGS-University Funding Initiative, as well as a grant from the Climate Change Consortium of Wales. Swath bathymetry data used in this study was provided courtesy of the Maritime &amp; Coastguard Agency's UK Civil Hydrography Programme. Rhys Cooper is thanked for processing the multibeam data, and Nick Golledge for insightful comments on an earlier version of the MS. James Scourse, Ola Fredin and Greg Hancock are also thanked for their constructive reviews. T. Bradwell acknowledges support from the MAREMAP programme and publishes with permission of the Executive Director, BGS (NERC).</t>
  </si>
  <si>
    <t>2196-6311</t>
  </si>
  <si>
    <t>2196-632X</t>
  </si>
  <si>
    <t>EARTH SURF DYNAM</t>
  </si>
  <si>
    <t>Earth Surf. Dyn.</t>
  </si>
  <si>
    <t>10.5194/esurf-1-53-2013</t>
  </si>
  <si>
    <t>V39LY</t>
  </si>
  <si>
    <t>WOS:000209413700005</t>
  </si>
  <si>
    <t>Sinha, R; Ravindra, R</t>
  </si>
  <si>
    <t>Sinha, Rajiv; Ravindra, Rasik</t>
  </si>
  <si>
    <t>Earth System Processes and Disaster Management Introduction</t>
  </si>
  <si>
    <t>EARTH SYSTEM PROCESSES AND DISASTER MANAGEMENT</t>
  </si>
  <si>
    <t>Society of Earth Scientists Series</t>
  </si>
  <si>
    <t>Editorial Material; Book Chapter</t>
  </si>
  <si>
    <t>[Sinha, Rajiv] Indian Inst Technol Kanpur, Dept Civil Engn, Kanpur 208016, Uttar Pradesh, India; [Ravindra, Rasik] Natl Ctr Antarctic &amp; Ocean Res, Head Land Sada Vasco Da, Goa, India</t>
  </si>
  <si>
    <t>Indian Institute of Technology System (IIT System); Indian Institute of Technology (IIT) - Kanpur; Ministry of Earth Sciences (MoES) - India; National Centre for Polar and Ocean Research (NCPOR)</t>
  </si>
  <si>
    <t>Sinha, R (corresponding author), Indian Inst Technol Kanpur, Dept Civil Engn, Kanpur 208016, Uttar Pradesh, India.</t>
  </si>
  <si>
    <t>rsinha@iitk.ac.in; rasik@ncaor.org</t>
  </si>
  <si>
    <t>SINHA, RAJIV/AAC-6250-2022</t>
  </si>
  <si>
    <t>SPRINGER-VERLAG BERLIN</t>
  </si>
  <si>
    <t>HEIDELBERGER PLATZ 3, D-14197 BERLIN, GERMANY</t>
  </si>
  <si>
    <t>2194-9204</t>
  </si>
  <si>
    <t>978-3-642-28845-6; 978-3-642-28844-9</t>
  </si>
  <si>
    <t>SOC EARTH SCI SER</t>
  </si>
  <si>
    <t>10.1007/978-3-642-28845-6_1</t>
  </si>
  <si>
    <t>10.1007/978-3-642-28845-6</t>
  </si>
  <si>
    <t>Environmental Studies; Geology; Meteorology &amp; Atmospheric Sciences</t>
  </si>
  <si>
    <t>BM1WF</t>
  </si>
  <si>
    <t>WOS:000460601000002</t>
  </si>
  <si>
    <t>Thamban, M; Naik, SS; Laluraj, CM; Chaturvedi, A; Ravindra, R</t>
  </si>
  <si>
    <t>Thamban, Meloth; Naik, Sushant S.; Laluraj, C. M.; Chaturvedi, Arun; Ravindra, Rasik</t>
  </si>
  <si>
    <t>Antarctic Climate Variability During the Past Few Centuries Based on Ice Core Records from Coastal Dronning Maud Land and Its Implications on the Recent Warming</t>
  </si>
  <si>
    <t>EAST ANTARCTICA; ATMOSPHERIC CIRCULATION; SURFACE SNOW; SEA-ICE; PART I; OSCILLATION</t>
  </si>
  <si>
    <t>[Thamban, Meloth; Laluraj, C. M.; Ravindra, Rasik] Natl Ctr Antarctic &amp; Ocean Res, Vasco Da Gama 403004, Goa, India; [Naik, Sushant S.] Natl Inst Oceanog, Panaji 403004, Goa, India; [Chaturvedi, Arun] Geol Survey India, Glaciol Div, Lucknow 226024, Uttar Pradesh, India</t>
  </si>
  <si>
    <t>Ministry of Earth Sciences (MoES) - India; National Centre for Polar and Ocean Research (NCPOR); Council of Scientific &amp; Industrial Research (CSIR) - India; CSIR - National Institute of Oceanography (NIO); Geological Survey India</t>
  </si>
  <si>
    <t>Thamban, M (corresponding author), Natl Ctr Antarctic &amp; Ocean Res, Vasco Da Gama 403004, Goa, India.</t>
  </si>
  <si>
    <t>meloth@ncaor.org</t>
  </si>
  <si>
    <t>10.1007/978-3-642-28845-6_5</t>
  </si>
  <si>
    <t>WOS:000460601000006</t>
  </si>
  <si>
    <t>Singh, SM; Ravindra, R</t>
  </si>
  <si>
    <t>Singh, S. M.; Ravindra, Rasik</t>
  </si>
  <si>
    <t>Impact of Climate Change on Lichen and Moss Communities in Ny-Alesund, Arctic: Some Preliminary Observations</t>
  </si>
  <si>
    <t>[Singh, S. M.; Ravindra, Rasik] Natl Ctr Antarctic &amp; Ocean Res, Vasco Da Gama 403804, Goa, India</t>
  </si>
  <si>
    <t>smsingh@ncaor.org</t>
  </si>
  <si>
    <t>10.1007/978-3-642-28845-6_7</t>
  </si>
  <si>
    <t>WOS:000460601000008</t>
  </si>
  <si>
    <t>Tiwari, M</t>
  </si>
  <si>
    <t>Tiwari, Manish</t>
  </si>
  <si>
    <t>High Resolution Southwest Monsoon Reconstruction for the Past ∼2,800 Years: Wind Versus Precipitation</t>
  </si>
  <si>
    <t>OXYGEN MINIMUM ZONE; INDIAN-OCEAN; PLANKTONIC-FORAMINIFERA; ISOTOPIC COMPOSITION; CONTINENTAL-MARGIN; SUMMER MONSOON; ARABIAN SEA; HOLOCENE; RECORD; FLUCTUATIONS</t>
  </si>
  <si>
    <t>[Tiwari, Manish] Natl Ctr Antarctic &amp; Ocean Res, Vasco Da Gama 403804, India</t>
  </si>
  <si>
    <t>Tiwari, M (corresponding author), Natl Ctr Antarctic &amp; Ocean Res, Vasco Da Gama 403804, India.</t>
  </si>
  <si>
    <t>manish@ncaor.org</t>
  </si>
  <si>
    <t>10.1007/978-3-642-28845-6_8</t>
  </si>
  <si>
    <t>WOS:000460601000009</t>
  </si>
  <si>
    <t>Bednarsek, N; Mozina, J; Vogt, M; O'Brien, C; Tarling, GA</t>
  </si>
  <si>
    <t>Bednarsek, N.; Mozina, J.; Vogt, M.; O'Brien, C.; Tarling, G. A.</t>
  </si>
  <si>
    <t>The global distribution of pteropods and their contribution to carbonate and carbon biomass in the modern ocean (vol 4, pg 167, 2012)</t>
  </si>
  <si>
    <t>EARTH SYSTEM SCIENCE DATA</t>
  </si>
  <si>
    <t>Correction</t>
  </si>
  <si>
    <t>[Bednarsek, N.] NOAA, Pacific Marine Environm Lab, Seattle, WA 98115 USA; [Mozina, J.] Univ Nova Gorica, Environm Res Lab, Rozna Dolina 5000, Nova Gorica, Slovenia; [Vogt, M.; O'Brien, C.] ETH, Inst Biogeochem &amp; Pollutant Dynam, CH-8092 Zurich, Switzerland; [Tarling, G. A.] British Antarctic Survey, Nat Environm Res Council, Cambridge CB3 0ET, England</t>
  </si>
  <si>
    <t>National Oceanic Atmospheric Admin (NOAA) - USA; University of Nova Gorica; Swiss Federal Institutes of Technology Domain; ETH Zurich; UK Research &amp; Innovation (UKRI); Natural Environment Research Council (NERC); NERC British Antarctic Survey</t>
  </si>
  <si>
    <t>Bednarsek, N (corresponding author), NOAA, Pacific Marine Environm Lab, 7600 Sand Point Way NE, Seattle, WA 98115 USA.</t>
  </si>
  <si>
    <t>nina.bednarsek@noaa.gov</t>
  </si>
  <si>
    <t>bednarsek, nina/AAM-7748-2021; Bednarsek, Nina/Q-8937-2017; Vogt, Meike/I-7457-2017</t>
  </si>
  <si>
    <t>bednarsek, nina/0000-0002-9177-6626; Vogt, Meike/0000-0002-0608-1935</t>
  </si>
  <si>
    <t>1866-3508</t>
  </si>
  <si>
    <t>1866-3516</t>
  </si>
  <si>
    <t>EARTH SYST SCI DATA</t>
  </si>
  <si>
    <t>Earth Syst. Sci. Data</t>
  </si>
  <si>
    <t>10.5194/essd-5-1-2013</t>
  </si>
  <si>
    <t>V39MP</t>
  </si>
  <si>
    <t>WOS:000209415400001</t>
  </si>
  <si>
    <t>Guinet, C; Xing, X; Walker, E; Monestiez, P; Marchand, S; Picard, B; Jaud, T; Authier, M; Cotté, C; Dragon, AC; Diamond, E; Antoine, D; Lovell, P; Blain, S; D'Ortenzio, F; Claustre, H</t>
  </si>
  <si>
    <t>Guinet, C.; Xing, X.; Walker, E.; Monestiez, P.; Marchand, S.; Picard, B.; Jaud, T.; Authier, M.; Cotte, C.; Dragon, A. C.; Diamond, E.; Antoine, D.; Lovell, P.; Blain, S.; D'Ortenzio, F.; Claustre, H.</t>
  </si>
  <si>
    <t>Calibration procedures and first dataset of Southern Ocean chlorophyll a profiles collected by elephant seals equipped with a newly developed CTD-fluorescence tags</t>
  </si>
  <si>
    <t>Article; Data Paper</t>
  </si>
  <si>
    <t>ANTARCTIC PENINSULA WATERS; IN-SITU; BIOOPTICAL PROPERTIES; COLOR ALGORITHMS; PACIFIC OCEAN; PHYTOPLANKTON; RATES; CLIMATE; DISTRIBUTIONS; PRODUCTIVITY</t>
  </si>
  <si>
    <t>In situ observation of the marine environment has traditionally relied on ship-based platforms. The obvious consequence is that physical and biogeochemical properties have been dramatically undersampled, especially in the remote Southern Ocean (SO). The difficulty in obtaining in situ data represents the major limitations to our understanding, and interpretation of the coupling between physical forcing and the biogeochemical response. Southern elephant seals (Mirounga leonina) equipped with a new generation of oceanographic sensors can measure ocean structure in regions and seasons rarely observed with traditional oceanographic platforms. Over the last few years, seals have allowed for a considerable increase in temperature and salinity profiles from the SO, but we were still lacking information on the spatiotemporal variation of phytoplankton concentration. This information is critical to assess how the biological productivity of the SO, with direct consequences on the amount of CO2 fixed by the biological pump, will respond to global warming. In this research programme, we use an innovative sampling fluorescence approach to quantify phytoplankton concentration at sea. For the first time, a low energy consumption fluorometer was added to Argos CTD-SRDL tags, and these novel instruments were deployed on 27 southern elephant seals between 25 December 2007 and the 4 February 2011. As many as 3388 fluorescence profiles associated with temperature and salinity measurements were thereby collected from a vast sector of the Southern Indian Ocean. This paper addresses the calibration issue of the fluorometer before being deployed on elephant seals and presents the first results obtained for the Indian sector of the Southern Ocean. This in situ system is implemented in synergy with satellite ocean colour radiometry. Satellite-derived data is limited to the surface layer and is restricted over the SO by extensive cloud cover. However, with the addition of these new tags, we are able to assess the 3-dimension distribution of phytoplankton concentration by foraging southern elephant seals. This approach reveals that for the Indian sector of the SO, the surface chlorophyll a (chl a) concentrations provided by MODIS were underestimated by a factor 2 compared to chl a concentrations estimated from HPLC corrected in situ fluorescence measurements. The scientific outcomes of this programme include an improved understanding of both the present state and variability in ocean biology, and the accompanying biogeochemistry, as well as the delivery of real-time and open-access data to scientists (doi:10.7491/MEMO.1).</t>
  </si>
  <si>
    <t>[Guinet, C.; Picard, B.; Jaud, T.; Authier, M.; Cotte, C.; Dragon, A. C.] CNRS, Ctr Etud Biol Chize, Villiers En Bois, France; [Xing, X.; Diamond, E.; Antoine, D.; D'Ortenzio, F.; Claustre, H.] Lab Oceanog Villefranche, Villefranche Sur Mer, France; [Xing, X.; Diamond, E.; Antoine, D.; D'Ortenzio, F.; Claustre, H.] Univ Paris 06, Lab Oceanog Villefranche, UMR 7093, Villefranche Sur Mer, France; [Xing, X.] Ocean Univ China, Qingdao, Peoples R China; [Walker, E.; Monestiez, P.] INRA, Unite Biostat &amp; Proc Spatiaux, Avignon, France; [Marchand, S.] Museum Natl Hist Nat, DMPA, LOCEAN, USM 402, F-75231 Paris, France; [Cotte, C.] Univ Paris 06, DMPA, LOCEAN, USM 402, Paris, France; [Lovell, P.] Univ St Andrews, Sea Mammal Res Unit, St Andrews, Fife, Scotland; [Blain, S.] Univ Paris 06, Lab Oceanog Microbienne, Banyuls Sur Mer, France; [Blain, S.] Univ Paris 06, Lab Oceanog Microbienne, UMR 7621, Banyuls Sur Mer, France</t>
  </si>
  <si>
    <t>Centre National de la Recherche Scientifique (CNRS); Sorbonne Universite; Sorbonne Universite; Centre National de la Recherche Scientifique (CNRS); CNRS - National Institute for Earth Sciences &amp; Astronomy (INSU); Ocean University of China; INRAE; Museum National d'Histoire Naturelle (MNHN); Sorbonne Universite; Sorbonne Universite; Museum National d'Histoire Naturelle (MNHN); University of St Andrews; Sorbonne Universite; Sorbonne Universite; Centre National de la Recherche Scientifique (CNRS); CNRS - National Institute for Earth Sciences &amp; Astronomy (INSU)</t>
  </si>
  <si>
    <t>Guinet, C (corresponding author), CNRS, Ctr Etud Biol Chize, Villiers En Bois, France.</t>
  </si>
  <si>
    <t>guinet@cebc.cnrs.fr</t>
  </si>
  <si>
    <t>Cotté, Cédric/AAX-6120-2021; CLAUSTRE, Herve/E-6877-2011; Antoine, David/C-3817-2013; Guinet, Christophe/AAR-8457-2020; Xing, Xiaogang/AAI-1752-2021; Cotté, Cédric/Z-3243-2019; Cotte, Cedric/C-3296-2013; Claustre, Herve/JPL-2367-2023</t>
  </si>
  <si>
    <t>Cotté, Cédric/0000-0002-8307-6435; CLAUSTRE, Herve/0000-0001-6243-0258; Antoine, David/0000-0002-9082-2395; Xing, Xiaogang/0000-0002-9940-1204; Cotté, Cédric/0000-0002-8307-6435; Authier, Matthieu/0000-0001-7394-1993; Baptiste, Picard/0000-0001-9565-9446; Monestiez, Pascal/0000-0001-5851-2699</t>
  </si>
  <si>
    <t>CNESTOSCA (Southern Elephant Seal as oceanographer Fluorescence measurements); IPEV (Institut Polaire Franc, ais); SOERE CTD-02; Total Foundation; ANR VMC IPSOS-SEAL</t>
  </si>
  <si>
    <t>CNESTOSCA (Southern Elephant Seal as oceanographer Fluorescence measurements); IPEV (Institut Polaire Franc, ais); SOERE CTD-02; Total Foundation(Total SA); ANR VMC IPSOS-SEAL(Agence Nationale de la Recherche (ANR))</t>
  </si>
  <si>
    <t>This work was supported by CNESTOSCA (Southern Elephant Seal as oceanographer Fluorescence measurements), The MEMO observatory as part of the SOERE CTD-02, the ANR VMC IPSOS-SEAL (2008- 2011) and the Total Foundation. We are indebted to IPEV (Institut Polaire Franc, ais), for financial and logistical support of Antarctic research program 109 (Seabirds and Marine Mammal Ecology lead by H. Weimerskirch). Special to the BOUSSOLE cruise and team for their help in proceeding at-sea tests and to F. Roquet who proceeded to the correction/ validation of the temperature/salinity data. Finally, we would like to thank all the colleagues and volunteers involved in the field work on southern elephant seals at Kerguelen Island, with the special acknowledgement of the invaluable field contribution of N. ElSkaby, G. Bessigneul, A. Chaigne and Q. Delorme.</t>
  </si>
  <si>
    <t>10.5194/essd-5-15-2013</t>
  </si>
  <si>
    <t>WOS:000209415400003</t>
  </si>
  <si>
    <t>Knuth, SL; Cassano, JJ; Maslanik, JA; Herrmann, PD; Kernebone, PA; Crocker, RI; Logan, NJ</t>
  </si>
  <si>
    <t>Knuth, S. L.; Cassano, J. J.; Maslanik, J. A.; Herrmann, P. D.; Kernebone, P. A.; Crocker, R. I.; Logan, N. J.</t>
  </si>
  <si>
    <t>Unmanned aircraft system measurements of the atmospheric boundary layer over Terra Nova Bay, Antarctica</t>
  </si>
  <si>
    <t>AEROSONDES; POLYNYA; ICE</t>
  </si>
  <si>
    <t>In September 2009, a series of long-range unmanned aircraft system (UAS) flights collected basic atmospheric data over the Terra Nova Bay polynya in Antarctica. Air temperature, wind, pressure, relative humidity, radiation, skin temperature, GPS, and operational aircraft data were collected and quality controlled for scientific use. The data have been submitted to the United States Antarctic Program Data Coordination Center (USAP-DCC) for free access (doi:10.1594/USAP/0739464).</t>
  </si>
  <si>
    <t>[Knuth, S. L.; Cassano, J. J.] Univ Colorado, Cooperat Inst Res Environm Sci, Boulder, CO 80309 USA; [Knuth, S. L.; Cassano, J. J.] Univ Colorado, Dept Atmospher &amp; Ocean Sci, Boulder, CO 80309 USA; [Maslanik, J. A.; Crocker, R. I.] Univ Colorado, Dept Aerosp Engn Sci, Boulder, CO 80309 USA; [Herrmann, P. D.; Kernebone, P. A.; Logan, N. J.] Aerosonde Pty Ltd, Melbourne, Vic, Australia</t>
  </si>
  <si>
    <t>University of Colorado System; University of Colorado Boulder; University of Colorado System; University of Colorado Boulder; University of Colorado System; University of Colorado Boulder; Melbourne Genomics Health Alliance</t>
  </si>
  <si>
    <t>Cassano, JJ (corresponding author), Univ Colorado, Cooperat Inst Res Environm Sci, Boulder, CO 80309 USA.</t>
  </si>
  <si>
    <t>john.cassano@colorado.edu</t>
  </si>
  <si>
    <t>Cassano, John/HKW-8817-2023</t>
  </si>
  <si>
    <t>Knuth, Shelley/0000-0001-7249-4773</t>
  </si>
  <si>
    <t>NSF [ANT 0739464]; Directorate For Geosciences; Office of Polar Programs (OPP) [1043657] Funding Source: National Science Foundation</t>
  </si>
  <si>
    <t>The authors wish to thank Michael Willis of Cornell University and Seth White of UNAVCO for their assistance with the technical aspects of understanding geoid and ellipsoid heights. Automatic weather station data from the Antarctic Meteorological Research Center at the University of Wisconsin-Madison were used to analyze the Piccolo air pressure. This work was supported by NSF grant ANT 0739464.</t>
  </si>
  <si>
    <t>10.5194/essd-5-57-2013</t>
  </si>
  <si>
    <t>WOS:000209415400006</t>
  </si>
  <si>
    <t>Peloquin, J; Swan, C; Gruber, N; Vogt, M; Claustre, H; Ras, J; Uitz, J; Barlow, R; Behrenfeld, M; Bidigare, R; Dierssen, H; Ditullio, G; Fernandez, E; Gallienne, C; Gibb, S; Goericke, R; Harding, L; Head, E; Holligan, P; Hooker, S; Karl, D; Landry, M; Letelier, R; Llewellyn, CA; Lomas, M; Lucas, M; Mannino, A; Marty, JC; Mitchell, BG; Muller-Karger, F; Nelson, N; O'Brien, C; Prezelin, B; Repeta, D; Smith, WO; Smythe-Wright, D; Stumpf, R; Subramaniam, A; Suzuki, K; Trees, C; Vernet, M; Wasmund, N; Wright, S</t>
  </si>
  <si>
    <t>Peloquin, J.; Swan, C.; Gruber, N.; Vogt, M.; Claustre, H.; Ras, J.; Uitz, J.; Barlow, R.; Behrenfeld, M.; Bidigare, R.; Dierssen, H.; Ditullio, G.; Fernandez, E.; Gallienne, C.; Gibb, S.; Goericke, R.; Harding, L.; Head, E.; Holligan, P.; Hooker, S.; Karl, D.; Landry, M.; Letelier, R.; Llewellyn, C. A.; Lomas, M.; Lucas, M.; Mannino, A.; Marty, J. -C.; Mitchell, B. G.; Muller-Karger, F.; Nelson, N.; O'Brien, C.; Prezelin, B.; Repeta, D.; Smith, W. O., Jr.; Smythe-Wright, D.; Stumpf, R.; Subramaniam, A.; Suzuki, K.; Trees, C.; Vernet, M.; Wasmund, N.; Wright, S.</t>
  </si>
  <si>
    <t>The MAREDAT global database of high performance liquid chromatography marine pigment measurements</t>
  </si>
  <si>
    <t>PHYTOPLANKTON COMMUNITY STRUCTURE; SOUTH-PACIFIC OCEAN; SUB-ARCTIC PACIFIC; CHLOROPHYLL-A; FUNCTIONAL TYPES; NORTH-ATLANTIC; IN-SITU; BIOGEOCHEMISTRY MODELS; FLOW-CYTOMETRY; CASE-1 WATERS</t>
  </si>
  <si>
    <t>A global pigment database consisting of 35 634 pigment suites measured by high performance liquid chromatography was assembled in support of the MARine Ecosytem DATa (MAREDAT) initiative. These data originate from 136 field surveys within the global ocean, were solicited from investigators and databases, compiled, and then quality controlled. Nearly one quarter of the data originates from the Laboratoire d'Oceanographie de Villefranche (LOV), with an additional 17% and 19% stemming from the US JGOFS and LTER programs, respectively. The MAREDAT pigment database provides high quality measurements of the major taxonomic pigments including chlorophylls a and b, 19'-butanoyloxyfucoxanthin, 19'-hexanoyloxyfucoxanthin, alloxanthin, divinyl chlorophyll a, fucoxanthin, lutein, peridinin, prasinoxanthin, violaxanthin and zeaxanthin, which may be used in varying combinations to estimate phytoplankton community composition. Quality control measures consisted of flagging samples that had a total chlorophyll a concentration of zero, had fewer than four reported accessory pigments, or exceeded two standard deviations of the log-linear regression of total chlorophyll a with total accessory pigment concentrations. We anticipate the MAREDAT pigment database to be of use in the marine ecology, remote sensing and ecological modeling communities, where it will support model validation and advance our global perspective on marine biodiversity. The original dataset together with quality control flags as well as the gridded MAREDAT pigment data may be downloaded from PANGAEA: http://doi.pangaea.de/10.1594/PANGAEA.793246.</t>
  </si>
  <si>
    <t>[Peloquin, J.; Swan, C.; Gruber, N.; Vogt, M.; O'Brien, C.] Swiss Fed Inst Technol, Inst Biogeochem &amp; Pollutant Dynam, Environm Phys Grp, Zurich, Switzerland; [Claustre, H.; Ras, J.; Uitz, J.; Marty, J. -C.] CNRS, UMR7093, Lab Oceanog Villefranche, F-06230 Villefranche Sur Mer, France; [Claustre, H.; Ras, J.; Uitz, J.; Marty, J. -C.] Univ Paris 06, UMR7093, Lab Oceanog Villefranche, F-06230 Villefranche Sur Mer, France; [Barlow, R.] Bayworld Ctr Res &amp; Educ, ZA-8012 Cape Town, South Africa; [Barlow, R.; Lucas, M.] Univ Cape Town, Marine Res Inst, ZA-7701 Cape Town, South Africa; [Behrenfeld, M.] Oregon State Univ, Dept Bot &amp; Plant Pathol, Corvallis, OR 97331 USA; [Bidigare, R.; Karl, D.; Landry, M.] Univ Hawaii Manoa, Dept Oceanog, Honolulu, HI 96822 USA; [Dierssen, H.] Univ Connecticut, Dept Marine Sci, Groton, CT 06340 USA; [Ditullio, G.] Coll Charleston, Grice Marine Lab, Charleston, SC USA; [Fernandez, E.] Univ Vigo, Dept Ecoloxia &amp; Biol Anim, Vigo 36310, Spain; [Gallienne, C.; Llewellyn, C. A.] Plymouth Marine Lab, Plymouth PL1 3DH, Devon, England; [Gibb, S.] Univ Highlands &amp; Isl, Environm Res Inst, Inverness, Scotland; [Goericke, R.; Mitchell, B. G.; Vernet, M.] Univ Calif San Diego, Scripps Inst Oceanog, San Diego, CA 92103 USA; [Harding, L.] Univ Maryland, Horn Point Lab, Cambridge, MD USA; [Head, E.] Bedford Inst Oceanog, Ecosyst Res Div, Dartmouth, NS, Canada; [Holligan, P.; Smythe-Wright, D.] Univ Southampton, Natl Oceanog Ctr, Ocean &amp; Earth Sci, Southampton SO14 3ZH, Hants, England; [Hooker, S.; Mannino, A.] NASA, Goddard Space Flight Ctr, Greenbelt, MD 20771 USA; [Letelier, R.] Oregon State Univ, Coll Ocean &amp; Atmospher Sci, Corvallis, OR 97331 USA; [Lomas, M.] Bermuda Inst Ocean Sci, St Georges GE 01, Bermuda; [Muller-Karger, F.] Univ S Florida, Coll Marine Sci, Inst Marine Remote Sensing IMaRS, St Petersburg, FL 33701 USA; [Nelson, N.] Univ Calif Santa Barbara, Earth Res Inst, Santa Barbara, CA 93106 USA; [Prezelin, B.] Univ Calif Santa Barbara, Dept Ecol Evolut &amp; Marine Biol, Santa Barbara, CA 93106 USA; [Repeta, D.] Woods Hole Oceanog Inst, Woods Hole, MA 02543 USA; [Smith, W. O., Jr.] Virginia Inst Marine Sci, Coll William &amp; Mary, Gloucester Point, VA 23062 USA; [Stumpf, R.] NOAA, Natl Ocean Serv, Silver Spring, MD USA; [Subramaniam, A.] Columbia Univ, Lamont Doherty Earth Observ, Palisades, NY USA; [Suzuki, K.] Hokkaido Univ, Environm Earth Sci, Sapporo, Hokkaido 0600810, Japan; [Trees, C.] NATO Undersea Res Ctr, La Spezia, Italy; [Wasmund, N.] Leibniz Inst Balt Sea Res, D-18119 Warnemunde, Germany; [Wright, S.] Australian Antarctic Div, Kingston, Tas 7050, Australia; [Wright, S.] Antarctic Climate &amp; Ecosyst Cooperat Res Ctr, Kingston, Tas 7050, Australia</t>
  </si>
  <si>
    <t>Swiss Federal Institutes of Technology Domain; ETH Zurich; Sorbonne Universite; Centre National de la Recherche Scientifique (CNRS); CNRS - National Institute for Earth Sciences &amp; Astronomy (INSU); Sorbonne Universite; Centre National de la Recherche Scientifique (CNRS); CNRS - National Institute for Earth Sciences &amp; Astronomy (INSU); University of Cape Town; Oregon State University; University of Hawaii System; University of Hawaii Manoa; University of Connecticut; College of Charleston; Universidade de Vigo; Plymouth Marine Laboratory; UHI Millennium Institute; University of California System; University of California San Diego; Scripps Institution of Oceanography; University System of Maryland; University of Maryland Center for Environmental Science; Fisheries &amp; Oceans Canada; Bedford Institute of Oceanography; University of Southampton; NERC National Oceanography Centre; National Aeronautics &amp; Space Administration (NASA); NASA Goddard Space Flight Center; Oregon State University; Bermuda Institute of Ocean Sciences; State University System of Florida; University of South Florida; University of California System; University of California Santa Barbara; University of California System; University of California Santa Barbara; Woods Hole Oceanographic Institution; William &amp; Mary; Virginia Institute of Marine Science; National Oceanic Atmospheric Admin (NOAA) - USA; National Ocean Service, NOAA; Columbia University; Hokkaido University; NATO (North Atlantic Treaty Organisation); Leibniz Institut fur Ostseeforschung Warnemunde; Australian Antarctic Division; Antarctic Climate &amp; Ecosystems Cooperative Research Centre (ACE CRC)</t>
  </si>
  <si>
    <t>Swan, C (corresponding author), Swiss Fed Inst Technol, Inst Biogeochem &amp; Pollutant Dynam, Environm Phys Grp, Zurich, Switzerland.</t>
  </si>
  <si>
    <t>chantal.swan@usys.ethz.ch</t>
  </si>
  <si>
    <t>Mannino, Antonio/I-3633-2014; Suzuki, Koji/A-4349-2013; Stumpf, Richard/L-5237-2019; Gibb, Stuart W/D-5802-2013; Suzuki, Koji/AAD-2630-2022; Letelier, Ricardo/A-6953-2009; Claustre, Herve/JPL-2367-2023; Fernandez, Emilio/D-2453-2009; Gruber, Nicolas/B-7013-2009; Landry, Michael/HGF-1043-2022; Karl, David/AFP-3837-2022; CLAUSTRE, Herve/E-6877-2011; Uitz, Julia/JTV-4579-2023; Hooker, Stanford B/E-2162-2012; Suzuki, Koji/GVS-9807-2022; UITZ, Julia/Q-7487-2018; subramaniam, ajit/AAA-6116-2022; Head, Erica/HZH-7308-2023; Vogt, Meike/I-7457-2017; O'Brien, Colleen/H-7698-2015</t>
  </si>
  <si>
    <t>Suzuki, Koji/0000-0001-5354-1044; Stumpf, Richard/0000-0001-5531-6860; Letelier, Ricardo/0000-0003-3376-4026; Fernandez, Emilio/0000-0001-7985-0814; Gruber, Nicolas/0000-0002-2085-2310; CLAUSTRE, Herve/0000-0001-6243-0258; Suzuki, Koji/0000-0001-5354-1044; subramaniam, ajit/0000-0003-1316-5827; Vogt, Meike/0000-0002-0608-1935; Llewellyn, Carole/0000-0003-1545-5190; Gibb, Stuart/0000-0003-3882-338X; Karl, David/0000-0002-6660-6721; O'Brien, Colleen/0000-0003-4456-8119; Mitchell, B. Greg/0000-0002-8550-4333; Lomas, Michael/0000-0003-1209-3753</t>
  </si>
  <si>
    <t>ETH Zurich; European Community [238366]; CNRS-INSU; Grants-in-Aid for Scientific Research [22310002, 24121004] Funding Source: KAKEN; Directorate For Geosciences [1260164] Funding Source: National Science Foundation; Directorate For Geosciences; Division Of Ocean Sciences [1026607] Funding Source: National Science Foundation; Division Of Ocean Sciences [1260164] Funding Source: National Science Foundation; Natural Environment Research Council [pml010007] Funding Source: researchfish; NERC [pml010007] Funding Source: UKRI</t>
  </si>
  <si>
    <t>ETH Zurich(ETH Zurich); European Community; CNRS-INSU(Centre National de la Recherche Scientifique (CNRS)); Grants-in-Aid for Scientific Research(Ministry of Education, Culture, Sports, Science and Technology, Japan (MEXT)Japan Society for the Promotion of ScienceGrants-in-Aid for Scientific Research (KAKENHI)); Directorate For Geosciences(National Science Foundation (NSF)NSF - Directorate for Geosciences (GEO)); Directorate For Geosciences; Division Of Ocean Sciences(National Science Foundation (NSF)NSF - Directorate for Geosciences (GEO));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t>
  </si>
  <si>
    <t>J. Peloquin, C. Swan, N. Gruber and M. Vogt were funded by ETH Zurich. C. O'Brien has received funding from the European Community's Seventh Framework Programme (FP7 2007-2013) under grant agreement no. 238366. We are grateful to two anonymous reviewers for their evaluation of this manuscript. We thank Erik Buitenhuis for producing the gridded netCDF product, Stephane Pesant for archiving the data on www.Pangaea.de, and Dave Carlson and Hans Pfeiffenberger at ESSD for their patience. We would like to further acknowledge Gerald Moore, Denise Cummings, Tony Knap, Dave Robins, Dave Suggett and Guy Westbrook for their HPLC data contributions. We are equally grateful for all the project PIs who contributed data, as well as for the anonymous staff who took part in the sampling work during the cruises, who carried out the HPLC analysis, and without whom the construction of such a database would not have been possible. Most of the data from the LOV database were acquired as part of the French national programs JGOFS-France, PROOF and CYBER, which were funded by CNRS-INSU.</t>
  </si>
  <si>
    <t>10.5194/essd-5-109-2013</t>
  </si>
  <si>
    <t>Green Published, Green Submitted, gold, Green Accepted</t>
  </si>
  <si>
    <t>WOS:000209415400009</t>
  </si>
  <si>
    <t>Pfeil, B; Olsen, A; Bakker, DCE; Hankin, S; Koyuk, H; Kozyr, A; Malczyk, J; Manke, A; Metzl, N; Sabine, CL; Akl, J; Alin, SR; Bates, N; Bellerby, RGJ; Borges, A; Boutin, J; Brown, PJ; Cai, WJ; Chavez, FP; Chen, A; Cosca, C; Fassbender, AJ; Feely, RA; González-Dávila, M; Goyet, C; Hales, B; Hardman-Mountford, N; Heinze, C; Hood, M; Hoppema, M; Hunt, CW; Hydes, D; Ishii, M; Johannessen, T; Jones, SD; Key, RM; Körtzinger, A; Landschützer, P; Lauvset, SK; Lefèvre, N; Lenton, A; Lourantou, A; Merlivat, L; Midorikawa, T; Mintrop, L; Miyazaki, C; Murata, A; Nakadate, A; Nakano, Y; Nakaoka, S; Nojiri, Y; Omar, AM; Padin, XA; Park, GH; Paterson, K; Perez, FF; Pierrot, D; Poisson, A; Ríos, AF; Santana-Casiano, JM; Salisbury, J; Sarma, VVSS; Schlitzer, R; Schneider, B; Schuster, U; Sieger, R; Skjelvan, I; Steinhoff, T; Suzuki, T; Takahashi, T; Tedesco, K; Telszewski, M; Thomas, H; Tilbrook, B; Tjiputra, J; Vandemark, D; Veness, T; Wanninkhof, R; Watson, AJ; Weiss, R; Wong, CS; Yoshikawa-Inoue, H</t>
  </si>
  <si>
    <t>Pfeil, B.; Olsen, A.; Bakker, D. C. E.; Hankin, S.; Koyuk, H.; Kozyr, A.; Malczyk, J.; Manke, A.; Metzl, N.; Sabine, C. L.; Akl, J.; Alin, S. R.; Bates, N.; Bellerby, R. G. J.; Borges, A.; Boutin, J.; Brown, P. J.; Cai, W. -J.; Chavez, F. P.; Chen, A.; Cosca, C.; Fassbender, A. J.; Feely, R. A.; Gonzalez-Davila, M.; Goyet, C.; Hales, B.; Hardman-Mountford, N.; Heinze, C.; Hood, M.; Hoppema, M.; Hunt, C. W.; Hydes, D.; Ishii, M.; Johannessen, T.; Jones, S. D.; Key, R. M.; Koertzinger, A.; Landschuetzer, P.; Lauvset, S. K.; Lefevre, N.; Lenton, A.; Lourantou, A.; Merlivat, L.; Midorikawa, T.; Mintrop, L.; Miyazaki, C.; Murata, A.; Nakadate, A.; Nakano, Y.; Nakaoka, S.; Nojiri, Y.; Omar, A. M.; Padin, X. A.; Park, G. -H.; Paterson, K.; Perez, F. F.; Pierrot, D.; Poisson, A.; Rios, A. F.; Santana-Casiano, J. M.; Salisbury, J.; Sarma, V. V. S. S.; Schlitzer, R.; Schneider, B.; Schuster, U.; Sieger, R.; Skjelvan, I.; Steinhoff, T.; Suzuki, T.; Takahashi, T.; Tedesco, K.; Telszewski, M.; Thomas, H.; Tilbrook, B.; Tjiputra, J.; Vandemark, D.; Veness, T.; Wanninkhof, R.; Watson, A. J.; Weiss, R.; Wong, C. S.; Yoshikawa-Inoue, H.</t>
  </si>
  <si>
    <t>A uniform, quality controlled Surface Ocean CO2 Atlas (SOCAT)</t>
  </si>
  <si>
    <t>AIR-SEA FLUX; PARTIAL-PRESSURE; CARBON-DIOXIDE; ATLANTIC-OCEAN; PCO(2); TEMPERATURE; FUGACITY; SINK; VARIABILITY; GREENLAND</t>
  </si>
  <si>
    <t>A well-documented, publicly available, global data set of surface ocean carbon dioxide (CO2) parameters has been called for by international groups for nearly two decades. The Surface Ocean CO2 Atlas (SOCAT) project was initiated by the international marine carbon science community in 2007 with the aim of providing a comprehensive, publicly available, regularly updated, global data set of marine surface CO2, which had been subject to quality control (QC). Many additional CO2 data, not yet made public via the Carbon Dioxide Information Analysis Center (CDIAC), were retrieved from data originators, public websites and other data centres. All data were put in a uniform format following a strict protocol. Quality control was carried out according to clearly defined criteria. Regional specialists performed the quality control, using state-of-the-art web-based tools, specially developed for accomplishing this global team effort. SOCAT version 1.5 was made public in September 2011 and holds 6.3 million quality controlled surface CO2 data points from the global oceans and coastal seas, spanning four decades (1968-2007). Three types of data products are available: individual cruise files, a merged complete data set and gridded products. With the rapid expansion of marine CO2 data collection and the importance of quantifying net global oceanic CO2 uptake and its changes, sustained data synthesis and data access are priorities.</t>
  </si>
  <si>
    <t>[Pfeil, B.; Olsen, A.; Heinze, C.; Johannessen, T.; Lauvset, S. K.; Skjelvan, I.; Tjiputra, J.] Univ Bergen, Inst Geophys, Bergen, Norway; [Pfeil, B.; Olsen, A.; Bellerby, R. G. J.; Heinze, C.; Johannessen, T.; Lauvset, S. K.; Skjelvan, I.; Tjiputra, J.] Bjerknes Ctr Climate Res, Bergen, Norway; [Pfeil, B.] Univ Bergen, PANGAEA Data Publisher Earth &amp; Environm Sci, Bergen, Norway; [Olsen, A.] Inst Marine Res, N-5024 Bergen, Norway; [Olsen, A.; Heinze, C.; Omar, A. M.] Uni Bjerknes Ctr, Bergen, Norway; [Bakker, D. C. E.; Brown, P. J.; Landschuetzer, P.; Schuster, U.; Watson, A. J.] Univ E Anglia, Sch Environm Sci, Norwich NR4 7TJ, Norfolk, England; [Hankin, S.; Manke, A.; Sabine, C. L.; Alin, S. R.; Cosca, C.; Feely, R. A.] NOAA, Pacific Marine Environm Lab, Seattle, WA 98115 USA; [Koyuk, H.] Univ Washington, Joint Inst Study Atmosphere &amp; Oceans, Seattle, WA 98195 USA; [Kozyr, A.] Carbon Dioxide Informat Anal Ctr, Oak Ridge, TN USA; [Malczyk, J.] Yale Univ, Dept Ecol &amp; Evolutionary Biol, Jetz Lab, New Haven, CT USA; [Metzl, N.; Boutin, J.; Lefevre, N.; Lourantou, A.; Merlivat, L.] Univ Paris 06, LOCEAN IPSL, Paris, France; [Akl, J.; Lenton, A.; Paterson, K.; Tilbrook, B.; Veness, T.] CSIRO Wealth Oceans Flagship, Hobart, Tas, Australia; [Akl, J.; Paterson, K.; Tilbrook, B.; Veness, T.] Ctr Australian Weather &amp; Climate Res, Hobart, Tas, Australia; [Bates, N.] Bermuda Inst Ocean Sci, Ferry Reach, Bermuda; [Bellerby, R. G. J.] Norwegian Inst Water Res, Bergen, Norway; [Bellerby, R. G. J.; Heinze, C.; Omar, A. M.; Skjelvan, I.] Uni Res AS, Bergen, Norway; [Borges, A.] Univ Liege, Inst Phys, Chem Oceanog Unit, Liege, Belgium; [Brown, P. J.] British Antarctic Survey, Cambridge CB3 0ET, England; [Cai, W. -J.] Univ Georgia, Dept Marine Sci, Athens, GA 30602 USA; [Chavez, F. P.] Monterey Bay Aquarium Res Inst, Moss Landing, CA USA; [Chen, A.] Natl Sun Yat Sen Univ, Inst Marine Geol &amp; Chem, Kaohsiung 80424, Taiwan; [Fassbender, A. J.] Univ Washington, Sch Oceanog, Seattle, WA 98195 USA; [Gonzalez-Davila, M.; Santana-Casiano, J. M.] Univ Las Palmas Gran Canaria, Fac Ciencias Mar, Las Palmas Gran Canaria, Spain; [Goyet, C.; Poisson, A.] Univ Perpignan, Inst Modelisat &amp; Anal Geoenvironm &amp; Sante, F-66025 Perpignan, France; [Hales, B.] Oregon State Univ, Coll Ocean &amp; Atmospher Sci, Corvallis, OR 97331 USA; [Hardman-Mountford, N.] CSIRO, Marine &amp; Atmospher Res, Wembley, WA, Australia; [Hood, M.] UNESCO, Intergovt Oceanog Commiss, Paris, France; [Hoppema, M.; Schlitzer, R.; Sieger, R.] Alfred Wegener Inst Polar &amp; Marine Res, Bremerhaven, Germany; [Hunt, C. W.; Salisbury, J.; Vandemark, D.] Univ New Hampshire, Ocean Proc Anal Lab, Durham, NH 03824 USA; [Hydes, D.] Natl Oceanog Ctr, Southampton, Hants, England; [Ishii, M.] Japan Meteorol Agcy, Meteorol Res Inst, Tsukuba, Ibaraki, Japan; [Jones, S. D.] Tyndall Ctr Climate Change Res, Norwich, Norfolk, England; [Key, R. M.] Princeton Univ, Atmospher &amp; Ocean Sci, Princeton, NJ 08544 USA; [Koertzinger, A.; Steinhoff, T.] Helmholtz Ctr Ocean Res, GEOMAR, Kiel, Germany; [Midorikawa, T.] Nagasaki Marine Observ, Nagasaki, Japan; [Mintrop, L.] MARIANDA, Kiel, Germany; [Miyazaki, C.] Hokkaido Univ, Fac Environm Earth Sci, Sapporo, Hokkaido 060, Japan; [Murata, A.; Nakano, Y.; Yoshikawa-Inoue, H.] Japan Agcy Marine Earth Sci &amp; Technol, Yokosuka, Kanagawa 2370061, Japan; [Nakadate, A.] Japan Meteorol Agcy, Global Environm &amp; Marine Dept, Marine Div, Tokyo, Japan; [Nakaoka, S.; Nojiri, Y.] Natl Inst Environm Studies, Tsukuba, Ibaraki, Japan; [Padin, X. A.; Perez, F. F.; Rios, A. F.] CSIC, Inst Invest Marinas Vigo, Vigo, Spain; [Park, G. -H.; Pierrot, D.] Univ Miami, Rosenstiel Sch Marine &amp; Atmospher Sci, Cooperat Inst Marine &amp; Atmospher Studies, Miami, FL 33149 USA; [Sarma, V. V. S. S.] Natl Inst Oceanog, Reg Ctr, Visakhapatnam, Andhra Pradesh, India; [Schneider, B.] Leibnitz Res Inst Balt Sea Res, Warnemunde, Germany; [Suzuki, T.] Japan Hydrog Assoc, Marine Informat Res Ctr, Tokyo, Japan; [Takahashi, T.] Lamont Doherty Earth Observ, Palisades, NY USA; [Tedesco, K.] IOCCP, Silver Spring, MD USA; [Telszewski, M.] Polish Acad Sci, Inst Oceanol, IOCCP, Sopot, Poland; [Thomas, H.] Dalhousie Univ, Dept Oceanog, Halifax, NS, Canada; [Tilbrook, B.] Antarctic Climate &amp; Ecosyst Cooperat Res Ctr, Hobart, Tas, Australia; [Wanninkhof, R.] Natl Atmospher &amp; Oceanog Adm, Atlantic Oceanog &amp; Meteorol Lab, Miami, FL USA; [Weiss, R.] Univ Calif San Diego, Scripps Inst Oceanog, La Jolla, CA 92093 USA; [Wong, C. S.] Inst Ocean Sci, Sidney, BC V8L 4B2, Canada; [Hardman-Mountford, N.] Plymouth Marine Lab, Plymouth, Devon, England; [Tedesco, K.; Telszewski, M.] UNESCO, Intergovt Oceanog Commiss, IOCCP, Paris, France</t>
  </si>
  <si>
    <t>University of Bergen; Bjerknes Centre for Climate Research; University of Bergen; Institute of Marine Research - Norway; Bjerknes Centre for Climate Research; University of East Anglia; National Oceanic Atmospheric Admin (NOAA) - USA; University of Washington; University of Washington Seattle; Yale University; Sorbonne Universite; Museum National d'Histoire Naturelle (MNHN); Commonwealth Scientific &amp; Industrial Research Organisation (CSIRO); Commonwealth Scientific &amp; Industrial Research Organisation (CSIRO); Bermuda Institute of Ocean Sciences; Norwegian Institute for Water Research (NIVA); University of Bergen; University of Liege; UK Research &amp; Innovation (UKRI); Natural Environment Research Council (NERC); NERC British Antarctic Survey; University System of Georgia; University of Georgia; Monterey Bay Aquarium Research Institute; National Sun Yat Sen University; University of Washington; University of Washington Seattle; Universidad de Las Palmas de Gran Canaria; Universite Perpignan Via Domitia; Oregon State University; Commonwealth Scientific &amp; Industrial Research Organisation (CSIRO); Helmholtz Association; Alfred Wegener Institute, Helmholtz Centre for Polar &amp; Marine Research; University System Of New Hampshire; University of New Hampshire; NERC National Oceanography Centre; Meteorological Research Institute - Japan; Japan Meteorological Agency; University of East Anglia; Princeton University; Helmholtz Association; GEOMAR Helmholtz Center for Ocean Research Kiel; Hokkaido University; Japan Agency for Marine-Earth Science &amp; Technology (JAMSTEC); Japan Meteorological Agency; National Institute for Environmental Studies - Japan; Consejo Superior de Investigaciones Cientificas (CSIC); CSIC - Instituto de Investigaciones Marinas (IIM); University of Miami; Council of Scientific &amp; Industrial Research (CSIR) - India; CSIR - National Institute of Oceanography (NIO); Columbia University; Polish Academy of Sciences; Institute of Oceanology of the Polish Academy of Sciences; Dalhousie University; Antarctic Climate &amp; Ecosystems Cooperative Research Centre (ACE CRC); National Oceanic Atmospheric Admin (NOAA) - USA; Atlantic Oceanographic &amp; Meteorological Laboratory (AOML); University of California System; University of California San Diego; Scripps Institution of Oceanography; Plymouth Marine Laboratory</t>
  </si>
  <si>
    <t>Pfeil, B (corresponding author), Univ Bergen, Inst Geophys, Bergen, Norway.</t>
  </si>
  <si>
    <t>benjamin.pfeil@gfi.uib.no</t>
  </si>
  <si>
    <t>Cai, Wei-Jun/C-1361-2013; Merlivat, Liliane/KAL-8800-2024; Fernandez Perez, Fiz/B-9001-2011; Landschützer, Peter/IQU-3835-2023; Shin-ichiro, Nakaoka/I-7222-2018; Yoshikawa, Hisayuki/A-4056-2012; Nojiri, Yukihiro/D-1999-2010; Borges, Alberto Vieira/C-4989-2008; Körtzinger, Arne/A-4141-2014; Tjiputra, Jerry/AAB-5896-2022; Brown, Peter/AAN-4372-2020; Sarma, VVSS/B-5087-2008; Bellerby, Richard/ABD-6590-2021; Padin, X.A./AAA-1305-2019; Pierrot, Denis/AAH-7687-2020; Tilbrook, Bronte/W-4007-2019; Feely, Richard A./ABI-5740-2020; Pierrot, Denis/A-7459-2014; CASIANO, JUANA MAGDALENA SANTANA/K-5058-2014; DAVILA, MELCHOR GONZALEZ/K-4958-2014; Alin, Simone/J-6836-2017; GONZALEZ-DAVILA, MELCHOR/K-5058-2014; /M-2253-2016; Lenton, Andrew/D-2077-2012; Bakker, Dorothee/E-4951-2015; Olsen, Are/A-1511-2011; Lauvset, Siv K./H-7948-2016; Hoppema, Mario/I-6286-2013</t>
  </si>
  <si>
    <t>Fernandez Perez, Fiz/0000-0003-4836-8974; Landschützer, Peter/0000-0002-7398-3293; Shin-ichiro, Nakaoka/0000-0002-3870-1721; Nojiri, Yukihiro/0000-0001-9885-9195; Borges, Alberto Vieira/0000-0002-5434-2247; Brown, Peter/0000-0002-1152-1114; Bellerby, Richard/0000-0003-3598-4006; Tilbrook, Bronte/0000-0001-9385-3827; Pierrot, Denis/0000-0002-0374-3825; CASIANO, JUANA MAGDALENA SANTANA/0000-0002-7930-7683; Alin, Simone/0000-0002-8283-1910; PADIN, XOSE ANTONIO/0000-0002-4277-3410; GONZALEZ-DAVILA, MELCHOR/0000-0003-3230-8985; Cai, Wei-Jun/0000-0003-3606-8325; /0000-0003-2845-4912; Lenton, Andrew/0000-0001-9437-8896; Watson, Andrew/0000-0002-9654-8147; Jones, Steve/0000-0003-0522-9851; Bakker, Dorothee/0000-0001-9234-5337; Tjiputra, Jerry/0000-0002-4600-2453; Skjelvan, Ingunn/0000-0001-6761-5016; Lefevre, Nathalie/0000-0002-1126-5528; Olsen, Are/0000-0003-1696-9142; Hunt, Christopher/0000-0001-8061-4560; Lauvset, Siv K./0000-0001-8498-4067; Vandemark, Douglas/0000-0003-4367-5457; Sarma, V.V.S.S./0000-0002-0227-473X; Sieger, Rainer/0000-0002-9175-884X; Steinhoff, Tobias/0000-0002-2298-1298; O'Brien, Kevin/0000-0003-4167-3028; Hoppema, Mario/0000-0002-2326-619X; Nakano, Yoshiyuki/0000-0002-1128-5844; Fassbender, Andrea/0000-0002-5898-1185; Ishii, Masao/0000-0002-7328-4599; metzl, nicolas/0000-0002-1165-1074</t>
  </si>
  <si>
    <t>Bjerknes Centre for Climate Research; University of Bergen; Uni Research (Norway); US National Oceanic and Atmospheric Administration; University of Washington; Oak Ridge National Laboratory (US); University of East Anglia (UEA, UK); PANGAEA - Data Publisher for Earth &amp; Environmental data (Germany); Alfred Wegener Institute for Polar and Marine Research (Germany); Centre National de la Recherche Scientifique (France); Research Council of Norway (CARBON-HEAT); US National Science Foundation [OCE-1068958]; international Scientific Committee on Oceanic Research (SCOR, US) [OCE-0938349]; European Union [GOCE 511176-1, FP7 264879]; UK Ocean Acidification Research Programme - Natural Environment Research Council [NE/H017046/1]; Department for Energy and Climate Change; Department for Environment, Food and Rural Affairs; UK National Centre for Earth Observation; IOCCP; IMBER; National Institute for Environmental Studies (NIES, Japan); Commonwealth Scientific and Industrial Research Organisation (CSIRO, Australia); GEOMAR (Germany); European Cooperation in Science and Technology (COST) Action (UK) [735]; NERC [NE/H017046/1, noc010009, NE/E002021/1, bas0100028, pml010002] Funding Source: UKRI; Natural Environment Research Council [bas0100028, NE/H017046/1, noc010009, pml010002, NE/E002021/1] Funding Source: researchfish; Grants-in-Aid for Scientific Research [23241002] Funding Source: KAKEN; Directorate For Geosciences; Division Of Ocean Sciences [0851447] Funding Source: National Science Foundation</t>
  </si>
  <si>
    <t>Bjerknes Centre for Climate Research; University of Bergen; Uni Research (Norway); US National Oceanic and Atmospheric Administration(National Oceanic Atmospheric Admin (NOAA) - USA); University of Washington(University of Washington); Oak Ridge National Laboratory (US); University of East Anglia (UEA, UK); PANGAEA - Data Publisher for Earth &amp; Environmental data (Germany); Alfred Wegener Institute for Polar and Marine Research (Germany); Centre National de la Recherche Scientifique (France)(Centre National de la Recherche Scientifique (CNRS)); Research Council of Norway (CARBON-HEAT)(Research Council of Norway); US National Science Foundation(National Science Foundation (NSF)); international Scientific Committee on Oceanic Research (SCOR, US); European Union(European Union (EU)); UK Ocean Acidification Research Programme - Natural Environment Research Council; Department for Energy and Climate Change; Department for Environment, Food and Rural Affairs(Department for Environment, Food &amp; Rural Affairs (DEFRA)); UK National Centre for Earth Observation; IOCCP; IMBER; National Institute for Environmental Studies (NIES, Japan); Commonwealth Scientific and Industrial Research Organisation (CSIRO, Australia); GEOMAR (Germany); European Cooperation in Science and Technology (COST) Action (UK);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 Directorate For Geosciences; Division Of Ocean Sciences(National Science Foundation (NSF)NSF - Directorate for Geosciences (GEO))</t>
  </si>
  <si>
    <t>SOCAT is promoted by IOCCP, the Surface Ocean Lower Atmosphere Study, and the Integrated Marine Biogeochemistry and Ecosystem Research program. Douglas Wallace (Dalhousie University, Canada, and former SOLAS chair), Emilie Breviere (SOLAS executive officer) and Lisa Maddison (IMBER deputy executive officer) have strongly encouraged SOCAT. Support for SOCAT has been received from the Bjerknes Centre for Climate Research, the University of Bergen, Uni Research (Norway), the US National Oceanic and Atmospheric Administration, the University of Washington, Oak Ridge National Laboratory (US), the University of East Anglia (UEA, UK), PANGAEA - Data Publisher for Earth &amp; Environmental data (Germany), the Alfred Wegener Institute for Polar and Marine Research (Germany), the Centre National de la Recherche Scientifique (France), the Research Council of Norway (CARBON-HEAT), the US National Science Foundation (OCE-1068958), the international Scientific Committee on Oceanic Research (SCOR, US, OCE-0938349), the European Union integrated projects CarboOcean (GOCE 511176-1) and CarboChange (FP7 264879), the UK Ocean Acidification Research Programme (NE/H017046/1; funded by the Natural Environment Research Council, the Department for Energy and Climate Change and the Department for Environment, Food and Rural Affairs) and the UK National Centre for Earth Observation. Support for SOCAT meetings has been received from IOCCP, IMBER, the National Institute for Environmental Studies (NIES, Japan), the Commonwealth Scientific and Industrial Research Organisation (CSIRO, Australia), GEOMAR (Germany) and the European Cooperation in Science and Technology (COST) Action 735 (UK). This is publication no. A417 for the Bjerknes Centre for Climate Research. This study is a contribution to the Center for Climate Dynamics (SKD) within the Bjerknes Centre for Climate Research.</t>
  </si>
  <si>
    <t>10.5194/essd-5-125-2013</t>
  </si>
  <si>
    <t>Green Published, gold, Green Submitted, Green Accepted</t>
  </si>
  <si>
    <t>WOS:000209415400010</t>
  </si>
  <si>
    <t>Sabine, CL; Hankin, S; Koyuk, H; Bakker, DCE; Pfeil, B; Olsen, A; Metzl, N; Kozyr, A; Fassbender, A; Manke, A; Malczyk, J; Akl, J; Alin, SR; Bellerby, RGJ; Borges, A; Boutin, J; Brown, PJ; Cai, WJ; Chavez, FP; Chen, A; Cosca, C; Feely, RA; González-Dávila, M; Goyet, C; Hardman-Mountford, N; Heinze, C; Hoppema, M; Hunt, CW; Hydes, D; Ishii, M; Johannessen, T; Key, RM; Körtzinger, A; Landschützer, P; Lauvset, SK; Lefèvre, N; Lenton, A; Lourantou, A; Merlivat, L; Midorikawa, T; Mintrop, L; Miyazaki, C; Murata, A; Nakadate, A; Nakano, Y; Nakaoka, S; Nojiri, Y; Omar, AM; Padin, XA; Park, GH; Paterson, K; Perez, FF; Pierrot, D; Poisson, A; Ríos, AF; Salisbury, J; Santana-Casiano, JM; Sarma, VVSS; Schlitzer, R; Schneider, B; Schuster, U; Sieger, R; Skjelvan, I; Steinhoff, T; Suzuki, T; Takahashi, T; Tedesco, K; Telszewski, M; Thomas, H; Tilbrook, B; Vandemark, D; Veness, T; Watson, AJ; Weiss, R; Wong, CS; Yoshikawa-Inoue, H</t>
  </si>
  <si>
    <t>Sabine, C. L.; Hankin, S.; Koyuk, H.; Bakker, D. C. E.; Pfeil, B.; Olsen, A.; Metzl, N.; Kozyr, A.; Fassbender, A.; Manke, A.; Malczyk, J.; Akl, J.; Alin, S. R.; Bellerby, R. G. J.; Borges, A.; Boutin, J.; Brown, P. J.; Cai, W. -J.; Chavez, F. P.; Chen, A.; Cosca, C.; Feely, R. A.; Gonzalez-Davila, M.; Goyet, C.; Hardman-Mountford, N.; Heinze, C.; Hoppema, M.; Hunt, C. W.; Hydes, D.; Ishii, M.; Johannessen, T.; Key, R. M.; Koertzinger, A.; Landschuetzer, P.; Lauvset, S. K.; Lefevre, N.; Lenton, A.; Lourantou, A.; Merlivat, L.; Midorikawa, T.; Mintrop, L.; Miyazaki, C.; Murata, A.; Nakadate, A.; Nakano, Y.; Nakaoka, S.; Nojiri, Y.; Omar, A. M.; Padin, X. A.; Park, G. -H.; Paterson, K.; Perez, F. F.; Pierrot, D.; Poisson, A.; Rios, A. F.; Salisbury, J.; Santana-Casiano, J. M.; Sarma, V. V. S. S.; Schlitzer, R.; Schneider, B.; Schuster, U.; Sieger, R.; Skjelvan, I.; Steinhoff, T.; Suzuki, T.; Takahashi, T.; Tedesco, K.; Telszewski, M.; Thomas, H.; Tilbrook, B.; Vandemark, D.; Veness, T.; Watson, A. J.; Weiss, R.; Wong, C. S.; Yoshikawa-Inoue, H.</t>
  </si>
  <si>
    <t>Surface Ocean CO2 Atlas (SOCAT) gridded data products</t>
  </si>
  <si>
    <t>ANTHROPOGENIC CO2</t>
  </si>
  <si>
    <t>As a response to public demand for a well-documented, quality controlled, publically available, global surface ocean carbon dioxide (CO2) data set, the international marine carbon science community developed the Surface Ocean CO2 Atlas (SOCAT). The first SOCAT product is a collection of 6.3 million quality controlled surface CO2 data from the global oceans and coastal seas, spanning four decades (1968-2007). The SOCAT gridded data presented here is the second data product to come from the SOCAT project. Recognizing that some groups may have trouble working with millions of measurements, the SOCAT gridded product was generated to provide a robust, regularly spaced CO2 fugacity (fCO(2)) product with minimal spatial and temporal interpolation, which should be easier to work with for many applications. Gridded SOCAT is rich with information that has not been fully explored yet (e.g., regional differences in the seasonal cycles), but also contains biases and limitations that the user needs to recognize and address (e.g., local influences on values in some coastal regions).</t>
  </si>
  <si>
    <t>[Sabine, C. L.; Hankin, S.; Koyuk, H.; Fassbender, A.; Manke, A.; Alin, S. R.; Cosca, C.; Feely, R. A.] NOAA, Pacific Marine Environm Lab, Seattle, WA 98115 USA; [Koyuk, H.; Manke, A.] Univ Washington, Joint Inst Study Atmosphere &amp; Oceans, Seattle, WA 98195 USA; [Bakker, D. C. E.; Brown, P. J.; Landschuetzer, P.; Schuster, U.; Watson, A. J.] Univ E Anglia, Sch Environm Sci, Norwich NR4 7TJ, Norfolk, England; [Pfeil, B.; Bellerby, R. G. J.; Heinze, C.; Johannessen, T.; Lauvset, S. K.; Skjelvan, I.] Univ Bergen, Inst Geophys, Bergen, Norway; [Pfeil, B.; Heinze, C.; Johannessen, T.; Lauvset, S. K.; Skjelvan, I.] Bjerknes Ctr Climate Res, Bergen, Norway; [Pfeil, B.] Univ Bremen, PANGAEA Data Publisher Earth &amp; Environm Sci, D-28359 Bremen, Germany; [Olsen, A.] Uni Bjerknes Ctr, Bergen, Norway; [Olsen, A.; Heinze, C.; Omar, A. M.] Inst Marine Res, N-5024 Bergen, Norway; [Metzl, N.; Boutin, J.; Lefevre, N.; Lourantou, A.; Merlivat, L.] Univ Paris 06, LOCEAN IPSL, Paris, France; [Kozyr, A.] Carbon Dioxide Informat Anal Ctr, Oak Ridge, TN USA; [Malczyk, J.] Yale Univ, Dept Ecol &amp; Evolutionary Biol, Jetz Lab, New Haven, CT USA; [Akl, J.; Paterson, K.; Tilbrook, B.] CSIRO Wealth Oceans Flagship, Hobart, Tas, Australia; [Akl, J.; Lenton, A.; Paterson, K.; Tilbrook, B.; Veness, T.] Ctr Australian Weather &amp; Climate Res, Hobart, Tas, Australia; [Bellerby, R. G. J.; Heinze, C.; Omar, A. M.; Skjelvan, I.] Uni Res AS, Bergen, Norway; [Borges, A.] Univ Liege, Inst Phys, Chem Oceanog Unit, Liege, Belgium; [Brown, P. J.] British Antarctic Survey, Cambridge CB3 0ET, England; [Cai, W. -J.] Univ Georgia, Dept Marine Sci, Athens, GA 30602 USA; [Chavez, F. P.] Monterey Bay Aquarium Res Inst, Moss Landing, CA USA; [Chen, A.] Natl Sun Yat Sen Univ, Inst Marine Geol &amp; Chem, Kaohsiung 80424, Taiwan; [Fassbender, A.] Univ Washington, Sch Oceanog, Seattle, WA 98195 USA; [Gonzalez-Davila, M.; Santana-Casiano, J. M.] Univ Las Palmas Gran Canaria, Fac Ciencias Mar, Las Palmas Gran Canaria, Spain; [Goyet, C.; Poisson, A.] Univ Perpignan, Inst Modelisat &amp; Anal Geoenvironm &amp; Sante, F-66025 Perpignan, France; [Hardman-Mountford, N.] CSIRO, Marine &amp; Atmospher Res, Wembley, WA, Australia; [Hoppema, M.; Schlitzer, R.; Sieger, R.] Alfred Wegener Inst Polar &amp; Marine Res, Bremerhaven, Germany; [Hunt, C. W.; Salisbury, J.; Vandemark, D.] Univ New Hampshire, Ocean Proc Anal Lab, Durham, NH 03824 USA; [Hydes, D.] Natl Oceanog Ctr, Southampton, Hants, England; [Ishii, M.] Japan Meteorol Agcy, Meteorol Res Inst, Tsukuba, Ibaraki, Japan; [Key, R. M.] Princeton Univ, Atmospher &amp; Ocean Sci, Princeton, NJ 08544 USA; [Koertzinger, A.; Steinhoff, T.] Helmholtz Ctr Ocean Res, GEOMAR, Kiel, Germany; [Midorikawa, T.] Nagasaki Marine Observ, Nagasaki, Japan; [Mintrop, L.] MARIANDA, Kiel, Germany; [Miyazaki, C.] Hokkaido Univ, Environm Earth Sci, Sapporo, Hokkaido 060, Japan; [Murata, A.; Nakano, Y.; Yoshikawa-Inoue, H.] Japan Agcy Marine Earth Sci &amp; Technol, Yokosuka, Kanagawa 2370061, Japan; [Nakadate, A.] Japan Meteorol Agcy, Global Environm &amp; Marine Dept, Marine Div, Tokyo, Japan; [Nakaoka, S.; Nojiri, Y.] Natl Inst Environm Studies, Tsukuba, Ibaraki, Japan; [Padin, X. A.; Perez, F. F.; Rios, A. F.] CSIC, Inst Invest Marinas Vigo, Vigo, Spain; [Park, G. -H.; Pierrot, D.] Univ Miami, Rosenstiel Sch Marine &amp; Atmospher Sci, Cooperat Inst Marine &amp; Atmospher Studies, Miami, FL 33149 USA; [Sarma, V. V. S. S.] Natl Inst Oceanog, Reg Ctr, Visakhapatnam, Andhra Pradesh, India; [Schneider, B.] Leibnitz Res Inst Balt Sea Res, Warnemunde, Germany; [Suzuki, T.] Japan Hydrog Assoc, Marine Informat Res Ctr, Tokyo, Japan; [Takahashi, T.] Lamont Doherty Earth Observ, Palisades, NY USA; [Tedesco, K.] IOCCP, Silver Spring, MD USA; [Telszewski, M.] Polish Acad Sci, Inst Oceanol, IOCCP, Sopot, Poland; [Thomas, H.] Dalhousie Univ, Dept Oceanog, Halifax, NS, Canada; [Tilbrook, B.] Antarctic Climate &amp; Ecosyst Cooperat Res Ctr, Hobart, Tas, Australia; [Weiss, R.] Univ Calif San Diego, Scripps Inst Oceanog, La Jolla, CA 92093 USA; [Wong, C. S.] Fisheries &amp; Oceans Canada Inst Ocean Sci, Sidney, BC V8L 4B2, Canada; [Bellerby, R. G. J.] Norwegian Inst Water Res, Bergen, Norway; [Hardman-Mountford, N.] Plymouth Marine Lab, Plymouth, Devon, England; [Tedesco, K.; Telszewski, M.] UNESCO, Intergovt Oceanog Commiss, IOCCP, Paris, France</t>
  </si>
  <si>
    <t>National Oceanic Atmospheric Admin (NOAA) - USA; University of Washington; University of Washington Seattle; University of East Anglia; University of Bergen; Bjerknes Centre for Climate Research; University of Bremen; Bjerknes Centre for Climate Research; Institute of Marine Research - Norway; Sorbonne Universite; Museum National d'Histoire Naturelle (MNHN); Yale University; Commonwealth Scientific &amp; Industrial Research Organisation (CSIRO); Commonwealth Scientific &amp; Industrial Research Organisation (CSIRO); University of Bergen; University of Liege; UK Research &amp; Innovation (UKRI); Natural Environment Research Council (NERC); NERC British Antarctic Survey; University System of Georgia; University of Georgia; Monterey Bay Aquarium Research Institute; National Sun Yat Sen University; University of Washington; University of Washington Seattle; Universidad de Las Palmas de Gran Canaria; Universite Perpignan Via Domitia; Commonwealth Scientific &amp; Industrial Research Organisation (CSIRO); Helmholtz Association; Alfred Wegener Institute, Helmholtz Centre for Polar &amp; Marine Research; University System Of New Hampshire; University of New Hampshire; NERC National Oceanography Centre; Meteorological Research Institute - Japan; Japan Meteorological Agency; Princeton University; Helmholtz Association; GEOMAR Helmholtz Center for Ocean Research Kiel; Hokkaido University; Japan Agency for Marine-Earth Science &amp; Technology (JAMSTEC); Japan Meteorological Agency; National Institute for Environmental Studies - Japan; Consejo Superior de Investigaciones Cientificas (CSIC); CSIC - Instituto de Investigaciones Marinas (IIM); University of Miami; Council of Scientific &amp; Industrial Research (CSIR) - India; CSIR - National Institute of Oceanography (NIO); Columbia University; Polish Academy of Sciences; Institute of Oceanology of the Polish Academy of Sciences; Dalhousie University; Antarctic Climate &amp; Ecosystems Cooperative Research Centre (ACE CRC); University of California System; University of California San Diego; Scripps Institution of Oceanography; Fisheries &amp; Oceans Canada; Norwegian Institute for Water Research (NIVA); Plymouth Marine Laboratory</t>
  </si>
  <si>
    <t>Sabine, CL (corresponding author), NOAA, Pacific Marine Environm Lab, 7600 Sand Point Way Ne, Seattle, WA 98115 USA.</t>
  </si>
  <si>
    <t>chris.sabine@noaa.gov</t>
  </si>
  <si>
    <t>Yoshikawa, Hisayuki/A-4056-2012; Nojiri, Yukihiro/D-1999-2010; Padin, X.A./AAA-1305-2019; Borges, Alberto Vieira/C-4989-2008; Pierrot, Denis/AAH-7687-2020; Bellerby, Richard/ABD-6590-2021; Feely, Richard A./ABI-5740-2020; Alin, Simone/J-6836-2017; Cai, Wei-Jun/C-1361-2013; Pierrot, Denis/A-7459-2014; DAVILA, MELCHOR GONZALEZ/K-4958-2014; Brown, Peter/AAN-4372-2020; Shin-ichiro, Nakaoka/I-7222-2018; Körtzinger, Arne/A-4141-2014; Merlivat, Liliane/KAL-8800-2024; Landschützer, Peter/IQU-3835-2023; Sarma, VVSS/B-5087-2008; Fernandez Perez, Fiz/B-9001-2011; CASIANO, JUANA MAGDALENA SANTANA/K-5058-2014; Tilbrook, Bronte/W-4007-2019; Lauvset, Siv K./H-7948-2016; Lenton, Andrew/D-2077-2012; Olsen, Are/A-1511-2011; /M-2253-2016; Hoppema, Mario/I-6286-2013; GONZALEZ-DAVILA, MELCHOR/K-5058-2014; Bakker, Dorothee/E-4951-2015</t>
  </si>
  <si>
    <t>Nojiri, Yukihiro/0000-0001-9885-9195; Borges, Alberto Vieira/0000-0002-5434-2247; Bellerby, Richard/0000-0003-3598-4006; Alin, Simone/0000-0002-8283-1910; Pierrot, Denis/0000-0002-0374-3825; Brown, Peter/0000-0002-1152-1114; Shin-ichiro, Nakaoka/0000-0002-3870-1721; Landschützer, Peter/0000-0002-7398-3293; Fernandez Perez, Fiz/0000-0003-4836-8974; CASIANO, JUANA MAGDALENA SANTANA/0000-0002-7930-7683; Tilbrook, Bronte/0000-0001-9385-3827; PADIN, XOSE ANTONIO/0000-0002-4277-3410; Watson, Andrew/0000-0002-9654-8147; Cai, Wei-Jun/0000-0003-3606-8325; Lefevre, Nathalie/0000-0002-1126-5528; Lauvset, Siv K./0000-0001-8498-4067; Lenton, Andrew/0000-0001-9437-8896; Skjelvan, Ingunn/0000-0001-6761-5016; Olsen, Are/0000-0003-1696-9142; Fassbender, Andrea/0000-0002-5898-1185; Sieger, Rainer/0000-0002-9175-884X; Nakano, Yoshiyuki/0000-0002-1128-5844; Hunt, Christopher/0000-0001-8061-4560; metzl, nicolas/0000-0002-1165-1074; Steinhoff, Tobias/0000-0002-2298-1298; /0000-0003-2845-4912; Hoppema, Mario/0000-0002-2326-619X; GONZALEZ-DAVILA, MELCHOR/0000-0003-3230-8985; Ishii, Masao/0000-0002-7328-4599; Vandemark, Douglas/0000-0003-4367-5457; Bakker, Dorothee/0000-0001-9234-5337</t>
  </si>
  <si>
    <t>University of Bergen (Norway); Bjerknes Centre for Climate Research (Norway); National Oceanic and Atmospheric Administration (United States); University of Washington (United States); Oak Ridge National Laboratory (United States); University of East Anglia (United Kingdom); PANGAEA - Data Publisher for Earth &amp; Environmental data (Germany); Alfred Wegener Institute for Polar and Marine Research (Germany); Centre National de la Recherche Scientifique (France); CarboOcean (Norway) of the European Union [GOCE 511176-1]; CarboChange (Norway) of the European Union [FP7 264879]; US National Science Foundation (United States) [OCE-1068958]; international Scientific Committee on Oceanic Research (SCOR, United States) [OCE-0938349]; UK Ocean Acidification Research Programme - Natural Environment Research Council [NE/H017046/1]; Department for Energy and Climate Change; Department for Environment, Food and Rural Affairs; Directorate For Geosciences; Division Of Ocean Sciences [0851447] Funding Source: National Science Foundation; Directorate For Geosciences; Division Of Ocean Sciences [1220412] Funding Source: National Science Foundation; Natural Environment Research Council [NE/E002021/1, pml010002, bas0100028, NE/H017046/1, noc010009] Funding Source: researchfish; NERC [pml010002, noc010009, bas0100028, NE/E002021/1, NE/H017046/1] Funding Source: UKRI; Grants-in-Aid for Scientific Research [23241002] Funding Source: KAKEN</t>
  </si>
  <si>
    <t>University of Bergen (Norway); Bjerknes Centre for Climate Research (Norway); National Oceanic and Atmospheric Administration (United States); University of Washington (United States); Oak Ridge National Laboratory (United States); University of East Anglia (United Kingdom); PANGAEA - Data Publisher for Earth &amp; Environmental data (Germany); Alfred Wegener Institute for Polar and Marine Research (Germany); Centre National de la Recherche Scientifique (France)(Centre National de la Recherche Scientifique (CNRS)); CarboOcean (Norway) of the European Union; CarboChange (Norway) of the European Union; US National Science Foundation (United States); international Scientific Committee on Oceanic Research (SCOR, United States); UK Ocean Acidification Research Programme - Natural Environment Research Council; Department for Energy and Climate Change; Department for Environment, Food and Rural Affairs(Department for Environment, Food &amp; Rural Affairs (DEFRA)); Directorate For Geosciences; Division Of Ocean Sciences(National Science Foundation (NSF)NSF - Directorate for Geosciences (GEO)); Directorate For Geosciences;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</si>
  <si>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SOCAT is promoted by IOCCP, the Surface Ocean Lower Atmosphere Study, and the Integrated Marine Biogeochemistry and Ecosystem Research program. Douglas Wallace (Dalhousie University, Canada and former SOLAS chair) has strongly encouraged SOCAT. Support has been received from the University of Bergen (Norway), the Bjerknes Centre for Climate Research (Norway), the National Oceanic and Atmospheric Administration (United States), the University of Washington (United States), Oak Ridge National Laboratory (United States), the University of East Anglia (United Kingdom), PANGAEA - Data Publisher for Earth &amp; Environmental data (Germany), the Alfred Wegener Institute for Polar and Marine Research (Germany), the Centre National de la Recherche Scientifique (France), the CarboOcean (Norway, GOCE 511176-1) and CarboChange (Norway, FP7 264879) projects of the European Union, the US National Science Foundation (United States, OCE-1068958), the international Scientific Committee on Oceanic Research (SCOR, United States, OCE-0938349), and the UK Ocean Acidification Research Programme (NE/H017046/1; funded by the Natural Environment Research Council, the Department for Energy and Climate Change and the Department for Environment, Food and Rural Affairs). Support for SOCAT meetings has been received from IOCCP, IMBER, the European Cooperation in Science and Technology (COST) Action 735 (United Kingdom), Geomar (Germany), the National Institute for Environmental Studies (Japan), and the Commonwealth Scientific and Industrial Research Organisation (Australia).</t>
  </si>
  <si>
    <t>10.5194/essd-5-145-2013</t>
  </si>
  <si>
    <t>WOS:000209415400011</t>
  </si>
  <si>
    <t>Crowley, TJ; Unterman, MB</t>
  </si>
  <si>
    <t>Crowley, T. J.; Unterman, M. B.</t>
  </si>
  <si>
    <t>Technical details concerning development of a 1200 yr proxy index for global volcanism</t>
  </si>
  <si>
    <t>GREENLAND ICE CORE; OPTICAL DEPTH PERTURBATIONS; PAST 2 KYR; EXPLOSIVE VOLCANISM; EAST ANTARCTICA; CLIMATE-CHANGE; LAW DOME; SULFATE; RECORD; ERUPTION</t>
  </si>
  <si>
    <t>This report describes details of developing a volcano forcing reconstruction (Crowley et al., 2008) for climate models that is based primarily on sulphate records in Antarctic and Greenland ice cores. The chronology of eruptions is considered accurate to within 1 yr for the interval AD 1104-2000 and about 2 yr for AD 800-1103. The reconstruction involves (1) calibration against satellite aerosol optical depth (AOD) estimates of the 1991 Pinatubo/Hudson eruptions; (2) partial validation against independent lunar estimates of AOD and global sulphate emissions; (3) partial assessment of uncertainties in AOD estimates; (4) assessment of possible tropical false positives in ice core reconstructions due to simultaneous occurrence of mid/high-latitude eruptions in each hemisphere; (5) identification of a new category of eruptions, termed unipolar tropical eruptions, in which the eruption plume penetrates mainly to polar regions in only the hemisphere of its eruption; (6) use of different growth curves for high-and low-latitude eruptions; (7) specification of 2/3 power shortwave scaling for eruptions larger than the 1991 Pinatubo eruption; (8) introduction of an estimate of effective particle size that affects lifetime and scattering properties of stratospheric aerosols; and (9) utilization of bimonthly-resolution electrical conductivity measurements to estimate the eruption date of the 1258/1259 eruption as 1257.7 +/- 0.2. The data, and a high-temporal resolution reconstruction for climate models, are available at: http://hurricane.ncdc.noaa.gov/pls/paleox/f?p=519:1:::::P1_STUDY_ID:14168.</t>
  </si>
  <si>
    <t>[Crowley, T. J.; Unterman, M. B.] Univ Edinburgh, Grant Inst, Sch Geosci, Edinburgh EH9 3JW, Midlothian, Scotland</t>
  </si>
  <si>
    <t>University of Edinburgh</t>
  </si>
  <si>
    <t>Crowley, TJ (corresponding author), Univ Edinburgh, Grant Inst, Sch Geosci, Kings Bldg,West Mains Rd, Edinburgh EH9 3JW, Midlothian, Scotland.</t>
  </si>
  <si>
    <t>tcrowley111@gmail.com</t>
  </si>
  <si>
    <t>10.5194/essd-5-187-2013</t>
  </si>
  <si>
    <t>WOS:000209415400014</t>
  </si>
  <si>
    <t>Straub, C; Espy, PJ; Hibbins, RE; Newnham, DA</t>
  </si>
  <si>
    <t>Straub, C.; Espy, P. J.; Hibbins, R. E.; Newnham, D. A.</t>
  </si>
  <si>
    <t>Mesospheric CO above Troll station, Antarctica observed by a ground based microwave radiometer</t>
  </si>
  <si>
    <t>VARIABILITY; CIRCULATION; RETRIEVAL; KIRUNA; OZONE</t>
  </si>
  <si>
    <t>This paper presents mesospheric carbon monoxide (CO) data acquired by the ground-based microwave radiometer of the British Antarctic Survey (BAS radiometer) stationed at Troll station in Antarctica (72 degrees S, 2.5 degrees E, 1270 m a.s.l.). The dataset covers the period from February 2008 to January 2010, however, due to very low CO concentrations below approximately 80 km altitude in summer, profiles are only presented during the Antarctic winter. CO is measured for approximately 2 h each day and profiles are retrieved approximately every half hour. The retrieved profiles, covering the pressure range from 1 to 0.01 hPa (approximately 48 to 80 km), are compared to measurements from Microwave Limb Sounder on the Aura satellite (Aura/MLS) and Whole Atmosphere Community Climate Model with Specified Dynamics (SD-WACCM). This intercomparison reveals a low bias of 0.5 to 1 ppmv at 0.1 hPa (approximately 64 km) and 2.5 to 3.5 ppmv at 0.01 hPa (approximately 80 km) of the BAS microwave radiometer compared to both reference datasets. One explanation for this low bias could be the known high bias of MLS which is on the same order of magnitude. The ground based radiometer shows high and significant correlation (coefficients higher than 0.9/0.7 compared to MLS/SD-WACCM) at all altitudes compared with both reference datasets. The dataset can be accessed under http://dx.doi.org/10/mhq.</t>
  </si>
  <si>
    <t>[Straub, C.; Espy, P. J.; Hibbins, R. E.] Norwegian Univ Sci &amp; Technol NTNU, Trondheim, Norway; [Espy, P. J.; Hibbins, R. E.] Birkeland Ctr Space Sci, Bergen, Norway; [Newnham, D. A.] British Antarctic Survey, Cambridge CB3 0ET, England</t>
  </si>
  <si>
    <t>Norwegian University of Science &amp; Technology (NTNU); UK Research &amp; Innovation (UKRI); Natural Environment Research Council (NERC); NERC British Antarctic Survey</t>
  </si>
  <si>
    <t>Straub, C (corresponding author), Univ Bern, Inst Appl Phys, Sidlerstr 5, CH-3012 Bern, Switzerland.</t>
  </si>
  <si>
    <t>corinne.straub@ntnu.no</t>
  </si>
  <si>
    <t>Newnham, David/0000-0001-8422-1289; Hibbins, Robert/0000-0002-6867-2255; Espy, Patrick/0000-0002-0793-6202</t>
  </si>
  <si>
    <t>Norwegian Polar Institute; Natural Environment Research Council (UK); Natural Environment Research Council [NE/I016767/1, bas0100023] Funding Source: researchfish; NERC [NE/I016767/1, bas0100023] Funding Source: UKRI</t>
  </si>
  <si>
    <t>Norwegian Polar Institute; Natural Environment Research Council (UK)(UK Research &amp; Innovation (UKRI)Natural Environment Research Council (NERC)); Natural Environment Research Council(UK Research &amp; Innovation (UKRI)Natural Environment Research Council (NERC)); NERC(UK Research &amp; Innovation (UKRI)Natural Environment Research Council (NERC))</t>
  </si>
  <si>
    <t>We thank Anne K. Smith for providing the SD-WACCM data used in this paper and Patrick Erikson and Ole Martin Christensen for helpfull discussions on the data retrieval. In addition, we thank Mark Clilverd at BAS, Kim Holmen at the Norwegian Polar Institute (NPI) and Paul Hartogh at Max Planck Institute (MPI, Germany) for their support of the BAS microwave radiometer. We also thank the Troll station overwintering engineers Atle Markussen, Asbjorn Djupdal, and Tore Dahl as well as David Maxfield and Paul Breen at BAS for their help. Furthermore, we thank Peter Kirsch for help with the issuing of the DOI. The work at NTNU has been funded by the Norwegian Polar Institute Antarctic Program under the grant Observations of carbon monoxide and ozone in the Antarctic and Arctic: Implications for the Inter-hemispheric coupling of vertical motions. The BAS microwave radiometer project is funded in part by the Natural Environment Research Council (UK).</t>
  </si>
  <si>
    <t>10.5194/essd-5-199-2013</t>
  </si>
  <si>
    <t>WOS:000209415400015</t>
  </si>
  <si>
    <t>Behrendt, A; Dierking, W; Fahrbach, E; Witte, H</t>
  </si>
  <si>
    <t>Behrendt, A.; Dierking, W.; Fahrbach, E.; Witte, H.</t>
  </si>
  <si>
    <t>Sea ice draft in the Weddell Sea, measured by upward looking sonars</t>
  </si>
  <si>
    <t>UNDERSIDE TOPOGRAPHY; THICKNESS; EXTENT</t>
  </si>
  <si>
    <t>The presented database contains time-referenced sea ice draft values from upward looking sonar (ULS) measurements in the Weddell Sea, Antarctica. The sea ice draft data can be used to infer the thickness of the ice. They were collected during the period 1990-2008. In total, the database includes measurements from 13 locations in the Weddell Sea and was generated from more than 3.7 million measurements of sea ice draft. The files contain uncorrected raw drafts, corrected drafts and the basic parameters measured by the ULS. The measurement principle, the data processing procedure and the quality control are described in detail. To account for the unknown speed of sound in the water column above the ULS, two correction methods were applied to the draft data. The first method is based on defining a reference level from the identification of open water leads. The second method uses a model of sound speed in the oceanic mixed layer and is applied to ice draft in austral winter. Both methods are discussed and their accuracy is estimated. Finally, selected results of the processing are presented. The data can be downloaded from doi:10.1594/PANGAEA.785565.</t>
  </si>
  <si>
    <t>[Behrendt, A.; Dierking, W.; Fahrbach, E.; Witte, H.] Alfred Wegener Inst Polar &amp; Marine Res, Bremerhaven, Germany</t>
  </si>
  <si>
    <t>Behrendt, A (corresponding author), Alfred Wegener Inst Polar &amp; Marine Res, Bremerhaven, Germany.</t>
  </si>
  <si>
    <t>axel.behrendt@awi.de</t>
  </si>
  <si>
    <t>Behrendt, Axel/0000-0001-5746-1631</t>
  </si>
  <si>
    <t>Deutsche Forschungsgemeinschaft (DFG) [FA 436/3-1, FA 436/3-2, SPP 1158]</t>
  </si>
  <si>
    <t>This work occurred in the context of the project The Sea Ice Thickness in the Atlantic Sector of the Southern Ocean (FA 436/3-1 and FA 436/3-2) in the framework of the priority programme Antarctic Research with Comparative Studies in Arctic Polar Regions (SPP 1158) supported by the Deutsche Forschungsgemeinschaft (DFG). We also thank the anonymous referee and Giorgio Budillon for helping us to improve the quality of our paper.</t>
  </si>
  <si>
    <t>10.5194/essd-5-209-2013</t>
  </si>
  <si>
    <t>WOS:000209415400016</t>
  </si>
  <si>
    <t>Moriarty, R; Buitenhuis, ET; Le Quéré, C; Gosselin, MP</t>
  </si>
  <si>
    <t>Moriarty, R.; Buitenhuis, E. T.; Le Quere, C.; Gosselin, M. -P.</t>
  </si>
  <si>
    <t>Distribution of known macrozooplankton abundance and biomass in the global ocean</t>
  </si>
  <si>
    <t>ZOOPLANKTON COMMUNITY STRUCTURE; TUNICATE SALPA-THOMPSONI; SOUTHERN-OCEAN; AUSTRAL SUMMER; ANTARCTIC PENINSULA; CARBON FLUX; MESOZOOPLANKTON; PATTERNS; PLANKTON; KRILL</t>
  </si>
  <si>
    <t>Macrozooplankton are an important link between higher and lower trophic levels in the oceans. They serve as the primary food for fish, reptiles, birds and mammals in some regions, and play a role in the export of carbon from the surface to the intermediate and deep ocean. Little, however, is known of their global distribution and biomass. Here we compiled a dataset of macrozooplankton abundance and biomass observations for the global ocean from a collection of four datasets. We harmonise the data to common units, calculate additional carbon biomass where possible, and bin the dataset in a global 1 x 1 degree grid. This dataset is part of a wider effort to provide a global picture of carbon biomass data for key plankton functional types, in particular to support the development of marine ecosystem models. Over 387 700 abundance data and 1330 carbon biomass data have been collected from pre-existing datasets. A further 34 938 abundance data were converted to carbon biomass data using species-specific length frequencies or using species-specific abundance to carbon biomass data. Depth-integrated values are used to calculate known epipelagic macrozooplankton biomass concentrations and global biomass. Global macrozooplankton biomass, to a depth of 350 m, has a mean of 8.4 mu g CL-1, median of 0.2 mu g CL-1 and a standard deviation of 63.5 mu g CL-1. The global annual average estimate of macrozooplankton biomass in the top 350 m, based on the median value, is 0.02 Pg C. There are, however, limitations on the dataset; abundance observations have good coverage except in the South Pacific mid-latitudes, but biomass observation coverage is only good at high latitudes. Biomass is restricted to data that is originally given in carbon or to data that can be converted from abundance to carbon. Carbon conversions from abundance are restricted by the lack of information on the size of the organism and/or the absence of taxonomic information. Distribution patterns of global macrozooplankton biomass and statistical information about biomass concentrations may be used to validate biogeochemical and plankton functional type models. Macrozooplankton abundance and biomass dataset doi: 10.1594/PANGAEA.777398.</t>
  </si>
  <si>
    <t>[Moriarty, R.; Le Quere, C.; Gosselin, M. -P.] British Antarctic Survey, Cambridge CB3 0ET, England; [Moriarty, R.; Buitenhuis, E. T.; Le Quere, C.] Univ E Anglia, Sch Environm Sci, Norwich NR4 7TJ, Norfolk, England</t>
  </si>
  <si>
    <t>UK Research &amp; Innovation (UKRI); Natural Environment Research Council (NERC); NERC British Antarctic Survey; University of East Anglia</t>
  </si>
  <si>
    <t>Moriarty, R (corresponding author), Univ Manchester, Sch Earth Atmospher &amp; Environm Sci, Williamson Bldg,Oxford Rd, Manchester M13 9PL, Lancs, England.</t>
  </si>
  <si>
    <t>r.moriarty@uea.ac.uk</t>
  </si>
  <si>
    <t>Moriarty, Róisín/AFR-8291-2022; Le Quéré, Corinne/C-2631-2017; Viovy, Nicolas/S-2631-2018; Buitenhuis, Erik/A-7692-2012</t>
  </si>
  <si>
    <t>Moriarty, Róisín/0000-0003-1993-1756; Le Quéré, Corinne/0000-0003-2319-0452; Viovy, Nicolas/0000-0002-9197-6417; Buitenhuis, Erik/0000-0001-6274-5583</t>
  </si>
  <si>
    <t>Natural Environment Research Council [bas0100025] Funding Source: researchfish; Division Of Ocean Sciences; Directorate For Geosciences [1154661] Funding Source: National Science Foundation; NERC [bas0100025] Funding Source: UKRI</t>
  </si>
  <si>
    <t>Natural Environment Research Council(UK Research &amp; Innovation (UKRI)Natural Environment Research Council (NERC)); Division Of Ocean Sciences; Directorate For Geosciences(National Science Foundation (NSF)NSF - Directorate for Geosciences (GEO)); NERC(UK Research &amp; Innovation (UKRI)Natural Environment Research Council (NERC))</t>
  </si>
  <si>
    <t>10.5194/essd-5-241-2013</t>
  </si>
  <si>
    <t>V39MQ</t>
  </si>
  <si>
    <t>WOS:000209415500002</t>
  </si>
  <si>
    <t>O'Brien, CJ; Peloquin, JA; Vogt, M; Heinle, M; Gruber, N; Ajani, P; Andruleit, H; Arístegui, J; Beaufort, L; Estrada, M; Karentz, D; Kopczynska, E; Lee, R; Poulton, AJ; Pritchard, T; Widdicombe, C</t>
  </si>
  <si>
    <t>O'Brien, C. J.; Peloquin, J. A.; Vogt, M.; Heinle, M.; Gruber, N.; Ajani, P.; Andruleit, H.; Aristegui, J.; Beaufort, L.; Estrada, M.; Karentz, D.; Kopczynska, E.; Lee, R.; Poulton, A. J.; Pritchard, T.; Widdicombe, C.</t>
  </si>
  <si>
    <t>Global marine plankton functional type biomass distributions: coccolithophores</t>
  </si>
  <si>
    <t>EMILIANIA-HUXLEYI; INDIAN-OCEAN; CELL-VOLUME; CARBON; DYNAMICS; PRYMNESIOPHYCEAE; CALCIFICATION; GENUS; ACIDIFICATION; ASSEMBLAGES</t>
  </si>
  <si>
    <t>Coccolithophores are calcifying marine phytoplankton of the class Prymnesiophyceae. They are considered to play an import role in the global carbon cycle through the production and export of organic carbon and calcite. We have compiled observations of global coccolithophore abundance from several existing databases as well as individual contributions of published and unpublished datasets. We make conservative estimates of carbon biomass using standardised conversion methods and provide estimates of uncertainty associated with these values. The quality-controlled database contains 57 321 individual observations at various taxonomic levels. This corresponds to 11 503 observations of total coccolithophore abundance and biomass. The data span a time period of 1929-2008, with observations from all ocean basins and all seasons, and at depths ranging from the surface to 500 m. Highest biomass values are reported in the North Atlantic, with a maximum of 127.2 mu gCL(-1). Lower values are reported for the Pacific (maximum of 20.0 mu gCL(-1)) and Indian Ocean (up to 45.2 mu gCL(-1)). Maximum biomass values show peaks around 60 degrees N and between 40 and 20 degrees S, with declines towards both the equator and the poles. Biomass estimates between the equator and 40 degrees N are below 5 mu gCL(-1). Biomass values show a clear seasonal cycle in the Northern Hemisphere, reaching a maximum in the summer months (June-July). In the Southern Hemisphere the seasonal cycle is less evident, possibly due to a greater proportion of low-latitude data. The original and gridded datasets can be downloaded from Pangaea (doi: 10.1594/PANGAEA.785092).</t>
  </si>
  <si>
    <t>[O'Brien, C. J.; Peloquin, J. A.; Vogt, M.; Gruber, N.] ETH, Inst Biogeochem &amp; Pollutant Dynam, Environm Phys Grp, CH-8092 Zurich, Switzerland; [Heinle, M.] Univ E Anglia, Sch Environm Sci, Lab Global Marine &amp; Atmospher Chem, Norwich NR4 7TJ, Norfolk, England; [Ajani, P.] Macquarie Univ, Dept Biol Sci, N Ryde, NSW 2109, Australia; [Andruleit, H.] Geozentrum Hannover, BGR, D-30655 Hannover, Germany; [Aristegui, J.] Univ Las Palmas Gran Canaria, Inst Oceanog &amp; Cambio Global IOCAG, Las Palmas Gran Canaria 35017, Spain; [Beaufort, L.] Aix Marseille Univ, CEREGE, CNRS, F-13545 Aix En Provence, France; [Estrada, M.] CSIC, Inst Ciencies MAR, E-08003 Barcelona, Catalunya, Spain; [Karentz, D.] Univ San Francisco, Coll Arts &amp; Sci, San Francisco, CA 94117 USA; [Kopczynska, E.] Polish Acad Sci, Inst Biochem &amp; Biophys, Dept Antarctic Biol, PL-02141 Warsaw, Poland; [Lee, R.] EPA Victoria, Ctr Environm Sci, Macleod, Vic 3085, Australia; [Poulton, A. J.] Univ Southampton, Natl Oceanog Ctr Southampton, Southampton SO9 5NH, Hants, England; [Pritchard, T.] Off Environm &amp; Heritage, Waters &amp; Coastal Sci Sect, Sydney South, NSW 1232, Australia; [Widdicombe, C.] Plymouth Marine Lab, Plymouth PL1 3DH, Devon, England</t>
  </si>
  <si>
    <t>Swiss Federal Institutes of Technology Domain; ETH Zurich; University of East Anglia; Macquarie University; Universidad de Las Palmas de Gran Canaria; Aix-Marseille Universite; Centre National de la Recherche Scientifique (CNRS); Consejo Superior de Investigaciones Cientificas (CSIC); CSIC - Centro Mediterraneo de Investigaciones Marinas y Ambientales (CMIMA); CSIC - Instituto de Ciencias del Mar (ICM); University of San Francisco; Polish Academy of Sciences; Institute of Biochemistry &amp; Biophysics - Polish Academy of Sciences; NERC National Oceanography Centre; University of Southampton; Office of Environment &amp; Heritage - New South Wales; Plymouth Marine Laboratory</t>
  </si>
  <si>
    <t>O'Brien, CJ (corresponding author), ETH, Inst Biogeochem &amp; Pollutant Dynam, Environm Phys Grp, Univ Str 16, CH-8092 Zurich, Switzerland.</t>
  </si>
  <si>
    <t>colleen.obrien@env.ethz.ch</t>
  </si>
  <si>
    <t>Heinle, Moritz J/E-4767-2018; Arístegui, Javier/D-5833-2013; Beaufort, Luc/ABG-2289-2021; Widdicombe, Claire/AAC-7358-2022; Beaufort, Luc/AAH-5305-2021; Estrada, Marta/L-6207-2014; Vogt, Meike/I-7457-2017; Ajani, Penelope/K-9987-2019; Gruber, Nicolas/B-7013-2009; O'Brien, Colleen/H-7698-2015; Poulton, Alex/A-9859-2012</t>
  </si>
  <si>
    <t>Arístegui, Javier/0000-0002-7526-7741; Beaufort, Luc/0000-0001-6055-9373; Estrada, Marta/0000-0001-5769-9498; Gruber, Nicolas/0000-0002-2085-2310; O'Brien, Colleen/0000-0003-4456-8119; Heinle, Moritz/0000-0003-0945-9283; Vogt, Meike/0000-0002-0608-1935; Poulton, Alex/0000-0002-5149-6961; Ajani, Penelope/0000-0001-5364-9936</t>
  </si>
  <si>
    <t>NERC [noc010009] Funding Source: UKRI; Natural Environment Research Council [noc010009] Funding Source: researchfish; Division Of Ocean Sciences; Directorate For Geosciences [1154661] Funding Source: National Science Foundation</t>
  </si>
  <si>
    <t>NERC(UK Research &amp; Innovation (UKRI)Natural Environment Research Council (NERC)); Natural Environment Research Council(UK Research &amp; Innovation (UKRI)Natural Environment Research Council (NERC)); Division Of Ocean Sciences; Directorate For Geosciences(National Science Foundation (NSF)NSF - Directorate for Geosciences (GEO))</t>
  </si>
  <si>
    <t>10.5194/essd-5-259-2013</t>
  </si>
  <si>
    <t>WOS:000209415500003</t>
  </si>
  <si>
    <t>Massaferro, J; Larocque-Tobler, I</t>
  </si>
  <si>
    <t>Massaferro, Julieta; Larocque-Tobler, Isabelle</t>
  </si>
  <si>
    <t>Using a newly developed chironomid transfer function for reconstructing mean annual air temperature at Lake Potrok Aike, Patagonia, Argentina</t>
  </si>
  <si>
    <t>ECOLOGICAL INDICATORS</t>
  </si>
  <si>
    <t>Lake sediment; Chironomidae; Quantitative temperature reconstruction; Southern Hemisphere; Lateglacial-glacial</t>
  </si>
  <si>
    <t>GLACIAL-HOLOCENE TRANSITION; SOUTHERN SOUTH-AMERICA; FOSSIL MIDGES DIPTERA; TIERRA-DEL-FUEGO; NORTHERN SWEDEN; NEW-ZEALAND; QUANTITATIVE INDICATORS; ENVIRONMENTAL-CHANGE; INFERENCE MODEL; CLIMATIC-CHANGE</t>
  </si>
  <si>
    <t>In the Southern Hemisphere, the lack of quantitative temperature records hampers the understanding of climate change since the Last Glaciation and refrains the comparison with the Northern Hemisphere records. To provide quantitative data, a 63-lake chironomid transfer functions was developed in Patagonia. Mean annual air temperature (MAT)was one of the most important factors explaining the distribution of chironomids while precipitation did not have any significant relationship with chironomid assemblages. The MAT model had a r(2) of 0.64, a RMSE of 0.83 and a maximum bias of 1.81 degrees C, comparable to other transfer functions of this size. This model was applied to the Lake Potrok Aike (PTA) chironomid records which consisted of only four taxa (Phaenopsectra, Cricotopus, Smittia and Polypedilum). The chironomid-inferred air temperatures were colder-than-the-average (10.8 degrees C) during the Lateglacial with the coldest temperatures (9 degrees C in average) during the Antarctic Cold Reversal (ACR). Between ca. 8000 and 3500 cal. years BP, the chironomid-inferred air temperatures were warmer-than-the-average with a decreasing trend. From ca. 3500 cal. years BP to the present, the chironomid-inferred temperatures oscillated around the average. The difference between the chironomid-inferred air temperature in the surface sample and the climate normal (1961-1990) was 0.6 degrees C. suggesting that chironomids are sensitive enough to quantitatively reconstruct MAT at PTA. The general pattern of temperature changes reconstructed by the PTA chironomid record corresponded well to other quantitative records in the Southern Hemisphere. The results presented here show that investing in the development of chironomid transfer functions for quantitative climate research in the Southern Hemisphere is valuable. (C) 2012 Elsevier Ltd. All rights reserved.</t>
  </si>
  <si>
    <t>[Massaferro, Julieta] Consejo Nacl Invest Cient &amp; Tecn, RA-8400 San Carlos De Bariloche, Rio Negro, Argentina; [Larocque-Tobler, Isabelle] LimnoPaleoServ, CH-3250 Lyss, Switzerland</t>
  </si>
  <si>
    <t>Massaferro, J (corresponding author), Consejo Nacl Invest Cient &amp; Tecn, CENAC APN Fagnano 244, RA-8400 San Carlos De Bariloche, Rio Negro, Argentina.</t>
  </si>
  <si>
    <t>julimassaferro@hotmail.com; zazoolaro@hotmail.com</t>
  </si>
  <si>
    <t>MINCYT Argentina [PICT 02338]; NSREC</t>
  </si>
  <si>
    <t>MINCYT Argentina; NSREC</t>
  </si>
  <si>
    <t>We thank Juan Jose Scagliotti for the PTA chironomid analysis, Bernd Zolischka for providing core samples and Steve Brooks for making available some of the surface samples for the training set. Special thanks to F. Quintana for helping during the fieldwork and M. Colombres for giving us assistant with the maps. J. Massaferro acknowledges the financial support of MINCYT Argentina (PICT 02338) and I. Larocque-Tobler the NSREC Occasion Speciale.</t>
  </si>
  <si>
    <t>1470-160X</t>
  </si>
  <si>
    <t>ECOL INDIC</t>
  </si>
  <si>
    <t>Ecol. Indic.</t>
  </si>
  <si>
    <t>10.1016/j.ecolind.2012.06.017</t>
  </si>
  <si>
    <t>Biodiversity Conservation; Environmental Sciences</t>
  </si>
  <si>
    <t>036VH</t>
  </si>
  <si>
    <t>WOS:000311059900023</t>
  </si>
  <si>
    <t>O'Brien, KM; Crockett, EL</t>
  </si>
  <si>
    <t>O'Brien, Kristin M.; Crockett, Elizabeth L.</t>
  </si>
  <si>
    <t>The promise and perils of Antarctic fishes - The remarkable life forms of the Southern Ocean have much to teach science about survival, but human activity is threatening their existence</t>
  </si>
  <si>
    <t>EMBO REPORTS</t>
  </si>
  <si>
    <t>CLIMATE-CHANGE; ENZYMATIC-ACTIVITIES; COLD ADAPTATION; EVOLUTION; EXPRESSION; HEMOGLOBIN; METABOLISM; GENES; WEST</t>
  </si>
  <si>
    <t>[O'Brien, Kristin M.] Univ Alaska, Inst Arctic Biol, Fairbanks, AK 99775 USA; [Crockett, Elizabeth L.] Ohio Univ, Dept Biol Sci, Athens, OH 45701 USA</t>
  </si>
  <si>
    <t>University of Alaska System; University of Alaska Fairbanks; University System of Ohio; Ohio University</t>
  </si>
  <si>
    <t>O'Brien, KM (corresponding author), Univ Alaska, Inst Arctic Biol, Fairbanks, AK 99775 USA.</t>
  </si>
  <si>
    <t>kmobrien@alaska.edu; crokett@ohio.edu</t>
  </si>
  <si>
    <t>1469-221X</t>
  </si>
  <si>
    <t>1469-3178</t>
  </si>
  <si>
    <t>EMBO REP</t>
  </si>
  <si>
    <t>EMBO Rep.</t>
  </si>
  <si>
    <t>10.1038/embor.2012.203</t>
  </si>
  <si>
    <t>Biochemistry &amp; Molecular Biology; Cell Biology</t>
  </si>
  <si>
    <t>117VD</t>
  </si>
  <si>
    <t>WOS:000316980300009</t>
  </si>
  <si>
    <t>Acevedo, J; Haro, D; Dalla Rosa, L; Aguayo-Lobo, A; Hucke-Gaete, R; Secchi, E; Plana, J; Pastene, LA</t>
  </si>
  <si>
    <t>Acevedo, J.; Haro, D.; Dalla Rosa, L.; Aguayo-Lobo, A.; Hucke-Gaete, R.; Secchi, E.; Plana, J.; Pastene, L. A.</t>
  </si>
  <si>
    <t>Evidence of spatial structuring of eastern South Pacific humpback whale feeding grounds</t>
  </si>
  <si>
    <t>ENDANGERED SPECIES RESEARCH</t>
  </si>
  <si>
    <t>MEGAPTERA-NOVAEANGLIAE BOROWSKI; FLUKE PIGMENTATION</t>
  </si>
  <si>
    <t>The eastern South Pacific humpback whale population winters primarily off Colombia and Ecuador, extending northward to the coasts of Panama and Costa Rica. It migrates south to the Fueguian Archipelago and Antarctic Peninsula waters for feeding during the austral summer. In recent years, however, humpback whales have also been observed feeding in the Corcovado Gulf, in the northern Chilean Patagonian channels, during the austral summer and fall. We examine photographically identified humpback whales in order to determine interchange or isolation of these aggregations. The apparent absence of movements of identified humpback whales among the 3 summering areas, and the differences in the proportion of white/black coloration on the fluke, suggest that each locality corresponds to a discrete feeding area for eastern South Pacific humpback whales.</t>
  </si>
  <si>
    <t>Acevedo, J (corresponding author), Fdn CEQUA, Ctr Estudios Cuaternario Fuego Patagonia &amp; Antart, 21 Mayo 1690,Casilla 727, Punta Arenas, Chile.</t>
  </si>
  <si>
    <t>jorge.acevedo@cequa.cl</t>
  </si>
  <si>
    <t>Acevedo, Jorge/AAV-3574-2020; Secchi, Eduardo/D-5038-2013; Secchi, Eduardo R./ABF-1191-2020; Rosa, Luciano Dalla/D-5660-2012; Haro, Daniela/AAO-5242-2020</t>
  </si>
  <si>
    <t>Secchi, Eduardo/0000-0001-9087-9909; Secchi, Eduardo R./0000-0001-9087-9909; Rosa, Luciano Dalla/0000-0002-1583-6471; Haro, Daniela/0000-0002-9391-1262; Hucke-Gaete, Rodrigo/0000-0003-3515-9145</t>
  </si>
  <si>
    <t>1863-5407</t>
  </si>
  <si>
    <t>1613-4796</t>
  </si>
  <si>
    <t>ENDANGER SPECIES RES</t>
  </si>
  <si>
    <t>Endanger. Species Res.</t>
  </si>
  <si>
    <t>10.3354/esr00536</t>
  </si>
  <si>
    <t>Biodiversity Conservation</t>
  </si>
  <si>
    <t>Biodiversity &amp; Conservation</t>
  </si>
  <si>
    <t>247WP</t>
  </si>
  <si>
    <t>WOS:000326654200004</t>
  </si>
  <si>
    <t>Emnet, P; Kookana, RS; Shareef, A; Gaw, S; Williams, M; Crittenden, D; Northcott, GL</t>
  </si>
  <si>
    <t>Emnet, Philipp; Kookana, Rai S.; Shareef, Ali; Gaw, Sally; Williams, Mike; Crittenden, Deborah; Northcott, Grant L.</t>
  </si>
  <si>
    <t>The effect of irradiance and temperature on the role of photolysis in the removal of organic micropollutants under Antarctic conditions</t>
  </si>
  <si>
    <t>ENVIRONMENTAL CHEMISTRY</t>
  </si>
  <si>
    <t>SOLAR UV-IRRADIATION; WIDELY USED BIOCIDE; AQUEOUS-SOLUTION; WASTE-WATER; FIELD-MEASUREMENTS; SURFACE WATERS; SEA-ICE; MCMURDO STATION; NATURAL-WATERS; TRICLOSAN</t>
  </si>
  <si>
    <t>Knowledge of the environmental fate of organic micropollutants in Antarctica is limited, especially with respect to photolysis. The Antarctic is characterised by extreme light conditions of either continuous sunshine or darkness depending on the season. The photolytic degradation of benzophenone-3 (BP-3), bisphenol A (BPA), 17 alpha-ethinylestradiol (EE2), methyl paraben (mParaben), 4-t-octylphenol (4-t-OP) and triclosan in MilliQ and seawater was investigated over a range of irradiance levels and temperatures. Photodegradation was compound specific. Up to 20% of BPA, BP-3 and EE2 was degraded over a 7-h irradiance period. Triclosan and 4-t-OP degraded to below the limit of detection in all experiments whereas mParaben was not degraded. The degradation of triclosan increased with irradiance in both MilliQ (P = 2.2 x 10(-16)) and seawater (P-2.2 x 10(-16)). The degradation of 4-t-OP increased with irradiance in MilliQ (P = 8.5 x 10(-9)) and seawater (P = 1.1 x 10(-5)), and with temperature in MilliQ (P = 8.5 x 10(-9)) and seawater (P = 1.0 x 10(-5)). Similar relationships could not be established for BPA, BP-3, EE2 and mParaben due to the limited extent of degradation observed. The photolysis of triclosan was enhanced 4-fold in seawater compared to MilliQ water. Results from this study indicate that micropollutants may persist for extended periods of time in Antarctic coastal waters, particularly with ice cover, above and beyond that exhibited in temperate seawater.</t>
  </si>
  <si>
    <t>[Emnet, Philipp; Gaw, Sally; Crittenden, Deborah] Univ Canterbury, Dept Chem, Christchurch 8140, New Zealand; [Kookana, Rai S.; Shareef, Ali; Williams, Mike] CSIRO Water Hlth Country Flagship, Glen Osmond, SA 5064, Australia; [Northcott, Grant L.] Northcott Res Consultants Ltd, Hamilton 3200, New Zealand</t>
  </si>
  <si>
    <t>University of Canterbury; Commonwealth Scientific &amp; Industrial Research Organisation (CSIRO)</t>
  </si>
  <si>
    <t>Gaw, S (corresponding author), Univ Canterbury, Dept Chem, Christchurch 8140, New Zealand.</t>
  </si>
  <si>
    <t>sally.gaw@canterbury.ac.nz</t>
  </si>
  <si>
    <t>Williams, Mike/I-1724-2013; Kookana, Rai/AAV-3563-2021; Kookana, Rai S/A-5170-2012; Crittenden, Deborah L/H-5173-2011</t>
  </si>
  <si>
    <t>Kookana, Rai/0000-0002-0477-3284; Kookana, Rai S/0000-0002-0477-3284; Crittenden, Deborah/0000-0002-6740-0477</t>
  </si>
  <si>
    <t>The authors thank CSIRO for providing the facilities for this study, and Elena Moltchanova from the University of Canterbury for assistance with statistical analysis. The authors also acknowledge the University of Canterbury for providing financial support for this project following the February 2011 earthquake disaster.</t>
  </si>
  <si>
    <t>1448-2517</t>
  </si>
  <si>
    <t>1449-8979</t>
  </si>
  <si>
    <t>ENVIRON CHEM</t>
  </si>
  <si>
    <t>Environ. Chem.</t>
  </si>
  <si>
    <t>10.1071/EN12089</t>
  </si>
  <si>
    <t>Chemistry, Analytical; Environmental Sciences</t>
  </si>
  <si>
    <t>302GQ</t>
  </si>
  <si>
    <t>WOS:000330591300007</t>
  </si>
  <si>
    <t>Zhang, XM; Meyer, T; Muir, DCG; Teixeira, C; Wang, XW; Wania, F</t>
  </si>
  <si>
    <t>Zhang, Xianming; Meyer, Torsten; Muir, Derek C. G.; Teixeira, Camilla; Wang, Xiaowa; Wania, Frank</t>
  </si>
  <si>
    <t>Atmospheric deposition of current use pesticides in the Arctic: Snow core records from the Devon Island Ice Cap, Nunavut, Canada</t>
  </si>
  <si>
    <t>ENVIRONMENTAL SCIENCE-PROCESSES &amp; IMPACTS</t>
  </si>
  <si>
    <t>POLYCYCLIC AROMATIC-HYDROCARBONS; SEMIVOLATILE ORGANIC-COMPOUNDS; ORGANOCHLORINE PESTICIDES; ELLESMERE-ISLAND; ANTARCTIC SNOW; POLYCHLORINATED-BIPHENYLS; CONTAMINANT RELEASE; WET DEPOSITION; TRANSPORT; AIR</t>
  </si>
  <si>
    <t>Current use pesticides (CUPs) have been detected in the Arctic, even though there are no direct sources and their long range atmospheric transport potential is generally lower than that of legacy pesticides. Data on the deposition of CUPs in the Arctic are required to assess the impact of their global usage and emission. In this study, selected CUPs were measured in the layers of a snow pit sampled on the Devon Ice Cap, Nunavut, Canada. The oldest sampled layers correspond to deposition from the early 1990s. Dacthal and endosulfan sulfate were most frequently detected, with peak deposition fluxes of 1.0 and 0.4 pg cm(-2) per year. While endosulfan sulfate was more abundant than its parent compounds in most years, endosulfan (sum of a and beta isomers) was predominant in 2003 and 2006, which together with air mass backward trajectories suggests a possible origin from ongoing use in Eurasia. The interannual variation in CUP deposition fluxes could not be explained with annual variations in the extent of air mass origin over agricultural lands, suggesting that other factors, such as the interannual variation in pesticide use, play a role in affecting the long range transport of CUPs to the Arctic. The very high variability in the concentrations of CUPs in the horizontal layers of Arctic ice caps is most plausibly explained by the highly episodic nature of long range atmospheric transport and deposition. While this strong influence of rare events limits the suitability of ice caps as reliable records of historical trends in Arctic contaminant deposition with annual resolution, the presence of concentration peaks in the ice record is proof of the possibility of such transport and deposition.</t>
  </si>
  <si>
    <t>[Muir, Derek C. G.; Teixeira, Camilla; Wang, Xiaowa] Univ Toronto Scarborough, Dept Phys &amp; Environm Sci, Toronto, ON M1C 1A4, Canada</t>
  </si>
  <si>
    <t>University of Toronto; University Toronto Scarborough</t>
  </si>
  <si>
    <t>Muir, DCG (corresponding author), Environm Canada, Aquat Contaminants Res Div, Burlington, ON L7R 4A6, Canada.</t>
  </si>
  <si>
    <t>derek.muir@ec.gc.ca</t>
  </si>
  <si>
    <t>Wania, Frank/J-2532-2012; Muir, Derek/AAD-7526-2021; Wania, Frank/JAX-3216-2023; Zhang, Xianming/A-2926-2010</t>
  </si>
  <si>
    <t>Wania, Frank/0000-0003-3836-0901; Wania, Frank/0000-0003-3836-0901; Muir, Derek/0000-0001-6631-9776; Zhang, Xianming/0000-0002-5301-7899</t>
  </si>
  <si>
    <t>Northern Contaminants Program, Aboriginal Affairs and Northern Development Canada; Environment Canada's Chemicals Management Plan; Ontario Postdoctoral Fellowship</t>
  </si>
  <si>
    <t>We thank Dan Walsh (Environment Canada, Burlington ON) for organizing and conducting the ice cap sampling. We thank Alex Gardner for providing the Devon Ice Cap mass balance dataset. Funding (to DCGM) was provided by the Northern Contaminants Program, Aboriginal Affairs and Northern Development Canada and by Environment Canada's Chemicals Management Plan. XZ acknowledges the support by an Ontario Postdoctoral Fellowship.</t>
  </si>
  <si>
    <t>2050-7887</t>
  </si>
  <si>
    <t>2050-7895</t>
  </si>
  <si>
    <t>ENVIRON SCI-PROC IMP</t>
  </si>
  <si>
    <t>Environ. Sci.-Process Impacts</t>
  </si>
  <si>
    <t>10.1039/c3em00433c</t>
  </si>
  <si>
    <t>259BB</t>
  </si>
  <si>
    <t>WOS:000327501300016</t>
  </si>
  <si>
    <t>Teasdale, SE; Beulke, AK; Guy, PL; Orlovich, DA</t>
  </si>
  <si>
    <t>Teasdale, Suliana E.; Beulke, Anne K.; Guy, Paul L.; Orlovich, David A.</t>
  </si>
  <si>
    <t>Environmental barcoding of the ectomycorrhizal fungal genus Cortinarius</t>
  </si>
  <si>
    <t>FUNGAL DIVERSITY</t>
  </si>
  <si>
    <t>Cortinarius; Internal transcribed spacer region; Ectomycorrhizal ecology; Environmental DNA; Barcoding; Taxon-specific primers</t>
  </si>
  <si>
    <t>INTERNAL TRANSCRIBED SPACER; MYCORRHIZAL FUNGI; RADIATA PINE; NEW-ZEALAND; COMMUNITIES; AGARICALES; DIVERSITY; CHECKLIST; RDNA; COMBINATIONS</t>
  </si>
  <si>
    <t>Understanding the role of ectomycorrhizal fungi in plant communities is hampered by a lack of knowledge about fungal diversity. DNA barcoding of the ectomycorrhizal fungal genus Cortinarius was used to compare fungal diversity in soil from four plant communities: (i) Nothofagus forest (where Cortinarius is common and diverse), (ii) Kunzea forest (where Cortinarius is present but with low diversity), (iii) a Pinus radiata plantation (Cortinarius is not thought to be present) and (iv) a sub-Antarctic island (where known ectomycorrhizal hosts are absent). PCR primers specific for the ITS region of Cortinarius species were developed. Specificity was tested in vitro and in silico against DNA from basidiocarps of Cortinarius and non-Cortinarius species. The primers were tested for their ability to amplify Cortinarius DNA in soil from forests of the three ectomycorrhizal forest communities and a range of soils from the ectomycorrhiza-free subantarctic Campbell Island. High diversity of Cortinarius was associated with soil of all three ectomycorrhizal communities, despite Cortinarius being previously unrecorded from Pinus. Soil from all three communities share some ectomycorrhizal fungi (including fungi shared between native and exotic hosts), having implications for community succession, introduction of exotic fungi and biodiversity assessment. No Cortinarius was detected from Campbell Island samples. The validated molecular protocol assessed species diversity in a rapid and cost effective way. Baseline biodiversity assessment based on DNA barcoding is more effective at detecting diversity than traditional methods, but requires careful consideration of the difference between ectomycorrhizal fungal diversity in soil versus root-tips.</t>
  </si>
  <si>
    <t>[Teasdale, Suliana E.; Beulke, Anne K.; Guy, Paul L.; Orlovich, David A.] Univ Otago, Dept Bot, Dunedin 9054, New Zealand</t>
  </si>
  <si>
    <t>Orlovich, DA (corresponding author), Univ Otago, Dept Bot, POB 56, Dunedin 9054, New Zealand.</t>
  </si>
  <si>
    <t>david.orlovich@otago.ac.nz</t>
  </si>
  <si>
    <t>Guy, Paul Leslie/J-9966-2019; Orlovich, David Allan/L-8581-2013</t>
  </si>
  <si>
    <t>Guy, Paul Leslie/0000-0002-0469-4826; Orlovich, David Allan/0000-0002-9266-2188; Beulke, Anne/0000-0001-8754-7217; Teasdale, Suliana/0000-0003-1821-0244</t>
  </si>
  <si>
    <t>University of Otago; University of Otago Pacific Island Masters Scholarship</t>
  </si>
  <si>
    <t>We thank Shagufta Singh, Yasodha Narayanan, Michael Lucas and Vickey Tomlinson for expert technical assistance. We thank Allison and John Knight for providing access to their property and for logistical support. This research was supported through funding to DAO and PLG from the Shore Fund and Performance-Based Research Fund, University of Otago. SET is supported by a University of Otago Pacific Island Masters Scholarship.</t>
  </si>
  <si>
    <t>1560-2745</t>
  </si>
  <si>
    <t>1878-9129</t>
  </si>
  <si>
    <t>FUNGAL DIVERS</t>
  </si>
  <si>
    <t>Fungal Divers.</t>
  </si>
  <si>
    <t>10.1007/s13225-012-0218-1</t>
  </si>
  <si>
    <t>Mycology</t>
  </si>
  <si>
    <t>068KZ</t>
  </si>
  <si>
    <t>WOS:000313366900019</t>
  </si>
  <si>
    <t>Méndez, M; Rozzi, R; Cavieres, L</t>
  </si>
  <si>
    <t>Mendez, Manuela; Rozzi, Ricardo; Cavieres, Lohengrin</t>
  </si>
  <si>
    <t>Vascular plants and mosses flora in the high Andean area of Navarino Island (55°S), Cape Horn Biosphere Reserve, Chile</t>
  </si>
  <si>
    <t>GAYANA BOTANICA</t>
  </si>
  <si>
    <t>High-Andes; positive associations; mosses; sub-Antarctic</t>
  </si>
  <si>
    <t>SPECIES RICHNESS; PATAGONIAN ANDES; VEGETATION; BRYOPHYTES; BIODIVERSITY; ASSOCIATIONS; CONSERVATION; COMMUNITIES; PATTERNS; AMERICA</t>
  </si>
  <si>
    <t>This study was done in Cerro Bandera, Puerto. Williams (55 degrees S) Chile. Vascular plants and mosses of the study area were identified. The distribution patterns of the vascular plants and mosses among a northern and southern slope and among microhabitats were assessed. A total of 52 species were identified, of which 34 were mosses and 18 were vascular plants. Also the microhabitats preferences were very different between mosses and vascular plants.</t>
  </si>
  <si>
    <t>[Mendez, Manuela; Cavieres, Lohengrin] Univ Concepcion, Dept Bot, Concepcion, Chile; [Rozzi, Ricardo] Univ N Texas, Dept Philosophy &amp; Relig Studies, Denton, TX 76203 USA</t>
  </si>
  <si>
    <t>Universidad de Concepcion; University of North Texas System; University of North Texas Denton</t>
  </si>
  <si>
    <t>Méndez, M (corresponding author), Univ Concepcion, Dept Bot, Barrio Univ S-N,Casilla 160-C, Concepcion, Chile.</t>
  </si>
  <si>
    <t>manuelamendez@udec.cl</t>
  </si>
  <si>
    <t>Rozzi, Ricardo/G-1047-2012; Cavieres, Lohengrin A./A-9542-2010</t>
  </si>
  <si>
    <t>Rozzi, Ricardo/0000-0001-5265-8726; Cavieres, Lohengrin A./0000-0001-9122-3020; Mendez-Herranz, Manuela/0000-0001-6549-8098</t>
  </si>
  <si>
    <t>0717-6643</t>
  </si>
  <si>
    <t>GAYANA BOT</t>
  </si>
  <si>
    <t>Gayana Bot.</t>
  </si>
  <si>
    <t>285FE</t>
  </si>
  <si>
    <t>WOS:000329378300011</t>
  </si>
  <si>
    <t>Dmitriev, V; Fedorova, I</t>
  </si>
  <si>
    <t>SGEM</t>
  </si>
  <si>
    <t>Dmitriev, Viktor; Fedorova, Irina</t>
  </si>
  <si>
    <t>ARCTIC CLIMATE AS A FACTOR OF ECOLOGICAL RISK</t>
  </si>
  <si>
    <t>GEOCONFERENCE ON ECOLOGY, ECONOMICS, EDUCATION AND LEGISLATION, SGEM 2013, VOL I</t>
  </si>
  <si>
    <t>International Multidisciplinary Scientific GeoConference-SGEM</t>
  </si>
  <si>
    <t>13th International Multidisciplinary Scientific Geoconference, SGEM 2013</t>
  </si>
  <si>
    <t>JUN 16-22, 2013</t>
  </si>
  <si>
    <t>Albena, BULGARIA</t>
  </si>
  <si>
    <t>Arctic; risk; ecology; climate change; hydrometeorology</t>
  </si>
  <si>
    <t>POLAR BEARS</t>
  </si>
  <si>
    <t>Ecological safety could not be considered without environment state and tendency of hydrometeorological conditions as a factor of ecological risk. Arctic is a part of a global climatic system where nature and specified by anthropogenic impact fluctuation of climatic parameters are strong leaning as a result of inter latitudinal adventive exchange, internal relationships between arctic climate system components and global changes. Different impact to hydrometeorlogial parameters as well as anthropogenic effect influence to ecosystems of coastal zones including health and live of indigenous people. Main parameters for estimation of ecological risk in Russian Arctic are presented in this report.</t>
  </si>
  <si>
    <t>[Dmitriev, Viktor; Fedorova, Irina] Arctic &amp; Antarctic Res Inst, St Petersburg, Russia</t>
  </si>
  <si>
    <t>Arctic &amp; Antarctic Research Institute</t>
  </si>
  <si>
    <t>Dmitriev, V (corresponding author), Arctic &amp; Antarctic Res Inst, St Petersburg, Russia.</t>
  </si>
  <si>
    <t>Fedorova, Irina/N-3436-2013</t>
  </si>
  <si>
    <t>Fedorova, Irina/0000-0001-5370-427X</t>
  </si>
  <si>
    <t>STEF92 TECHNOLOGY LTD</t>
  </si>
  <si>
    <t>1 ANDREY LYAPCHEV BLVD, SOFIA, 1797, BULGARIA</t>
  </si>
  <si>
    <t>1314-2704</t>
  </si>
  <si>
    <t>978-619-7105-04-9</t>
  </si>
  <si>
    <t>INT MULTI SCI GEOCO</t>
  </si>
  <si>
    <t>Ecology; Environmental Sciences; Geosciences, Multidisciplinary</t>
  </si>
  <si>
    <t>BC0IQ</t>
  </si>
  <si>
    <t>WOS:000349062300013</t>
  </si>
  <si>
    <t>Zhao, Y; An, JC</t>
  </si>
  <si>
    <t>Zhao Ying; An Jiachun</t>
  </si>
  <si>
    <t>Temporal distribution characteristics of GNSS ionospheric occultation data and its effects in earthquake-ionosphere anomaly detection</t>
  </si>
  <si>
    <t>GNSS; radio occultation; ionosphere; temporal distribution characteristics; earthquake</t>
  </si>
  <si>
    <t>The temporal distribution characteristics of COSMIC occultation data are analyzed in detail, and the limitations in earthquake-ionosphere anomaly detection caused by the temporal distribution characteristics of COSMIC occultation data are discussed using the example of the Wenchuan earthquake. The results demonstrate that there is no fixed temporal resolution for COSMIC occultation data when compared with other ionospheric observation techniques. Therefore, occultation data cannot currently be independently utilized in research studies but can only be used as a complement to other ionospheric observation techniques for applications with high temporal resolution demands. such as earthquake-ionosphere anomaly detection.</t>
  </si>
  <si>
    <t>[Zhao Ying] China Earthquake Adm, Inst Seismol, Key Lab Earthquake Geodesy, Wuhan 430071, Hubei, Peoples R China; [An Jiachun] Wuhan Univ, Chinese Antarct Ctr Surveying &amp; Mapping, Wuhan 430079, Hubei, Peoples R China</t>
  </si>
  <si>
    <t>China Earthquake Administration; Wuhan University</t>
  </si>
  <si>
    <t>An, JC (corresponding author), Wuhan Univ, Chinese Antarct Ctr Surveying &amp; Mapping, Wuhan 430079, Hubei, Peoples R China.</t>
  </si>
  <si>
    <t>jcan@whu.edu.cn</t>
  </si>
  <si>
    <t>An, Jiachun/ABG-4275-2020</t>
  </si>
  <si>
    <t>National Science Foundation of China [41174029, 41204028]; Chinese Arctic and Antarctic Administration [20110205]; Fundamental Research Funds for the Central Universities [121001]</t>
  </si>
  <si>
    <t>National Science Foundation of China(National Natural Science Foundation of China (NSFC)); Chinese Arctic and Antarctic Administration; Fundamental Research Funds for the Central Universities(Fundamental Research Funds for the Central Universities)</t>
  </si>
  <si>
    <t>This study is supported by the National Science Foundation of China (41174029. 41204028). Chinese Arctic and Antarctic Administration (20110205). and the Fundamental Research Funds for the Central Universities (121001).</t>
  </si>
  <si>
    <t>10.3724/SP.J.1246.2013.04040</t>
  </si>
  <si>
    <t>V7H4G</t>
  </si>
  <si>
    <t>WOS:000420962500005</t>
  </si>
  <si>
    <t>Khachikyan, GY; Zhakupov, NS; Kadyrkhanova, NZ</t>
  </si>
  <si>
    <t>Khachikyan, G. Ya.; Zhakupov, N. S.; Kadyrkhanova, N. Zh.</t>
  </si>
  <si>
    <t>GEOMAGNETIC CONJUGACY OF MODERN TECTONIC STRUCTURES</t>
  </si>
  <si>
    <t>GEODYNAMICS &amp; TECTONOPHYSICS</t>
  </si>
  <si>
    <t>Russian</t>
  </si>
  <si>
    <t>tectonic structures; geomagnetic conjugacy</t>
  </si>
  <si>
    <t>An earthquake is an element of the global electric circuit (GEC) - this new idea suggested in the space age is tested in our study. In the frame of the GEC concept, one may expect that tectonic structures of the northern and southern hemispheres may be magnetically conjugated. It is found that the midocean ridges of the southern hemisphere, located along the boundary of the Antarctic lithosphere plate, are magnetically conjugated with the areas of the junction of continental orogens and platforms in the northern hemisphere. The closest geomagnetic conjugacy exists between the southern boundary of Nazca lithospheric plate and the northern boundaries of Cocos and Caribbean lithospheric plates.</t>
  </si>
  <si>
    <t>[Khachikyan, G. Ya.] Natl Space Agcy Kazakhstan, LLC Inst Ionosphere, JSC Natl Ctr Space Res &amp; Technol, Alma Ata 050020, Kazakhstan; [Zhakupov, N. S.; Kadyrkhanova, N. Zh.] Minist Educ &amp; Sci Kazakhstan, LLC Inst Seismol, JSC Natl Sci &amp; Technol Holding PARASAT, Alma Ata 050060, Kazakhstan</t>
  </si>
  <si>
    <t>Khachikyan, GY (corresponding author), Natl Space Agcy Kazakhstan, LLC Inst Ionosphere, JSC Natl Ctr Space Res &amp; Technol, Alma Ata 050020, Kazakhstan.</t>
  </si>
  <si>
    <t>galina.khachikyan@gmail.com; NZ@mail.ru; NZ@mail.ru</t>
  </si>
  <si>
    <t>RUSSIAN ACAD SCIENCES, SIBERIAN BRANCH, INST EARTHS CRUST</t>
  </si>
  <si>
    <t>IRKUTSK</t>
  </si>
  <si>
    <t>UL LERMONTOVA 128, IRKUTSK, 664033, RUSSIA</t>
  </si>
  <si>
    <t>2078-502X</t>
  </si>
  <si>
    <t>GEODYN TECTONOPHYS</t>
  </si>
  <si>
    <t>Geeodyn. Tectonophys.</t>
  </si>
  <si>
    <t>10.5800/GT-2013-4-2-0097</t>
  </si>
  <si>
    <t>VA2AX</t>
  </si>
  <si>
    <t>WOS:000409710700005</t>
  </si>
  <si>
    <t>Bakhmutov, VG; Gladkochub, DP; Shpyra, VV</t>
  </si>
  <si>
    <t>Bakhmutov, V. G.; Gladkochub, D. P.; Shpyra, V. V.</t>
  </si>
  <si>
    <t>Age position, geodynamic specifics and paleomagnetism of intrusive complexes of the western coast of the Antarctic Peninsula</t>
  </si>
  <si>
    <t>GEOFIZICHESKIY ZHURNAL-GEOPHYSICAL JOURNAL</t>
  </si>
  <si>
    <t>New paleomagnetic and geochronological results on late Cretaceous Paleogene intrusive and effusive complexes of the western part of the Antarctic Peninsula have been obtained. New isotopic dating fills regularly the temporal gap from 96 to 61 Ma demonstrating uninterrupted character of development of considered active margin from the phase of its origination to its collapse. For the most part of analyzed rocks from early associations of the Andian complex (9688 Ma) subductively-enriched lithospheric source can be definitely detected. For younger early Cenozoic products (about 60 Ma) a heterogeneous source, which appeared as a result of mixing of subductive and enriched asthenospheric components has been noticed. For uneven -aged groups of rocks the components of primary magnetization with directions being in a good agreement between them have been subdivided. Intrusive rocks along the western coast of the Antarctic Peninsula by both their age valuations and paleomagnetic estimations refer to the Cretaceous superchrone of normal polarity, while the rocks forming insular archipelagoes date back to Paleocene. New paleomagnetic poles for the late Cretaceous (for 112 and 85 Ma) and Paleocene (60 Ma) have been determined. The results provide evidence for the absence of considerable (within the limits of paleomagnetic method accuracy) displacements of the block of the Antarctic Peninsula from the East Antarctica during the last 100 Ma. It confirms the hypothesis that the opening of the Drake Straight in Oligocene occurred at the expense of the northward drift of the South America as to relatively stabile by its location Antarctic craton. Paleomagnetic results confirm the possibility of significant displacement of the South Shetland islands relative to the block of the Antarctic Peninsula in Paleogene Eocene.</t>
  </si>
  <si>
    <t>[Bakhmutov, V. G.; Shpyra, V. V.] Natl Acad Sci Ukraine, Inst Geophys, Kiev, Ukraine; [Gladkochub, D. P.] RAS, SB, Earths Crust Inst, Irkutsk, Russia</t>
  </si>
  <si>
    <t>National Academy of Sciences Ukraine; Subbotin Institute of Geophysics, National Academy of Sciences of Ukraine; Russian Academy of Sciences</t>
  </si>
  <si>
    <t>Bakhmutov, VG (corresponding author), Natl Acad Sci Ukraine, Inst Geophys, Kiev, Ukraine.</t>
  </si>
  <si>
    <t>Volodymyr, Bakhmutov/A-8508-2019</t>
  </si>
  <si>
    <t>Shpyra, Viktor/0000-0002-6665-1784</t>
  </si>
  <si>
    <t>S I SUBBOTIN INST GEOPHYSICS NATL ACAD</t>
  </si>
  <si>
    <t>KIEV</t>
  </si>
  <si>
    <t>PR PALLADINA 32, KIEV, 252142, UKRAINE</t>
  </si>
  <si>
    <t>0203-3100</t>
  </si>
  <si>
    <t>2524-1052</t>
  </si>
  <si>
    <t>GEOFIZ ZHURNAL</t>
  </si>
  <si>
    <t>Geofiz. Zhurnal</t>
  </si>
  <si>
    <t>VE5RK</t>
  </si>
  <si>
    <t>WOS:000439632100001</t>
  </si>
  <si>
    <t>Starostenko, VI; Isichenko, EP</t>
  </si>
  <si>
    <t>Starostenko, V. I.; Isichenko, E. P.</t>
  </si>
  <si>
    <t>Institute of Geophysics of the National Academy of Sciences of Ukraine at the beginning of the XXI century: results of fundamental and applied research</t>
  </si>
  <si>
    <t>DNIEPER-DONETS BASIN; P-VELOCITY MODEL; EAST EUROPEAN PLATFORM; STRESS-STRAIN STATE; BLACK-SEA; EARTHS CRUST; UPPER-MANTLE; ELECTRICAL-CONDUCTIVITY; NORTHWESTERN PART; GEOMAGNETIC-FIELD</t>
  </si>
  <si>
    <t>The results of the main theoretical and experimental research carried out in the NAS of Ukraine in Institute of Geophysics and its departments - Carpathian Department (Lviv) and Poltava Gravimetric Observatory (Poltava) are given. These results were obtained within the framework of fulfillment of the scientific areas defined according to the NAS of Ukraine departmental issues in the years 2001-2013. The material is provided in the form of annotation summarizing scientific works published during this period in periodic national and international journals, monographs and materials of international scientific conferences on important issues of geological and geophysical sciences. The research geography has not been limited by the territory of Ukraine and includes many regions of the world (including the West Antarctic) with an aim of comparison of tectonic and geologic evolution of individual structures in Ukraine with the structures of other regions, which is an important part of the development of a strategy for mineral prospecting.</t>
  </si>
  <si>
    <t>[Starostenko, V. I.; Isichenko, E. P.] NAS Ukraine, Inst Geophys, Kiev, Ukraine</t>
  </si>
  <si>
    <t>National Academy of Sciences Ukraine; Subbotin Institute of Geophysics, National Academy of Sciences of Ukraine</t>
  </si>
  <si>
    <t>Starostenko, VI (corresponding author), NAS Ukraine, Inst Geophys, Kiev, Ukraine.</t>
  </si>
  <si>
    <t>Starostenko, Vitaly/S-2250-2019</t>
  </si>
  <si>
    <t>Starostenko, Vitaly/0000-0002-7960-0011</t>
  </si>
  <si>
    <t>VE5RS</t>
  </si>
  <si>
    <t>WOS:000439634300001</t>
  </si>
  <si>
    <t>Hillenbrand, CD; Kuhn, G; Smith, JA; Gohl, K; Graham, AGC; Larter, RD; Klages, JP; Downey, R; Moreton, SG; Forwick, M; Vaughan, DG</t>
  </si>
  <si>
    <t>Hillenbrand, Claus-Dieter; Kuhn, Gerhard; Smith, James A.; Gohl, Karsten; Graham, Alastair G. C.; Larter, Robert D.; Klages, Johann P.; Downey, Rachel; Moreton, Steven G.; Forwick, Matthias; Vaughan, David G.</t>
  </si>
  <si>
    <t>Grounding-line retreat of the West Antarctic Ice Sheet from inner Pine Island Bay</t>
  </si>
  <si>
    <t>LAST GLACIAL MAXIMUM; STABILITY; HISTORY; BENEATH; SEA</t>
  </si>
  <si>
    <t>Ice loss from the marine-based, potentially unstable West Antarctic Ice Sheet (WAIS) contributes to current sea-level rise and may raise sea level by &lt;= 3.3 m or even &lt;= 5 m in the future. Over the past few decades, glaciers draining the WAIS into the Amundsen Sea Embayment (ASE) have shown accelerated ice flow, rapid thinning, and fast retreat of the grounding line (GL). However, the long-term context of this ice loss is poorly constrained, limiting our ability to accurately predict future WAIS behavior. Here we present a new chronology for WAIS retreat from the inner continental shelf of the eastern ASE, based on radiocarbon dates from three marine sediment cores. The ages document a retreat of the GL to within similar to 100 km of its modern position before ca. 10,000 calibrated (cal.) yr B.P. This early deglaciation is consistent with ages for GL retreat from the western ASE. Our new data demonstrate that, in contrast to the Ross Sea, WAIS retreat from the ASE shelf was largely complete by the start of the Holocene. Our results further suggest either slow GL retreat from the inner ASE shelf throughout the Holocene, or that any episodes of fast GL retreat must have been short-lived. Thus, today's rapid retreat may be exceptional during the Holocene and may originate in recent changes in regional climate, ocean circulation, or ice-sheet dynamics.</t>
  </si>
  <si>
    <t>[Hillenbrand, Claus-Dieter; Smith, James A.; Graham, Alastair G. C.; Larter, Robert D.; Downey, Rachel; Vaughan, David G.] British Antarctic Survey, Nat Environm Res Council, Cambridge CB3 0ET, England; [Kuhn, Gerhard; Gohl, Karsten; Klages, Johann P.] Helmholtz Assoc, Alfred Wegener Inst Polar &amp; Marine Res AWI, D-27568 Bremerhaven, Germany; [Moreton, Steven G.] NERC Radiocarbon Lab Environm, E Kilbride G75 0QF, Lanark, Scotland; [Forwick, Matthias] Univ Tromso, Dept Geol, N-9037 Tromso, Norway</t>
  </si>
  <si>
    <t>UK Research &amp; Innovation (UKRI); Natural Environment Research Council (NERC); NERC British Antarctic Survey; Helmholtz Association; Alfred Wegener Institute, Helmholtz Centre for Polar &amp; Marine Research; UiT The Arctic University of Tromso</t>
  </si>
  <si>
    <t>Hillenbrand, CD (corresponding author), British Antarctic Survey, Nat Environm Res Council, Madingley Rd, Cambridge CB3 0ET, England.</t>
  </si>
  <si>
    <t>hilc@bas.ac.uk</t>
  </si>
  <si>
    <t>Moreton, Steven G/C-2373-2009; Downey, Rachel/Q-4156-2019; Smith, James A/N-1836-2013; Vaughan, David/C-8348-2011</t>
  </si>
  <si>
    <t>Moreton, Steven G/0000-0002-8030-2433; Forwick, Matthias/0000-0001-6153-5891; Downey, Rachel/0000-0001-9275-8879; Vaughan, David/0000-0002-9065-0570; Graham, Alastair/0000-0002-2880-2908; Kuhn, Gerhard/0000-0001-6069-7485; Gohl, Karsten/0000-0002-9558-2116; Larter, Robert/0000-0002-8414-7389; Klages, Johann Philipp/0000-0003-0968-1183</t>
  </si>
  <si>
    <t>UK Natural Environment Research Council; Alfred Wegener Institute research program Polar Regions and Coasts in a Changing Earth System; Natural Environment Research Council [NE/F000359/1, bas0100027] Funding Source: researchfish; NERC [NE/F000359/1, bas0100027] Funding Source: UKRI</t>
  </si>
  <si>
    <t>UK Natural Environment Research Council(UK Research &amp; Innovation (UKRI)Natural Environment Research Council (NERC)); Alfred Wegener Institute research program Polar Regions and Coasts in a Changing Earth System; Natural Environment Research Council(UK Research &amp; Innovation (UKRI)Natural Environment Research Council (NERC)); NERC(UK Research &amp; Innovation (UKRI)Natural Environment Research Council (NERC))</t>
  </si>
  <si>
    <t>We thank the captain and crew participating in RN Polarstern expedition ANT-XXVI/3, and H. Blagbrough, D. Baque, R. Frohlking, M. Gutjahr, P. Jernas, N. Lensch, I. MacNab, M. Seebeck, S. Wiebe, and S. Wiers for their assistance. This work was financially supported by the UK Natural Environment Research Council and the Alfred Wegener Institute research program Polar Regions and Coasts in a Changing Earth System. We thank A. Rodger, J. Johnson, and two anonymous reviewers for their constructive comments.</t>
  </si>
  <si>
    <t>10.1130/G33469.1</t>
  </si>
  <si>
    <t>063TZ</t>
  </si>
  <si>
    <t>WOS:000313026200009</t>
  </si>
  <si>
    <t>Borisova, TD; Blagoveshchenskaya, NF; Ivanova, IM; Rietveld, MT</t>
  </si>
  <si>
    <t>Borisova, T. D.; Blagoveshchenskaya, N. F.; Ivanova, I. M.; Rietveld, M. T.</t>
  </si>
  <si>
    <t>Dependence of the Pc4 magnetic pulsation parameters on the radiated power of the EISCAT HF heating facility</t>
  </si>
  <si>
    <t>GEOMAGNETISM AND AERONOMY</t>
  </si>
  <si>
    <t>ULF WAVES; F-REGION; MAGNETOSPHERE; IONOSPHERE; TROMSO; EXCITATION</t>
  </si>
  <si>
    <t>The interaction between the Earth's ionosphere and magnetosphere in a situation when artificial disturbances are generated in the F region of the auroral ionosphere with the EISCAT/Heating facility is studied. An experiment was performed in the daytime when the facility effective radiated power changed in a stepwise manner. Wavelike disturbances with periods of (130-140) s corresponding to Pc4 pulsations were simultaneously registered by the method of bi-static backscatter and with ground magnetometers. The variations in the Doppler frequency shift were correlated with the changes in the facility power. Incoherent scatter radar measurements at a frequency of 930 MHz (Tromso) and numerical calculations were used in an analysis. It has been indicated that the ionospheric drift of small-scale artificial ionospheric irregularities was modulated by magnetospheric Alfv,n waves. The possible effect of powerful HF radioemission on the Alfv,n wave amplitude owing to the modification of the magnetospheric resonator ionospheric edge reflectivity and the generation of an outgoing Alfv,n wave above the region where the ionospheric conductivity is locally intensified has been considered.</t>
  </si>
  <si>
    <t>[Borisova, T. D.; Blagoveshchenskaya, N. F.; Ivanova, I. M.] Russian Acad Sci, Arctic &amp; Antarctic Res Inst AANII, St Petersburg 199397, Russia; [Rietveld, M. T.] EISCAT Tromso Div, Tromso, Norway</t>
  </si>
  <si>
    <t>Russian Academy of Sciences; Arctic &amp; Antarctic Research Institute</t>
  </si>
  <si>
    <t>Borisova, TD (corresponding author), Russian Acad Sci, Arctic &amp; Antarctic Res Inst AANII, Ul Beringa 38, St Petersburg 199397, Russia.</t>
  </si>
  <si>
    <t>borisova@aari.nw.ru</t>
  </si>
  <si>
    <t>Blagoveshchenskaya, Nataly F./S-4342-2017; Borisova, Tatiana/AAK-7698-2020; Blagoveshchenskaya, Nataly/AAE-4093-2022</t>
  </si>
  <si>
    <t>Blagoveshchenskaya, Nataly F./0000-0003-1752-3273; Blagoveshchenskaya, Nataly/0000-0003-1752-3273; Borisova, Tatiana/0000-0003-1727-5310</t>
  </si>
  <si>
    <t>0016-7932</t>
  </si>
  <si>
    <t>1555-645X</t>
  </si>
  <si>
    <t>GEOMAGN AERONOMY+</t>
  </si>
  <si>
    <t>Geomagn. Aeron.</t>
  </si>
  <si>
    <t>10.1134/S0016793213010040</t>
  </si>
  <si>
    <t>082RK</t>
  </si>
  <si>
    <t>WOS:000314409800005</t>
  </si>
  <si>
    <t>Gagliardini, O; Zwinger, T; Gillet-Chaulet, F; Durand, G; Favier, L; de Fleurian, B; Greve, R; Malinen, M; Martín, C; Råback, P; Ruokolainen, J; Sacchettini, M; Schäfer, M; Seddik, H; Thies, J</t>
  </si>
  <si>
    <t>Gagliardini, O.; Zwinger, T.; Gillet-Chaulet, F.; Durand, G.; Favier, L.; de Fleurian, B.; Greve, R.; Malinen, M.; Martin, C.; Raback, P.; Ruokolainen, J.; Sacchettini, M.; Schafer, M.; Seddik, H.; Thies, J.</t>
  </si>
  <si>
    <t>Capabilities and performance of Elmer/Ice, a new-generation ice sheet model</t>
  </si>
  <si>
    <t>BASAL CONDITIONS; BENCHMARK EXPERIMENTS; INDUCED ANISOTROPY; POLAR ICE; FLOW; GLACIER; SENSITIVITY; RHEOLOGY; SURFACE; APPROXIMATION</t>
  </si>
  <si>
    <t>The Fourth IPCC Assessment Report concluded that ice sheet flow models, in their current state, were unable to provide accurate forecast for the increase of polar ice sheet discharge and the associated contribution to sea level rise. Since then, the glaciological community has undertaken a huge effort to develop and improve a new generation of ice flow models, and as a result a significant number of new ice sheet models have emerged. Among them is the parallel finite-element model Elmer/Ice, based on the open-source multi-physics code Elmer. It was one of the first full-Stokes models used to make projections for the evolution of the whole Greenland ice sheet for the coming two centuries. Originally developed to solve local ice flow problems of high mechanical and physical complexity, Elmer/Ice has today reached the maturity to solve larger-scale problems, earning the status of an ice sheet model. Here, we summarise almost 10 yr of development performed by different groups. Elmer/Ice solves the full-Stokes equations, for isotropic but also anisotropic ice rheology, resolves the grounding line dynamics as a contact problem, and contains various basal friction laws. Derived fields, like the age of the ice, the strain rate or stress, can also be computed. Elmer/Ice includes two recently proposed inverse methods to infer badly known parameters. Elmer is a highly parallelised code thanks to recent developments and the implementation of a block preconditioned solver for the Stokes system. In this paper, all these components are presented in detail, as well as the numerical performance of the Stokes solver and developments planned for the future.</t>
  </si>
  <si>
    <t>[Gagliardini, O.; Gillet-Chaulet, F.; Durand, G.; Favier, L.; de Fleurian, B.; Sacchettini, M.] CNRS UMR5183, UJF Grenoble, Lab Glaciol &amp; Geophys Environm, St Martin Dheres, France; [Gagliardini, O.] Inst Univ France, Paris, France; [Zwinger, T.; Malinen, M.; Raback, P.; Ruokolainen, J.] CSC IT Ctr Sci Ltd, Espoo, Finland; [Greve, R.; Seddik, H.] Hokkaido Univ, Inst Low Temp Sci, Sapporo, Hokkaido 060, Japan; [Martin, C.] British Antarctic Survey, Cambridge CB3 0ET, England; [Schafer, M.] Univ Lapland, Arctic Ctr, Rovaniemi, Finland; [Thies, J.] Uppsala Univ, Uppsala, Sweden</t>
  </si>
  <si>
    <t>Centre National de la Recherche Scientifique (CNRS); Communaute Universite Grenoble Alpes; Universite Grenoble Alpes (UGA); Institut Universitaire de France; Finnish IT center for science; Hokkaido University; UK Research &amp; Innovation (UKRI); Natural Environment Research Council (NERC); NERC British Antarctic Survey; University of Lapland; Uppsala University</t>
  </si>
  <si>
    <t>Gagliardini, O (corresponding author), CNRS UMR5183, UJF Grenoble, Lab Glaciol &amp; Geophys Environm, St Martin Dheres, France.</t>
  </si>
  <si>
    <t>olivier.gagliardini@ujf-grenoble.fr</t>
  </si>
  <si>
    <t>Gagliardini, Olivier/GQQ-1222-2022; Seddik, Hakime/F-7640-2014; Zwinger, Thomas/H-5163-2018; Greve, Ralf/G-2336-2010; Martin, Carlos/S-2778-2018; Raback, Peter/R-1696-2018</t>
  </si>
  <si>
    <t>Gagliardini, Olivier/0000-0001-9162-3518; Seddik, Hakime/0000-0002-0241-590X; favier, lionel/0000-0002-5392-3031; Zwinger, Thomas/0000-0003-3360-4401; Greve, Ralf/0000-0002-1341-4777; Durand, Gael/0000-0001-8979-2355; Martin, Carlos/0000-0002-2661-169X; de Fleurian, Basile/0000-0001-8700-9822; Raback, Peter/0000-0002-3243-6314; Thies, Jonas/0000-0001-9231-9999; Malinen, Mika/0000-0002-7168-9576</t>
  </si>
  <si>
    <t>European Union [226375]; Nordic Centre of Excellence SVALI, Stability and Variations of Arctic Land Ice; Nordic Top-level Research Initiative (TRI, SVALI) [23]; Japan Society for the Promotion of Science (JSPS) [22244058]; European Commission Capacities Area - Research Infrastructures [228398]; Natural Environment Research Council [bas0100027] Funding Source: researchfish; Grants-in-Aid for Scientific Research [22244058] Funding Source: KAKEN; NERC [bas0100027] Funding Source: UKRI</t>
  </si>
  <si>
    <t>European Union(European Union (EU)); Nordic Centre of Excellence SVALI, Stability and Variations of Arctic Land Ice; Nordic Top-level Research Initiative (TRI, SVALI); Japan Society for the Promotion of Science (JSPS)(Ministry of Education, Culture, Sports, Science and Technology, Japan (MEXT)Japan Society for the Promotion of Science); European Commission Capacities Area - Research Infrastructures;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 NERC(UK Research &amp; Innovation (UKRI)Natural Environment Research Council (NERC))</t>
  </si>
  <si>
    <t>We would like to thank both an anonymous reviewer and E. Larour for their positive and constructive comments regarding our work, which greatly improved the initial version of the manuscript. The development of Elmer/Ice was supported by various fundings, in particular the ice2sea programme from the European Union 7th Framework Programme, grant number 226375 (Ice2sea contribution number 153), and the Nordic Centre of Excellence SVALI, Stability and Variations of Arctic Land Ice, funded by the Nordic Top-level Research Initiative (TRI, SVALI contribution number 23). R. Greve and H. Seddik were supported by a Grant-in-Aid for Scientific Research A (no. 22244058) from the Japan Society for the Promotion of Science (JSPS). Computations presented in this paper were performed on the Lindgren cluster in a framework of the PRACE-DECI7 project Elmer/Ice. Visits of F. Gillet-Chaulet, L. Favier and B. de Fleurian at CSC were carried out under the HPC-Europa2 project (project number 228398) with the support of the European Commission Capacities Area - Research Infrastructures.</t>
  </si>
  <si>
    <t>10.5194/gmd-6-1299-2013</t>
  </si>
  <si>
    <t>212KE</t>
  </si>
  <si>
    <t>WOS:000323981100024</t>
  </si>
  <si>
    <t>Stenke, A; Schraner, M; Rozanov, E; Egorova, T; Luo, B; Peter, T</t>
  </si>
  <si>
    <t>Stenke, A.; Schraner, M.; Rozanov, E.; Egorova, T.; Luo, B.; Peter, T.</t>
  </si>
  <si>
    <t>The SOCOL version 3.0 chemistry-climate model: description, evaluation, and implications from an advanced transport algorithm</t>
  </si>
  <si>
    <t>QUANTITATIVE PERFORMANCE METRICS; DOPPLER-SPREAD PARAMETERIZATION; GENERAL-CIRCULATION MODEL; SEMI-LAGRANGIAN TRANSPORT; WAVE MOMENTUM DEPOSITION; MIDDLE-ATMOSPHERE; NUMERICAL FORMULATIONS; TECHNICAL NOTE; SULFURIC-ACID; WATER-VAPOR</t>
  </si>
  <si>
    <t>We present the third generation of the coupled chemistry-climate model (CCM) SOCOL (modeling tools for studies of SOlar Climate Ozone Links). The most notable modifications compared to the previous model version are (1) the dynamical core has been updated with the fifth generation of the middle-atmosphere general circulation model MA-ECHAM (European Centre/HAMburg climate model), and (2) the advection of the chemical species is now calculated by a mass-conserving and shape-preserving flux-form transport scheme instead of the previously used hybrid advection scheme. The whole chemistry code has been rewritten according to the ECHAM5 infrastructure and transferred to Fortran95. In contrast to its predecessors, SOCOLvs3 is now fully parallelized. The performance of the new SOCOL version is evaluated on the basis of transient model simulations (1975-2004) with different horizontal (T31 and T42) resolutions, following the approach of the CCMVal-1 model validation activity. The advanced advection scheme significantly reduces the artificial loss and accumulation of tracer mass in regions with strong gradients that was observed in previous model versions. Compared to its predecessors, SOCOLvs3 generally shows more realistic distributions of chemical trace species, especially of total inorganic chlorine, in terms of the mean state, but also of the annual and interannual variability. Advancements with respect to model dynamics are for example a better representation of the stratospheric mean state in spring, especially in the Southern Hemisphere, and a slowdown of the upward propagation in the tropical lower stratosphere. Despite a large number of improvements model deficiencies still remain. Examples include a too-fast vertical ascent and/or horizontal mixing in the tropical stratosphere, the cold temperature bias in the lowermost polar stratosphere, and the overestimation of polar total ozone loss during Antarctic springtime.</t>
  </si>
  <si>
    <t>[Stenke, A.; Schraner, M.; Rozanov, E.; Luo, B.; Peter, T.] Swiss Fed Inst Technol, Inst Atmospher &amp; Climate Sci, Zurich, Switzerland; [Rozanov, E.; Egorova, T.] World Radiat Ctr, Phys Meteorol Observ, Davos, Switzerland</t>
  </si>
  <si>
    <t>Stenke, A (corresponding author), Swiss Fed Inst Technol, Inst Atmospher &amp; Climate Sci, Zurich, Switzerland.</t>
  </si>
  <si>
    <t>andrea.stenke@env.ethz.ch</t>
  </si>
  <si>
    <t>Rozanov, Eugene/V-1881-2018; Peter, Thomas/B-2529-2018; Rozanov, Eugene/A-9857-2012; Egorova, Tatiana/ABB-4664-2021; Stenke, Andrea/GYJ-6299-2022</t>
  </si>
  <si>
    <t>Rozanov, Eugene/0000-0003-0479-4488; Peter, Thomas/0000-0002-7218-7156; Rozanov, Eugene/0000-0003-0479-4488; Egorova, Tatiana/0000-0001-8300-3642; Stenke, Andrea/0000-0002-5916-4013</t>
  </si>
  <si>
    <t>ETH Competence Center for Environmental Sustainability (CCES) through the project MAIOLICA; Swiss National Science Foundation (SNF) through the FuMEs project [200021_138037/1]; SNF [CRSI122-130642]; Swiss National Science Foundation (SNF) [200021_138037] Funding Source: Swiss National Science Foundation (SNF)</t>
  </si>
  <si>
    <t>ETH Competence Center for Environmental Sustainability (CCES) through the project MAIOLICA; Swiss National Science Foundation (SNF) through the FuMEs project(Swiss National Science Foundation (SNSF)); SNF; Swiss National Science Foundation (SNF)(Swiss National Science Foundation (SNSF))</t>
  </si>
  <si>
    <t>We kindly acknowledge the CCM Validation Activity CCMVal of WCRP/SPARC for providing observational datasets and the CCMVal diagnostic tool, which were partly used for the analysis of the model results. We thank Greg Bodeker (Bodeker Scientific) for providing the combined total column ozone dataset plotted in Fig. 11. We thank Fiona Tummon for her helpful comments on this manuscript. ECMWF ERA-40 and ERA-Interim data used in this study have been obtained from the ECMWF data server. This study was supported by the ETH Competence Center for Environmental Sustainability (CCES) through the project MAIOLICA and by the Swiss National Science Foundation (SNF) through the FuMEs project (grant 200021_138037/1). E. Rozanov is partially supported by the SNF under grant CRSI122-130642 (FUPSOL).</t>
  </si>
  <si>
    <t>10.5194/gmd-6-1407-2013</t>
  </si>
  <si>
    <t>WOS:000326601300002</t>
  </si>
  <si>
    <t>Bockheim, J; Vieira, G; Ramos, M; López-Martínez, J; Serrano, E; Guglielmin, M; Wilhelm, K; Nieuwendam, A</t>
  </si>
  <si>
    <t>Bockheim, J.; Vieira, G.; Ramos, M.; Lopez-Martinez, J.; Serrano, E.; Guglielmin, M.; Wilhelm, K.; Nieuwendam, A.</t>
  </si>
  <si>
    <t>Climate warming and permafrost dynamics in the Antarctic Peninsula region</t>
  </si>
  <si>
    <t>Permafrost; Active-layer; Ground surface temperature; Boreholes; Temperature gradient; Periglacial features</t>
  </si>
  <si>
    <t>SOUTH SHETLAND ISLANDS; THERMAL STATE; ACTIVE-LAYER; LIVINGSTON ISLAND; DECEPTION ISLAND; ICE; TEMPERATURE; TERRAIN; SURFACE; SOILS</t>
  </si>
  <si>
    <t>Dramatic warming of the climate over the last several decades has influenced the properties and distribution of permafrost in the Antarctic Peninsula region. Five approaches were used to estimate the distribution of permafrost in the region: (1) correlation of permafrost distribution with mean annual air temperature isotherms, (2) mapping the distribution of periglacial features indicative of permafrost, (3) summarizing data from shallow excavations and boreholes, (4) detection of permafrost from geophysical techniques, and (5) application of models to predict the occurrence of permafrost Whereas permafrost is continuous in the South Orkney Islands (60-61 degrees S) and along the eastern Antarctic Peninsula (63-65 degrees S), it is discontinuous in the South Shetland Islands (62-63 degrees S), and occurs only sporadically in the Palmer Archipelago and Biscoe Islands along the western Antarctic Peninsula (64-66 degrees S). Permafrost then becomes continuous on Alexander Island (71-74 degrees S) along the western Antarctic Peninsula as the maritime climate shifts to a more continental climate. Reports prior to 1980 mention the presence of permafrost at depths of 25 to 35 cm in ice-free areas near Palmer Station (64 degrees 46'S; 64 degrees 04'W), where the mean annual air temperature from extrapolation of data from the nearby Vernadsky Station has increased 3.4 degrees C and the mean winter temperature has increased 6 degrees C since 1950. Recent measurements suggest that permafrost is absent or dose to 0 degrees C in the upper 14 m of the highest ice-free areas (67 m a.s.l.) near Palmer Station. Permafrost temperatures elsewhere along the western Antarctic Peninsula region range from -0.4 to -1.8 degrees C in the South Shetland Islands (62-63 degrees S) to -3.1 degrees C at Adelaide Island (67 degrees 34'S). Permafrost at this temperature is susceptible to thawing, which has resulted in historic increases in active-layer thicknesses and in thermokarst features such as debris flows, and active-layer detachment slides. (C) 2012 Elsevier B.V. All rights reserved.</t>
  </si>
  <si>
    <t>[Bockheim, J.; Wilhelm, K.] Univ Wisconsin, Dept Soil Sci, Madison, WI 53706 USA; [Vieira, G.; Nieuwendam, A.] Univ Lisbon, Ctr Geog Studies, IGOT, P-1699 Lisbon, Portugal; [Ramos, M.] Univ Alcala, Dept Phys, Madrid, Spain; [Lopez-Martinez, J.] Univ Autonoma Madrid, Fac Ciencias, Dept Geol &amp; Geoquim, E-28049 Madrid, Spain; [Serrano, E.] Univ Valladolid, Dept Geog, E-47011 Valladolid, Spain; [Guglielmin, M.] Insubria Univ, Dept Theoret &amp; Appl Sci, Varese, Italy</t>
  </si>
  <si>
    <t>University of Wisconsin System; University of Wisconsin Madison; Universidade de Lisboa; Universidad de Alcala; Autonomous University of Madrid; Universidad de Valladolid; University of Insubria</t>
  </si>
  <si>
    <t>Bockheim, J (corresponding author), Univ Wisconsin, Dept Soil Sci, Madison, WI 53706 USA.</t>
  </si>
  <si>
    <t>Vieira, Goncalo/G-5958-2010; Lopez-Martinez, Jeronimo/C-5744-2011; Ramos, Miguel/K-2230-2014; SERRANO, ENRIQUE/AAH-7986-2020</t>
  </si>
  <si>
    <t>Vieira, Goncalo/0000-0001-7611-3464; Lopez-Martinez, Jeronimo/0000-0002-1750-8287; Ramos, Miguel/0000-0003-3648-6818; SERRANO, ENRIQUE/0000-0001-9760-3876; Wilhelm, Kelly/0000-0002-7117-4898</t>
  </si>
  <si>
    <t>U.S.A. National Science Foundation, Office of Polar Programs, Antarctic Sciences [OPP-0943799]; PERMANTAR-2 [PTDC/AAC-CLI/098885/2008]; Portuguese Foundation for Science and Technology; Spanish R&amp;D National Plan project [CTM2011-26372]; Directorate For Geosciences; Office of Polar Programs (OPP) [0943799] Funding Source: National Science Foundation</t>
  </si>
  <si>
    <t>U.S.A. National Science Foundation, Office of Polar Programs, Antarctic Sciences(National Science Foundation (NSF)); PERMANTAR-2; Portuguese Foundation for Science and Technology(Fundacao para a Ciencia e a Tecnologia (FCT)); Spanish R&amp;D National Plan project; Directorate For Geosciences; Office of Polar Programs (OPP)(National Science Foundation (NSF)NSF - Directorate for Geosciences (GEO))</t>
  </si>
  <si>
    <t>This research was supported by the U.S.A. National Science Foundation, Office of Polar Programs, Antarctic Sciences, grant OPP-0943799; PERMANTAR-2 (PTDC/AAC-CLI/098885/2008), Portuguese Foundation for Science and Technology; and the Spanish R&amp;D National Plan project CTM2011-26372. The authors appreciate the assistance of the staff at Palmer, Gabriel de Castilla, and St. Kliment Ohridski stations and the marine technicians and crew of the Laurence M. Gould, as well as the other national programs that provided logistic support for this research. Programa Gulbenkian Ambiente provided the drill for several of the sites.</t>
  </si>
  <si>
    <t>10.1016/j.gloplacha.2012.10.018</t>
  </si>
  <si>
    <t>WOS:000315557900019</t>
  </si>
  <si>
    <t>Bradley, SL; Siddall, M; Milne, GA; Masson-Delmotte, V; Wolff, E</t>
  </si>
  <si>
    <t>Bradley, S. L.; Siddall, M.; Milne, G. A.; Masson-Delmotte, V.; Wolff, E.</t>
  </si>
  <si>
    <t>Combining ice core records and ice sheet models to explore the evolution of the East Antarctic Ice sheet during the Last Interglacial period</t>
  </si>
  <si>
    <t>Isostasy; Ice cores; Antarctic Ice Sheet; Eustatic sea level; Last Interglacial; Ice sheet models</t>
  </si>
  <si>
    <t>POSTGLACIAL SEA-LEVEL; EPICA DOME-C; GLACIAL ISOSTATIC-ADJUSTMENT; CLIMATE VARIABILITY; GREENLAND; COLLAPSE; PALEOCLIMATE; ELEVATION; DYNAMICS; HISTORY</t>
  </si>
  <si>
    <t>This study evaluates the influence of plausible changes in East Antarctic Ice sheet (EAIS) thickness and the subsequent glacio-isostatic response as a contributor to the Antarctic warming indicated by ice core records during the Last Interglacial period (LIG). These higher temperatures have been estimated primarily using the difference in the 81) peak (on average similar to 15 parts per thousand.) in these LIG records relative to records for the Present Interglacial (PIG). Using a preliminary exploratory modelling study, it is shown that introducing a relatively moderate reduction in the amount of thickening of the EAIS over the LIG period introduces a significant increase (up to 8 parts per thousand.) in the predicted elevation-driven only 813 signal at the central Antarctic Ice sheet (AIS) ice core sites compared to the PIG. A sensitivity test in response to a large prescribed retreat of marine-based ice in the Wilkes and Aurora subglacial basins (equivalent to similar to 7 m of global mean sea-level rise) results in a distinct elevation signal that is resolvable within the ice core stable isotope records at three sites (Taylor Dome, TALDICE and EPICA Dome C). These findings have two main implications. First, EAIS elevation's only effects could account for a significant fraction of the LIG warming interpreted from ice core records. This result highlights the need for an improved estimate to be made of the uncertainty and size of this elevation-driven delta D signal which contributes to this LIG warming and that these effects need to be deconvolved prior to attempting to extract a climatic-only signal from the stable isotope data. Second, a fingerprint of significant retreat of ice in the Wilkes and Aurora basins should be detectable from ice core delta D records proximal to these basins and therefore used to constrain their contribution to elevated LIG sea levels, after accounting for ice sheet-climate interactions not considered in our approach. (C) 2012 Elsevier B.V. All rights reserved.</t>
  </si>
  <si>
    <t>[Bradley, S. L.; Wolff, E.] British Antarctic Survey, Cambridge CB3 0ET, England; [Siddall, M.] Univ Bristol, Dept Earth Sci, Bristol, Avon, England; [Milne, G. A.] Univ Ottawa, Dept Earth Sci, Ottawa, ON, Canada; [Masson-Delmotte, V.] IPSL CEA CNRS UVSQ UMR 8212, Lab Sci Climat &amp; Environm, Gif Sur Yvette, France</t>
  </si>
  <si>
    <t>UK Research &amp; Innovation (UKRI); Natural Environment Research Council (NERC); NERC British Antarctic Survey; University of Bristol; University of Ottawa; Universite Paris Saclay; CEA; Centre National de la Recherche Scientifique (CNRS); CNRS - National Institute for Earth Sciences &amp; Astronomy (INSU)</t>
  </si>
  <si>
    <t>Bradley, SL (corresponding author), British Antarctic Survey, Cambridge CB3 0ET, England.</t>
  </si>
  <si>
    <t>d80ngv@gmail.com</t>
  </si>
  <si>
    <t>Wolff, Eric W/D-7925-2014; Masson-Delmotte, Valerie L/G-1995-2011; IPO, PAGES/JXY-7546-2024</t>
  </si>
  <si>
    <t>Wolff, Eric W/0000-0002-5914-8531; Masson-Delmotte, Valerie L/0000-0001-8296-381X;</t>
  </si>
  <si>
    <t>European Union [243908]; RCUK fellowship; University of Bristol; Natural Sciences and Engineering Research Council of Canada; Canada Research Chairs program; British Antarctic Survey's Polar Science for Planet Earth programme; NERC; ANR DOME A project [ANR-07-BLAN-0125]; NERC [bas0100024] Funding Source: UKRI; Natural Environment Research Council [bas0100024] Funding Source: researchfish; Agence Nationale de la Recherche (ANR) [ANR-07-BLAN-0125] Funding Source: Agence Nationale de la Recherche (ANR); Directorate For Geosciences; Division Of Earth Sciences [1023724] Funding Source: National Science Foundation</t>
  </si>
  <si>
    <t>European Union(European Union (EU)); RCUK fellowship(UK Research &amp; Innovation (UKRI)); University of Bristol; Natural Sciences and Engineering Research Council of Canada(Natural Sciences and Engineering Research Council of Canada (NSERC)CGIAR); Canada Research Chairs program(Canada Research Chairs); British Antarctic Survey's Polar Science for Planet Earth programme; NERC(UK Research &amp; Innovation (UKRI)Natural Environment Research Council (NERC)); ANR DOME A project(Agence Nationale de la Recherche (ANR)); NERC(UK Research &amp; Innovation (UKRI)Natural Environment Research Council (NERC)); Natural Environment Research Council(UK Research &amp; Innovation (UKRI)Natural Environment Research Council (NERC)); Agence Nationale de la Recherche (ANR)(Agence Nationale de la Recherche (ANR)); Directorate For Geosciences; Division Of Earth Sciences(National Science Foundation (NSF)NSF - Directorate for Geosciences (GEO))</t>
  </si>
  <si>
    <t>This is a contribution to the PALSEA working group. This is Past4Future contribution no.24. The research leading to these results has received funding from the European Union's Seventh Framework Programme (FP7/2007-2013) under grant agreement no. 243908, Past4Future. Climate change - learning from the past climate.; Mark Siddall is supported by an RCUK fellowship and the University of Bristol.; Glenn Milne acknowledges support from the Natural Sciences and Engineering Research Council of Canada and the Canada Research Chairs program.; Eric Wolff is supported by the British Antarctic Survey's Polar Science for Planet Earth programme, funded by NERC.; Valerie Masson-Delmotte acknowledges support by the ANR DOME A project (ANR-07-BLAN-0125).</t>
  </si>
  <si>
    <t>10.1016/j.gloplacha.2012.11.002</t>
  </si>
  <si>
    <t>WOS:000315557900024</t>
  </si>
  <si>
    <t>Bokhorst, S; Huiskes, A; Aerts, R; Convey, P; Cooper, EJ; Dalen, L; Erschbamer, B; Gudmundsson, J; Hofgaard, A; Hollister, RD; Johnstone, J; Jónsdóttir, IS; Lebouvier, M; Van De Vijver, B; Wahren, CH; Dorrepaal, E</t>
  </si>
  <si>
    <t>Bokhorst, Stef; Huiskes, Ad; Aerts, Rien; Convey, Peter; Cooper, Elisabeth J.; Dalen, Linda; Erschbamer, Brigitta; Gudmundsson, Jon; Hofgaard, Annika; Hollister, Robert D.; Johnstone, Jill; Jonsdottir, Ingibjorg S.; Lebouvier, Marc; Van De Vijver, Bart; Wahren, Carl-Henrik; Dorrepaal, Ellen</t>
  </si>
  <si>
    <t>Variable temperature effects of Open Top Chambers at polar and alpine sites explained by irradiance and snow depth</t>
  </si>
  <si>
    <t>GLOBAL CHANGE BIOLOGY</t>
  </si>
  <si>
    <t>alpine; Antarctic; Arctic; climate change; extreme weather; freeze-thaw; PAR; snow; temperature variation; tundra; warming experiment; wind</t>
  </si>
  <si>
    <t>WINTER WARMING EVENTS; CLIMATE-CHANGE; ARCTIC TUNDRA; SOIL RESPIRATION; PLANT COMMUNITY; RESPONSES; VEGETATION; GROWTH; PHENOLOGY; REPRODUCTION</t>
  </si>
  <si>
    <t>Environmental manipulation studies are integral to determining biological consequences of climate warming. Open Top Chambers (OTCs) have been widely used to assess summer warming effects on terrestrial biota, with their effects during other seasons normally being given less attention even though chambers are often deployed year-round. In addition, their effects on temperature extremes and freeze-thaw events are poorly documented. To provide robust documentation of the microclimatic influences of OTCs throughout the year, we analysed temperature data from 20 studies distributed across polar and alpine regions. The effects of OTCs on mean temperature showed a large range (-0.9 to 2.1 degrees C) throughout the year, but did not differ significantly between studies. Increases in mean monthly and diurnal temperature were strongly related (R-2 = 0.70) with irradiance, indicating that PAR can be used to predict the mean warming effect of OTCs. Deeper snow trapped in OTCs also induced higher temperatures at soil/vegetation level. OTC-induced changes in the frequency of freeze-thaw events included an increase in autumn and decreases in spring and summer. Frequency of high-temperature events in OTCs increased in spring, summer and autumn compared with non-manipulated control plots. Frequency of low-temperature events was reduced by deeper snow accumulation and higher mean temperatures. The strong interactions identified between aspects of ambient environmental conditions and effects of OTCs suggest that a detailed knowledge of snow depth, temperature and irradiance levels enables us to predict how OTCs will modify the microclimate at a particular site and season. Such predictive power allows a better mechanistic understanding of observed biotic response to experimental warming studies and for more informed design of future experiments. However, a need remains to quantify OTC effects on water availability and wind speed (affecting, for example, drying rates and water stress) in combination with microclimate measurements at organism level.</t>
  </si>
  <si>
    <t>[Bokhorst, Stef] Swedish Univ Agr Sci, Dept Forest Ecol &amp; Management, SE-90183 Umea, Sweden; [Huiskes, Ad] Netherlands Inst Ecol NIOO KNAW, Unit Polar Ecol, NL-4400 AC Yerseke, Netherlands; [Aerts, Rien] Vrije Univ Amsterdam, Inst Ecol Sci, Dept Syst Ecol, NL-1081 HV Amsterdam, Netherlands; [Convey, Peter] High Crossm, British Antarct Survey, Cambridge CB3 0ET, England; [Cooper, Elisabeth J.] Univ Tromso, Fac Biosci Fisheries &amp; Econ, Dept Arctic &amp; Marine Biol, N-9037 Tromso, Norway; [Dalen, Linda] Directorate Nat Management, Div Biodivers &amp; Climate Change, N-7485 Trondheim, Norway; [Erschbamer, Brigitta] Univ Innsbruck, Alpine Res Ctr Obergurgl, Inst Bot, A-6020 Innsbruck, Austria; [Gudmundsson, Jon] Agr Univ Iceland, Dept Environm Sci, IS-112 Reykjavik, Iceland; [Hofgaard, Annika] Norwegian Inst Nat Res, Dept Terr Ecol, NO-7485 Trondheim, Norway; [Hollister, Robert D.] Grand Valley State Univ, Dept Biol, Allendale, MI 49401 USA; [Johnstone, Jill] Univ Saskatchewan, Dept Biol, Saskatoon, SK S7N 5E2, Canada; [Jonsdottir, Ingibjorg S.] Univ Iceland, Inst Biol, IS-101 Reykjavik, Iceland; [Lebouvier, Marc] Univ Rennes 1, Stn Biol, UMR Ecobio CNRS 6553, F-35380 Paimpont, France; [Van De Vijver, Bart] Natl Bot Garden Belgium, Dept Cryptogamy Bryophyta &amp; Thallophyta, B-1860 Domein Van Bouchout, Meise, Belgium; [Wahren, Carl-Henrik] La Trobe Univ, Res Ctr Appl Alpine Ecol, Bundoora, Vic 3086, Australia; [Dorrepaal, Ellen] Umea Univ, Climate Impacts Res Ctr, SE-98107 Abisko, Sweden</t>
  </si>
  <si>
    <t>Swedish University of Agricultural Sciences; Royal Netherlands Academy of Arts &amp; Sciences; Netherlands Institute of Ecology (NIOO-KNAW); Vrije Universiteit Amsterdam; UK Research &amp; Innovation (UKRI); Natural Environment Research Council (NERC); NERC British Antarctic Survey; UiT The Arctic University of Tromso; University of Innsbruck; Norwegian Institute Nature Research; Grand Valley State University; University of Saskatchewan; University of Iceland; Universite de Rennes; La Trobe University; Umea University</t>
  </si>
  <si>
    <t>Bokhorst, S (corresponding author), Swedish Univ Agr Sci, Dept Forest Ecol &amp; Management, SE-90183 Umea, Sweden.</t>
  </si>
  <si>
    <t>stef.bokhorst@slu.se</t>
  </si>
  <si>
    <t>Bokhorst, Stef/D-1858-2009; Gudmundsson, Jon/AAD-1659-2021; Convey, Peter/AAV-5728-2020; Jonsdottir, Ingibjorg/L-8952-2015; Johnstone, Jill F./C-9204-2009</t>
  </si>
  <si>
    <t>Gudmundsson, Jon/0000-0002-1703-8916; Convey, Peter/0000-0001-8497-9903; Jonsdottir, Ingibjorg/0000-0003-3804-7077; Johnstone, Jill F./0000-0001-6131-9339; Hollister, Robert/0000-0002-4764-7691; Bokhorst, Stef/0000-0003-0184-1162; Aerts, Rien/0000-0001-6694-0669</t>
  </si>
  <si>
    <t>Netherlands Organisation for Scientific Research; British Antarctic Survey; European Commission; Norwegian Svalbard Society; Norwegian Polar Institute; University of Innsbruck; Club Allegra Munich; Icelandic Research Fund; U.S. National Science Foundation; Natural Sciences and Engineering Research Council of Canada; French Polar Institute; Australian Research Council; NERC [bas0100025] Funding Source: UKRI; Natural Environment Research Council [bas0100025] Funding Source: researchfish; Directorate For Geosciences; Division Of Polar Programs [0856516] Funding Source: National Science Foundation</t>
  </si>
  <si>
    <t>Netherlands Organisation for Scientific Research(Netherlands Organization for Scientific Research (NWO)); British Antarctic Survey; European Commission(European Union (EU)European Commission Joint Research Centre); Norwegian Svalbard Society; Norwegian Polar Institute; University of Innsbruck; Club Allegra Munich; Icelandic Research Fund; U.S. National Science Foundation(National Science Foundation (NSF)); Natural Sciences and Engineering Research Council of Canada(Natural Sciences and Engineering Research Council of Canada (NSERC)CGIAR); French Polar Institute; Australian Research Council(Australian Research Council); NERC(UK Research &amp; Innovation (UKRI)Natural Environment Research Council (NERC)); Natural Environment Research Council(UK Research &amp; Innovation (UKRI)Natural Environment Research Council (NERC)); Directorate For Geosciences; Division Of Polar Programs(National Science Foundation (NSF)NSF - Directorate for Geosciences (GEO))</t>
  </si>
  <si>
    <t>This study forms an output of the IPY project TARANTELLA and we are grateful to the participants of the TARANTELLA workshop (Rilland, the Netherlands, 2006) who initiated the writing of this manuscript. Additional financial support for individual experiments was provided by the Netherlands Organisation for Scientific Research, British Antarctic Survey, European Commission (Framework 4 &amp; 5), Norwegian Svalbard Society, Norwegian Polar Institute, University of Innsbruck, Club Allegra Munich, Icelandic Research Fund, U.S. National Science Foundation, Natural Sciences and Engineering Research Council of Canada, French Polar Institute and the Australian Research Council. We are grateful to anonymous referees for helpful and constructive comments.</t>
  </si>
  <si>
    <t>1354-1013</t>
  </si>
  <si>
    <t>1365-2486</t>
  </si>
  <si>
    <t>GLOBAL CHANGE BIOL</t>
  </si>
  <si>
    <t>Glob. Change Biol.</t>
  </si>
  <si>
    <t>10.1111/gcb.12028</t>
  </si>
  <si>
    <t>051VE</t>
  </si>
  <si>
    <t>WOS:000312155100006</t>
  </si>
  <si>
    <t>Cimino, MA; Fraser, WR; Irwin, AJ; Oliver, MJ</t>
  </si>
  <si>
    <t>Cimino, Megan A.; Fraser, William R.; Irwin, Andrew J.; Oliver, Matthew J.</t>
  </si>
  <si>
    <t>Satellite data identify decadal trends in the quality of Pygoscelis penguin chick-rearing habitat</t>
  </si>
  <si>
    <t>climate change; MaxEnt; Pygoscelis penguins; satellites; Southern Ocean; species distribution models; suitability; West Antarctic Peninsula</t>
  </si>
  <si>
    <t>KING-GEORGE-ISLAND; WEST ANTARCTIC PENINSULA; SEA-ICE; CLIMATE-CHANGE; ENVIRONMENTAL-CHANGE; POPULATION-CHANGES; RECENT DECREASE; SOUTHERN-OCEAN; ADELIE; COLONIES</t>
  </si>
  <si>
    <t>Pygoscelis penguins are experiencing general population declines in their northernmost range whereas there are reported increases in their southernmost range. These changes are coincident with decadal-scale trends in remote sensed observations of sea ice concentrations (SIC) and sea surface temperatures (SST) during the chick-rearing season (austral summer). Using SIC, SST, and bathymetry, we identified separate chick-rearing niche spaces for the three Pygoscelis penguin species and used a maximum entropy approach (MaxEnt) to spatially and temporally model suitable chick-rearing habitats in the Southern Ocean. For all Pygoscelis penguin species, the MaxEnt models predict significant changes in the locations of suitable chick-rearing habitats over the period of 19822010. In general, chick-rearing habitat suitability at specific colony locations agreed with the corresponding increases or decreases in documented population trends over the same time period. These changes were the most pronounced along the West Antarctic Peninsula where there has been a rapid warming event during at least the last 50 years.</t>
  </si>
  <si>
    <t>[Cimino, Megan A.; Oliver, Matthew J.] Univ Delaware, Coll Earth Ocean &amp; Environm, Lewes, DE 19958 USA; [Fraser, William R.] Polar Oceans Res Grp, Sheridan, MT 59749 USA; [Irwin, Andrew J.] Mt Allison Univ, Dept Math &amp; Comp Sci, Sackville, NB E4L 1E6, Canada</t>
  </si>
  <si>
    <t>University of Delaware; Mount Allison University</t>
  </si>
  <si>
    <t>Cimino, MA (corresponding author), Univ Delaware, Coll Earth Ocean &amp; Environm, Lewes, DE 19958 USA.</t>
  </si>
  <si>
    <t>mcimino@udel.edu</t>
  </si>
  <si>
    <t>Irwin, Andrew J/B-2245-2008</t>
  </si>
  <si>
    <t>Irwin, Andrew/0000-0001-7784-2319</t>
  </si>
  <si>
    <t>NASA Biodiversity program; NASA New Investigator Program</t>
  </si>
  <si>
    <t>NASA Biodiversity program(National Aeronautics &amp; Space Administration (NASA)); NASA New Investigator Program(National Aeronautics &amp; Space Administration (NASA))</t>
  </si>
  <si>
    <t>These efforts were only possible with funding support provided by the NASA Biodiversity program and the NASA New Investigator Program. E. Geiger and D. Haulsee contributed positive morale and helped troubleshoot throughout the project. B. Bolker aided in producing a plotting code that made our 3D visualizations possible.</t>
  </si>
  <si>
    <t>10.1111/gcb.12016</t>
  </si>
  <si>
    <t>WOS:000312155100011</t>
  </si>
  <si>
    <t>Xavier, JC; Cherel, Y; Roberts, J; Piatkowski, U</t>
  </si>
  <si>
    <t>Xavier, Jose C.; Cherel, Yves; Roberts, Jim; Piatkowski, Uwe</t>
  </si>
  <si>
    <t>How do cephalopods become available to seabirds: can fish gut contents from tuna fishing vessels be a major food source of deep-dwelling cephalopods?</t>
  </si>
  <si>
    <t>SOUTH GEORGIA; DIOMEDEA-EXULANS; DISSOSTICHUS-ELEGINOIDES; INTERANNUAL VARIATION; WANDERING ALBATROSS; DIVING DEPTHS; DIET; INFORMATION; OCEAN; FISHERIES</t>
  </si>
  <si>
    <t>Cephalopods are important prey for numerous seabird species. However, the physical mechanisms by which cephalopods (particularly species considered as deep-dwelling) become available to seabirds are poorly understood, and it has recently been suggested that the discarded stomachs of gutted fish captured by tuna longliners can be a major source of deep-dwelling species. Here, we identify some deep-dwelling cephalopods that appear in the diet of seabirds, review the current knowledge of their vertical distribution, and compare the stomach contents of commercially captured tuna with those of seabirds foraging in the same area. The limited available information leads us to conclude that tuna longliners are unlikely to be a major source of deep-dwelling cephalopods for seabirds. However, much more information is required on the ecology of seabird prey, particularly commercially unexploited cephalopod species, which may be obtained from scientific cruises devoted to cephalopod biological research. In addition multispecies/foodweb modelling studies may be required to explore potential interactions between seabirds, their predators and prey, and commercial fishing operations.</t>
  </si>
  <si>
    <t>[Xavier, Jose C.] Univ Coimbra, Dept Life Sci, Inst Marine Res, P-3001401 Coimbra, Portugal; [Xavier, Jose C.] British Antarctic Survey, Nat Environm Res Council, Cambridge CB3 0ET, England; [Cherel, Yves] CNRS, UPR 1934, Ctr Etud Biol Chize, F-79360 Villiers En Bois, France; [Roberts, Jim] Natl Inst Water &amp; Atmospher Res Ltd, Wellington, New Zealand; [Piatkowski, Uwe] Helmholtz Zentrum Ozeanforsch Kiel, GEOMAR, D-24105 Kiel, Germany</t>
  </si>
  <si>
    <t>Universidade de Coimbra; UK Research &amp; Innovation (UKRI); Natural Environment Research Council (NERC); NERC British Antarctic Survey; Centre National de la Recherche Scientifique (CNRS); National Institute of Water &amp; Atmospheric Research (NIWA) - New Zealand; Helmholtz Association; GEOMAR Helmholtz Center for Ocean Research Kiel</t>
  </si>
  <si>
    <t>Xavier, JC (corresponding author), Univ Coimbra, Dept Life Sci, Inst Marine Res, P-3001401 Coimbra, Portugal.</t>
  </si>
  <si>
    <t>jccx@cantab.net</t>
  </si>
  <si>
    <t>Xavier, José/KFB-6739-2024; Piatkowski, Uwe/G-4161-2011</t>
  </si>
  <si>
    <t>Piatkowski, Uwe/0000-0003-1558-5817; /0000-0002-9621-6660</t>
  </si>
  <si>
    <t>10.1093/icesjms/fss167</t>
  </si>
  <si>
    <t>WOS:000312644500004</t>
  </si>
  <si>
    <t>da Silva, AP</t>
  </si>
  <si>
    <t>da Silva, Alexandre Pereira</t>
  </si>
  <si>
    <t>BRAZIL AND CANADA IN THE POLAR INTERNATIONAL AFFAIRS</t>
  </si>
  <si>
    <t>INTERFACES BRASIL-CANADA</t>
  </si>
  <si>
    <t>Brazil; Canada; Arctic; Antarctic</t>
  </si>
  <si>
    <t>The present paper aims to analyze the importance of polar regions for Brazilians and Canadians in a double context: on the one hand, the role played for each polar region in the present scenario of international relations and its effects in the internal affairs of both countries; on the other hand, the following article examines the cooperation among States, in the Arctic as well in the Antarctic, besides indicating the future mutual benefits for Brazil and Canada as their ties are strengthen.</t>
  </si>
  <si>
    <t>[da Silva, Alexandre Pereira] Univ Fed Pernambuco, Recife, PE, Brazil; [da Silva, Alexandre Pereira] Univ Fed Pernambuco FDR UFPE, Recife, PE, Brazil</t>
  </si>
  <si>
    <t>Universidade Federal de Pernambuco</t>
  </si>
  <si>
    <t>da Silva, AP (corresponding author), Univ Fed Pernambuco, Recife, PE, Brazil.</t>
  </si>
  <si>
    <t>lpsilva.alexandre@gmail.com</t>
  </si>
  <si>
    <t>Pereira da Silva, Alexandre/ABH-6642-2020</t>
  </si>
  <si>
    <t>Pereira da Silva, Alexandre/0000-0001-8707-8641</t>
  </si>
  <si>
    <t>EDITORA UNILASALLE</t>
  </si>
  <si>
    <t>CANOAS</t>
  </si>
  <si>
    <t>AV VICTOR BARRETO 2288, CANOAS, 92010-000, BRAZIL</t>
  </si>
  <si>
    <t>1519-0994</t>
  </si>
  <si>
    <t>1984-5677</t>
  </si>
  <si>
    <t>INTERFACES BRAS-CAN</t>
  </si>
  <si>
    <t>Interfaces Bras.-Can.</t>
  </si>
  <si>
    <t>Cultural Studies</t>
  </si>
  <si>
    <t>V7H1E</t>
  </si>
  <si>
    <t>WOS:000420954500004</t>
  </si>
  <si>
    <t>Thums, M; Bradshaw, CJA; Sumner, MD; Horsburgh, JM; Hindell, MA</t>
  </si>
  <si>
    <t>Thums, Michele; Bradshaw, Corey J. A.; Sumner, Michael D.; Horsburgh, Judy M.; Hindell, Mark A.</t>
  </si>
  <si>
    <t>Depletion of deep marine food patches forces divers to give up early</t>
  </si>
  <si>
    <t>JOURNAL OF ANIMAL ECOLOGY</t>
  </si>
  <si>
    <t>aerobic dive limit; buoyancy; functional response; patch model; rate maximizing</t>
  </si>
  <si>
    <t>NORTHERN ELEPHANT SEALS; DIVING BEHAVIOR; FORAGING BEHAVIOR; MIROUNGA-LEONINA; WEDDELL SEALS; SWIM SPEED; BUOYANCY; PREY; STRATEGIES; PATTERNS</t>
  </si>
  <si>
    <t>Many optimal foraging models for diving animals examine strategies that maximize time spent in the foraging zone, assuming that prey acquisition increases linearly with search time. Other models have considered the effect of patch quality and predict a net energetic benefit if dives where no prey is encountered early in the dive are abandoned. For deep divers, however, the energetic benefit of giving up is reduced owing to the elevated energy costs associated with descending to physiologically hostile depths, so patch residence time should be invariant. Others consider an asymptotic gain function where the decision to leave a patch is driven by patch-depletion effects the marginal value theorem. As predator behaviour is increasingly being used as an index of marine resource density and distribution, it is important to understand the nature of this gain function. We investigated the dive behaviour of the world's deepest-diving seal, the southern elephant seal Mirounga leonina, in response to patch quality. Testing these models has largely been limited to controlled experiments on captive animals. By integrating in situ measurements of the seal's relative lipid content obtained from drift rate data (a measure of foraging success) with area-restricted search behaviour identified from first-passage time analysis, we identified regions of high- and low-quality patches. Dive durations and bottom times were not invariant and did not increase in regions of high quality; rather, both were longer when patches were of relatively low quality. This is consistent with the predictions of the marginal value theorem and provides support for a nonlinear relationship between search time and prey acquisition. We also found higher descent and ascent rates in high-quality patches suggesting that seals minimized travel time to the foraging patch when quality was high; however, this was not achieved by increasing speed or dive angle. Relative body lipid content was an important predictor of dive behaviour. Seals did not schedule their diving to maximize time spent in the foraging zone in higher-quality patches, challenging the widely held view that maximizing time in the foraging zone translates to greater foraging success.</t>
  </si>
  <si>
    <t>[Thums, Michele; Sumner, Michael D.; Horsburgh, Judy M.; Hindell, Mark A.] Univ Tasmania, Inst Marine &amp; Antarctic Studies, Marine Predator Unit, Hobart, Tas 7001, Australia; [Thums, Michele] Univ Western Australia, Sch Environm Syst Engn, Crawley, WA 6009, Australia; [Thums, Michele] Univ Western Australia, UWA Oceans Inst, Crawley, WA 6009, Australia; [Thums, Michele] Australian Inst Marine Sci, UWA Oceans Inst, Crawley, WA 6009, Australia; [Bradshaw, Corey J. A.] Univ Adelaide, Inst Environm, Adelaide, SA 5005, Australia; [Bradshaw, Corey J. A.] Univ Adelaide, Sch Earth &amp; Environm Sci, Adelaide, SA 5005, Australia; [Bradshaw, Corey J. A.] S Australian Res &amp; Dev Inst, Henley Beach, SA 5022, Australia</t>
  </si>
  <si>
    <t>University of Tasmania; University of Western Australia; University of Western Australia; Australian Institute of Marine Science; University of Western Australia; University of Adelaide; University of Adelaide</t>
  </si>
  <si>
    <t>Thums, M (corresponding author), Univ Western Australia, Sch Environm Syst Engn, M470,35 Stirling Highway, Crawley, WA 6009, Australia.</t>
  </si>
  <si>
    <t>michele.thums@uwa.edu.au</t>
  </si>
  <si>
    <t>Hindell, Mark A/K-1131-2013; Bradshaw, Corey J. A./A-1311-2008; Hindell, Mark A/C-8368-2013; Sumner, Michael D/J-3478-2013; Thums, Michele/A-3850-2013</t>
  </si>
  <si>
    <t>Bradshaw, Corey J. A./0000-0002-5328-7741; Hindell, Mark/0000-0002-7823-7185; Sumner, Michael/0000-0002-2471-7511; Thums, Michele/0000-0002-8669-8440</t>
  </si>
  <si>
    <t>Australian Research Council [DP0770901]; Natural Sciences and Engineering Research Council of Canada; Sea World Research and Rescue Foundation Inc.; Australian Antarctic Division; University of Tasmania; Australian Postgraduate Award</t>
  </si>
  <si>
    <t>Australian Research Council(Australian Research Council); Natural Sciences and Engineering Research Council of Canada(Natural Sciences and Engineering Research Council of Canada (NSERC)CGIAR); Sea World Research and Rescue Foundation Inc.; Australian Antarctic Division; University of Tasmania; Australian Postgraduate Award(Australian Government)</t>
  </si>
  <si>
    <t>Funded by the Australian Research Council (DP0770901), the Natural Sciences and Engineering Research Council of Canada, Sea World Research and Rescue Foundation Inc. and the Australian Antarctic Division, with additional support from P. Rowsthorn and the University of Tasmania. M. Thums supported by an Australian Postgraduate Award.</t>
  </si>
  <si>
    <t>0021-8790</t>
  </si>
  <si>
    <t>1365-2656</t>
  </si>
  <si>
    <t>J ANIM ECOL</t>
  </si>
  <si>
    <t>J. Anim. Ecol.</t>
  </si>
  <si>
    <t>10.1111/j.1365-2656.2012.02021.x</t>
  </si>
  <si>
    <t>073OL</t>
  </si>
  <si>
    <t>WOS:000313752300009</t>
  </si>
  <si>
    <t>Seiler, C; Hutjes, RWA; Kabat, P</t>
  </si>
  <si>
    <t>Seiler, Christian; Hutjes, Ronald W. A.; Kabat, Pavel</t>
  </si>
  <si>
    <t>Climate Variability and Trends in Bolivia</t>
  </si>
  <si>
    <t>INTERDECADAL VARIABILITY; TROPICAL PACIFIC; RAINFALL; CIRCULATION; ALTIPLANO; ANDES; ENSO; OSCILLATION; OCEAN; MODES</t>
  </si>
  <si>
    <t>Climate-related disasters in Bolivia are frequent, severe, and manifold and affect large parts of the population, economy, and ecosystems. Potentially amplified through climate change, natural hazards are of growing concern. To better understand these events, homogenized daily observations of temperature (29 stations) and precipitation (68 stations) from 1960 to 2009 were analyzed in this study. The impact of the positive (+) and negative (-) phases of the three climate modes (i) Pacific decadal oscillation (PDO), (ii) El Nino-Southern Oscillation (ENSO) with El Nino (EN) and La Nina (LN) events, and (iii) Antarctic Oscillation (AAO) were assessed. Temperatures were found to be higher during PDO(+), EN, and AAO(+) in the Andes. Total amounts of rainfall, as well as the number of extreme events, were higher during PDO(+), EN, and LN in the lowlands. During austral summer [December-February (DJF)], EN led to drier conditions in the Andes with more variable precipitation. Temperatures increased at a rate of 0.1 degrees C per decade, with stronger increases in the Andes and in the dry season. Rainfall totals increased from 1965 to 1984 [12% in DJF and 18% in June-August (JJA)] and decreased afterward (-4% in DJF and -10% in JJA), following roughly the pattern of PDO. Trends of climate extremes generally corresponded to trends of climate means. Findings suggest that Bolivia's climate will be warmer and drier than average in the near-term future. Having entered PDO(-) in 2007, droughts and LN-related floods can be expected in the lowlands, while increasing temperatures suggest higher risks of drought in the Andes.</t>
  </si>
  <si>
    <t>[Seiler, Christian; Hutjes, Ronald W. A.; Kabat, Pavel] Univ Wageningen &amp; Res Ctr, Earth Syst Sci &amp; Climate Change Grp, NL-6700 AA Wageningen, Netherlands; [Seiler, Christian] Fdn Amigos Nat, Dept Climate Change &amp; Environm Serv, Santa Cruz, Bolivia; [Kabat, Pavel] Int Inst Appl Syst Anal, A-2361 Laxenburg, Austria</t>
  </si>
  <si>
    <t>Wageningen University &amp; Research; International Institute for Applied Systems Analysis (IIASA)</t>
  </si>
  <si>
    <t>Seiler, C (corresponding author), Univ Wageningen &amp; Res Ctr, Earth Syst Sci &amp; Climate Change Grp, Droevendaalsesteeg 3, NL-6700 AA Wageningen, Netherlands.</t>
  </si>
  <si>
    <t>christian.seiler@wur.nl</t>
  </si>
  <si>
    <t>Kabat, Pavel/AAJ-2245-2020</t>
  </si>
  <si>
    <t>Seiler, Christian/0000-0002-2092-0168</t>
  </si>
  <si>
    <t>Departmental Pilot Program of Adaptation to Climate Change (PDACC); project Raising the Alert about Critical Feedbacks between Climate and Land Use Change in Amazonia (AMAZALERT); European 7th Framework Programme</t>
  </si>
  <si>
    <t>Departmental Pilot Program of Adaptation to Climate Change (PDACC); project Raising the Alert about Critical Feedbacks between Climate and Land Use Change in Amazonia (AMAZALERT); European 7th Framework Programme(European Union (EU))</t>
  </si>
  <si>
    <t>This research was supported by the Departmental Pilot Program of Adaptation to Climate Change (PDACC) as well as the project Raising the Alert about Critical Feedbacks between Climate and Land Use Change in Amazonia (AMAZALERT). PDACC is carried out by the Fundacion Amigos de la Naturaleza (FAN) as well as the departmental government of Santa Cruz and funded by the embassy of the Netherlands. AMAZALERT is jointly funded by the European 7th Framework Programme and national organizations. We thank the Bolivian National Service of Meteorology and Hydrology (SENAMHI) for the provision of the meteorological data. We are thankful for the remarks from Prof. Dr. Wilco Hazeleger and Dr. Sarah Kew. We are grateful for the constructive comments from three anonymous reviewers who have helped to improve the quality of this paper.</t>
  </si>
  <si>
    <t>10.1175/JAMC-D-12-0105.1</t>
  </si>
  <si>
    <t>WOS:000313559900010</t>
  </si>
  <si>
    <t>Compton, TJ; Bowden, DA; Pitcher, CR; Hewitt, JE; Ellis, N</t>
  </si>
  <si>
    <t>Compton, Tanya J.; Bowden, David A.; Pitcher, C. Roland; Hewitt, Judi E.; Ellis, Nick</t>
  </si>
  <si>
    <t>Biophysical patterns in benthic assemblage composition across contrasting continental margins off New Zealand</t>
  </si>
  <si>
    <t>JOURNAL OF BIOGEOGRAPHY</t>
  </si>
  <si>
    <t>Beta diversity; biodiversity mapping; conservation planning; continental shelf; continental slope; marine biogeography; random forest; spatial planning</t>
  </si>
  <si>
    <t>HABITAT HETEROGENEITY; BETA DIVERSITY; CHATHAM RISE; BIODIVERSITY; REGRESSION; GRADIENTS; SCALES; REGION; ROLES; EAST</t>
  </si>
  <si>
    <t>Aim To examine whether benthic assemblages are more diverse in a region of high topographic and oceanographic complexity by comparing benthic invertebrate assemblages across continental margins with contrasting environments. Location Challenger Plateau and Chatham Rise, to the west and east of New Zealand, respectively. Methods Benthic faunal data were sourced from extensive seabed surveys in 2007, when both margins were sampled with an epibenthic sled and a towed video system. Three methods were used to investigate benthic assemblages in relation to environmental variables: one based on individual species distribution models (SDMs) using boosted regression trees analysis (BRT), and two community-based modelling methods using generalized dissimilarity modelling (GDM) and gradient forest analysis (GF), respectively. Each method was used to model and predict the turnover in assemblages with respect to environment the biophysical patterns across the study region. Results Across Chatham Rise, a complex oceanographic environment arising from steep gradients in productivity and temperature at the Subtropical Front produced a high diversity of assemblages associated with the sub-Antarctic water mass, the Subtropical Front, steep-sloping regions and fast tidal currents. In contrast, Challenger Plateau lies entirely beneath a single (subtropical) water mass, and assemblage diversity was lower, with a distinctive assemblage on the plateau itself and a deep-water assemblage similar to the northern deep-water assemblage of Chatham Rise. Across both regions, assemblage turnover was fastest in cold waters, at shallow depths and in deep mixed layers. Main conclusions Benthic assemblages were more varied on Chatham Rise than on Challenger Plateau, supporting the hypothesis that environmentally heterogeneous margins have higher assemblage diversity. Differing assemblages on the northern and southern flanks of Chatham Rise suggest a biogeographical boundary for benthic taxa across the Subtropical Front. These results demonstrate that oceanographically and topographically complex margins have a diverse assemblage structure that should be considered in planning for the sustainable management of diversity.</t>
  </si>
  <si>
    <t>[Compton, Tanya J.; Hewitt, Judi E.] Natl Inst Water &amp; Atmospher Res, Hamilton 3216, New Zealand; [Bowden, David A.] Natl Inst Water &amp; Atmospher Res, Wellington 6021, New Zealand; [Pitcher, C. Roland; Ellis, Nick] CSIROs Wealth Oceans Flagship, Brisbane, Qld 4001, Australia; [Pitcher, C. Roland; Ellis, Nick] CSIRO Marine &amp; Atmospher Res, Brisbane, Qld 4001, Australia</t>
  </si>
  <si>
    <t>National Institute of Water &amp; Atmospheric Research (NIWA) - New Zealand; National Institute of Water &amp; Atmospheric Research (NIWA) - New Zealand; Commonwealth Scientific &amp; Industrial Research Organisation (CSIRO); Commonwealth Scientific &amp; Industrial Research Organisation (CSIRO)</t>
  </si>
  <si>
    <t>Compton, TJ (corresponding author), Royal Netherlands Inst Sea Res NIOZ, Landsdiep 4, NL-1797 SZ Thorntje, Texel, Netherlands.</t>
  </si>
  <si>
    <t>Tanya.Compton@nioz.nl</t>
  </si>
  <si>
    <t>Compton, Tanya J/G-6230-2012; Pitcher, C. Roland/A-2368-2012; Ellis, Nick/B-4310-2009</t>
  </si>
  <si>
    <t>Ellis, Nick/0000-0001-8761-5128</t>
  </si>
  <si>
    <t>New Zealand Government; Land Information New Zealand (LINZ); Ministry of Fisheries (MFish); National Institute of Water and Atmospheric Research Ltd (NIWA); Department of Conservation (DoC); CSIRO; CERF Marine Biodiversity Hub; International Mobility Fund [IMF10-408]</t>
  </si>
  <si>
    <t>New Zealand Government; Land Information New Zealand (LINZ); Ministry of Fisheries (MFish); National Institute of Water and Atmospheric Research Ltd (NIWA); Department of Conservation (DoC); CSIRO(Commonwealth Scientific &amp; Industrial Research Organisation (CSIRO)); CERF Marine Biodiversity Hub; International Mobility Fund</t>
  </si>
  <si>
    <t>The Ocean Survey 20/20 Chatham/Challenger Biodiversity, Hydrographic and Seabed Habitat Project was funded by the New Zealand Government, Land Information New Zealand (LINZ), Ministry of Fisheries (MFish), National Institute of Water and Atmospheric Research Ltd (NIWA) and Department of Conservation (DoC). We acknowledge project governance by the Ministry of Fisheries Science Team and the Ocean Survey 20/20 Chatham Challenger Advisory Group (LINZ, MFish, DoC and NIWA). CSIRO and CERF Marine Biodiversity Hub provided funding to C. R. P. and N.E. An award from International Mobility Fund no. IMF10-408 was given to T. C. We thank Kathryn Julian and John Leathwick for their help; Simon Ferrier and Glen Manion for their advice with GDM; Mark Hadfield, Arne Pallentin, Francois Oehler and Matthew Pinkerton for development of the marine environmental layers; and the referees for useful comments on our paper.</t>
  </si>
  <si>
    <t>0305-0270</t>
  </si>
  <si>
    <t>1365-2699</t>
  </si>
  <si>
    <t>J BIOGEOGR</t>
  </si>
  <si>
    <t>J. Biogeogr.</t>
  </si>
  <si>
    <t>10.1111/j.1365-2699.2012.02761.x</t>
  </si>
  <si>
    <t>058PU</t>
  </si>
  <si>
    <t>WOS:000312646800007</t>
  </si>
  <si>
    <t>Ellis, LT; Aranda, SC; Asthana, AK; Bansal, P; Nath, V; Sahu, V; Bayliss, J; Asthana, G; Srivastava, S; Yadav, S; Brugués, M; Cano, MJ; Dulin, MV; Fudali, E; Fuertes, E; Gabriel, R; Pereira, F; Silva, JAF; Gradstein, SR; Hájková, P; Hájek, M; Heras, P; Infante, M; Lebouvier, M; Marka, J; Newsham, KK; Ochyra, R; Pantovic, J; Sabovljevic, MS; Phephu, N; van Rooy, J; Philippov, DA; Porley, RD; Puche, F; Schäfer-Verwimp, A; Segarra-Moragues, JG; Sérgio, C; Smith, VR; Stefanut, S; Vána, J; Wigginton, MJ</t>
  </si>
  <si>
    <t>Ellis, L. T.; Aranda, S. C.; Asthana, A. K.; Bansal, P.; Nath, V.; Sahu, V.; Bayliss, J.; Asthana, G.; Srivastava, S.; Yadav, S.; Brugues, M.; Cano, M. J.; Dulin, M. V.; Fudali, E.; Fuertes, E.; Gabriel, R.; Pereira, F.; Silva, J. A. F.; Gradstein, S. R.; Hajkova, P.; Hajek, M.; Heras, P.; Infante, M.; Lebouvier, M.; Marka, J.; Newsham, K. K.; Ochyra, R.; Pantovic, J.; Sabovljevic, M. S.; Phephu, N.; van Rooy, J.; Philippov, D. A.; Porley, R. D.; Puche, F.; Schaefer-Verwimp, A.; Segarra-Moragues, J. G.; Sergio, C.; Smith, V. R.; Stefanut, S.; Vana, J.; Wigginton, M. J.</t>
  </si>
  <si>
    <t>New national and regional bryophyte records, 37</t>
  </si>
  <si>
    <t>RED LIST; ACROCARPOUS MOSSES; FLORA; SOUTH; CHECKLIST; LEJEUNEACEAE; GRIMMIACEAE; AFRICA; SCHUST; PLANTS</t>
  </si>
  <si>
    <t>[Ellis, L. T.] Nat Hist Museum, Dept Life Sci, Cromwell Rd, London SW7 5BD, England; [Aranda, S. C.] CSIC, Museo Nacl Ciencias Nat, Dept Biogeog Cambio Global, E-28006 Madrid, Spain; [Asthana, A. K.; Bansal, P.; Nath, V.; Sahu, V.] Natl Bot Res Inst, Bryol Lab, Lucknow 226001, Uttar Pradesh, India; [Bayliss, J.] Fauna &amp; Flora Int, Cambridge, England; [Asthana, G.; Srivastava, S.; Yadav, S.] Univ Lucknow, Dept Bot, Lucknow 226007, Uttar Pradesh, India; [Brugues, M.] Univ Autonoma Barcelona, E-08193 Barcelona, Spain; [Cano, M. J.] Univ Murcia, Dept Biol Vegetal Bot, E-30001 Murcia, Spain; [Dulin, M. V.] Inst Biol, Komi Republic, Russia; [Fudali, E.] Wroclaw Univ Environm &amp; Life Sci, Dept Bot &amp; Plant Ecol, Wroclaw, Poland; [Fuertes, E.] Univ Complutense Madrid, Fac Biol, Dept Biol Vegetal 1, E-28040 Madrid, Spain; [Gabriel, R.; Pereira, F.; Silva, J. A. F.] Univ Acores, Dept Ciencias Agr, Angra Do Heroisma, Portugal; [Gradstein, S. R.] Museum Natl Hist Nat, Dept Systemat &amp; Evolut, F-75231 Paris, France; [Hajkova, P.; Hajek, M.] Masaryk Univ, Fac Sci, Dept Bot &amp; Zool, CS-61137 Brno, Czech Republic; [Heras, P.; Infante, M.] Museo Ciencias Nat Alava, Vitoria, Spain; [Infante, M.] Conservatoire Bot Natl Pyrene &amp; Midi Pyrenees, Bagneres De Bigorre, France; [Lebouvier, M.] Univ Rennes 1, CNRS, UMR 6553, F-35014 Rennes, France; [Marka, J.] Univ Tirana, Fac Nat Sci, Dept Biol, Tirana, Albania; [Newsham, K. K.] NERC British Antarctic Survey, Ecosyst Programme, Cambridge, England; [Ochyra, R.] Polish Acad Sci, Inst Bot, Lab Bryol, PL-00901 Warsaw, Poland; [Sabovljevic, M. S.] Univ Belgrade, Inst Bot &amp; Bot Garden, Belgrade 11001, Serbia; [Phephu, N.; van Rooy, J.] South African Natl Biodivers Inst, Natl Herbarium, Pretoria, South Africa; [Philippov, D. A.] ID Papanin Inst Biol Inland Water, Nekouz Dist, Russia; [Puche, F.] Univ Valencia, Fac Ciencias Biol, Dept Bot, E-46003 Valencia, Spain; [Segarra-Moragues, J. G.] Ctr Invest Desertif CIDE CSIC UV GV, Madrid, Spain; [Sergio, C.] Univ Lisbon, Museo Nacl Hist Nat, Lisbon, Portugal; [Smith, V. R.] Univ Stellenbosch, Dept Bot, ZA-7600 Stellenbosch, South Africa; [Stefanut, S.] Romanian Acad, Inst Biol, Bucharest, Romania; [Vana, J.] Charles Univ Prague, Dept Bot, CR-11636 Prague 1, Czech Republic</t>
  </si>
  <si>
    <t>Natural History Museum London; Consejo Superior de Investigaciones Cientificas (CSIC); CSIC - Museo Nacional de Ciencias Naturales (MNCN); Council of Scientific &amp; Industrial Research (CSIR) - India; CSIR - National Botanical Research Institute (NBRI); Lucknow University; Autonomous University of Barcelona; University of Murcia; Russian Academy of Sciences; Institute of Biology, Komi Scientific Centre, Ural Branch RAS; Wroclaw University of Environmental &amp; Life Sciences; Complutense University of Madrid; Universidade dos Acores; Museum National d'Histoire Naturelle (MNHN); Masaryk University Brno; Centre National de la Recherche Scientifique (CNRS); CNRS - Institute of Ecology &amp; Environment (INEE); Universite de Rennes; University of Tirana (UT); Polish Academy of Sciences; University of Belgrade; South African National Biodiversity Institute; Papanin Institute for Biology of Inland Waters; University of Valencia; Consejo Superior de Investigaciones Cientificas (CSIC); University of Valencia; CSIC-GV-UV - Centro de Investigaciones sobre Desertificacion (CIDE); Universidade de Lisboa; Stellenbosch University; Romanian Academy of Sciences; Institute of Biology Bucharest; Charles University Prague</t>
  </si>
  <si>
    <t>Ellis, LT (corresponding author), Nat Hist Museum, Dept Life Sci, Cromwell Rd, London SW7 5BD, England.</t>
  </si>
  <si>
    <t>l.ellis@nhm.ac.uk</t>
  </si>
  <si>
    <t>Stefanut, Sorin/B-9350-2011; Cano, Maria J./G-9675-2015; Hájek, Michal/H-1648-2014; Stefanut, Sorin/N-3318-2019; Váňa, Jiří/I-5979-2016; Sabovljevic, Marko S/ABC-8637-2020; Stefanut, Sorin/GRO-5620-2022; Dulin, Michail V/A-8799-2016; Sabovljevic, Marko/AAJ-2593-2020; Hájková, Petra/H-1588-2014; Philippov, Dmitriy/Q-5463-2016; Gabriel, Rosalina/F-1598-2013; van Rooy, Jacques/P-2806-2014; Segarra-Moragues, Jose Gabriel/I-7352-2012</t>
  </si>
  <si>
    <t>Stefanut, Sorin/0000-0002-1061-8942; Cano, Maria J./0000-0002-1297-457X; Hájek, Michal/0000-0002-5201-2682; Sabovljevic, Marko S/0000-0001-5809-0406; Stefanut, Sorin/0000-0002-1061-8942; Sabovljevic, Marko/0000-0001-5809-0406; Hájková, Petra/0000-0003-1434-7825; Philippov, Dmitriy/0000-0003-3075-1959; Gabriel, Rosalina/0000-0002-3550-8010; Larrain, Juan B./0000-0002-9423-6561; van Rooy, Jacques/0000-0002-7822-5547; Ochyra, Ryszard/0000-0002-2541-0722; Segarra-Moragues, Jose Gabriel/0000-0003-0061-8647; FUDALI, EWA/0000-0001-7923-8748</t>
  </si>
  <si>
    <t>Natural Environment Research Council [bas0100025] Funding Source: researchfish; NERC [bas0100025] Funding Source: UKRI</t>
  </si>
  <si>
    <t>10.1179/1743282013Y.0000000073</t>
  </si>
  <si>
    <t>295QL</t>
  </si>
  <si>
    <t>WOS:000330130500006</t>
  </si>
  <si>
    <t>Orr, A; Bracegirdle, TJ; Hosking, JS; Feng, WH; Roscoe, HK; Haigh, JD</t>
  </si>
  <si>
    <t>Orr, Andrew; Bracegirdle, Thomas J.; Hosking, J. Scott; Feng, Wuhu; Roscoe, Howard K.; Haigh, Joanna D.</t>
  </si>
  <si>
    <t>Strong Dynamical Modulation of the Cooling of the Polar Stratosphere Associated with the Antarctic Ozone Hole</t>
  </si>
  <si>
    <t>CLIMATE-CHANGE; PART I; MODEL; ATMOSPHERE</t>
  </si>
  <si>
    <t>A model simulation forced by prescribed ozone depletion shows strong dynamical modulation of the springtime cooling of the polar stratosphere associated with the Antarctic ozone hole. The authors find that in late spring the anomalous radiative cooling in response to ozone depletion is almost canceled above similar to 100 hPa by an increase in dynamical heating. Between similar to 300 and similar to 100 hPa, however, it is enhanced by a reduction in dynamical heating, resulting in the descent of the cold anomaly down to the tropopause. In early summer increased dynamical heating dominates as the radiative cooling diminishes so that the cold anomaly associated with the delayed breakup of the stratospheric vortex is reduced. The anomalous dynamical heating is driven by changes in the Brewer-Dobson circulation arising primarily from the dissipation of resolved-scale waves. The model changes are broadly consistent with trends from reanalysis and offline diagnoses of heating rates using a radiation scheme. These results help one to understand dynamically induced change in the evolution and timing of the stratospheric vortex in recent decades and will help to enable improved simulation of the Southern Hemisphere climate.</t>
  </si>
  <si>
    <t>[Orr, Andrew] British Antarctic Survey, Climate Programme, Cambridge CB3 0ET, England; [Feng, Wuhu] Univ Leeds, Natl Ctr Atmospher Sci, Leeds, W Yorkshire, England; [Haigh, Joanna D.] Univ London Imperial Coll Sci Technol &amp; Med, London, England</t>
  </si>
  <si>
    <t>UK Research &amp; Innovation (UKRI); Natural Environment Research Council (NERC); NERC British Antarctic Survey; UK Research &amp; Innovation (UKRI); Natural Environment Research Council (NERC); NERC National Centre for Atmospheric Science; University of Leeds; Imperial College London</t>
  </si>
  <si>
    <t>Orr, A (corresponding author), British Antarctic Survey, Climate Programme, Madingley Rd, Cambridge CB3 0ET, England.</t>
  </si>
  <si>
    <t>anmcr@bas.ac.uk</t>
  </si>
  <si>
    <t>Bracegirdle, Tom/AAD-6060-2020; Haigh, Joanna D/F-6847-2014; FENG, WUHU/B-8327-2008; Hosking, Scott/D-3437-2013</t>
  </si>
  <si>
    <t>FENG, WUHU/0000-0002-9907-9120; Bracegirdle, Thomas/0000-0002-8868-4739; Hosking, Scott/0000-0002-3646-3504</t>
  </si>
  <si>
    <t>NERC [bas0100023, NE/D002753/1] Funding Source: UKRI; Natural Environment Research Council [ncas10009, NE/D002753/1, bas0100023] Funding Source: researchfish</t>
  </si>
  <si>
    <t>10.1175/JCLI-D-12-00480.1</t>
  </si>
  <si>
    <t>WOS:000313740400021</t>
  </si>
  <si>
    <t>Bracegirdle, TJ; Stephenson, DB</t>
  </si>
  <si>
    <t>Bracegirdle, Thomas J.; Stephenson, David B.</t>
  </si>
  <si>
    <t>On the Robustness of Emergent Constraints Used in Multimodel Climate Change Projections of Arctic Warming</t>
  </si>
  <si>
    <t>ERA</t>
  </si>
  <si>
    <t>Statistical relationships between future and historical model runs in multimodel ensembles (MMEs) are increasingly exploited to make more constrained projections of climate change. However, such emergent constraints may be spurious and can arise because of shared (common) errors in a particular MME or because of overly influential models. This study assesses the robustness of emergent constraints used for Arctic warming by comparison of such constraints in ensembles generated by the two most recent Coupled Model Intercomparison Project (CMIP) experiments: CMIP3 and CMIP5. An ensemble regression approach is used to estimate emergent constraints in Arctic wintertime surface air temperature change over the twenty-first century under the Special Report on Emission Scenarios (SRES) A1B scenario in CMIP3 and the Representative Concentration Pathway (RCP) 4.5 scenario in CMIP5. To take account of different scenarios, this study focuses on polar amplification by using temperature responses at each grid point that are scaled by the global mean temperature response for each climate model. In most locations, the estimated emergent constraints are reassuringly similar in CMIP3 and CMIP5 and differences could have easily arisen from sampling variation. However, there is some indication that the emergent constraint and polar amplification is substantially larger in CMIP5 over the Sea of Okhotsk and the Bering Sea. Residual diagnostics identify one climate model in CMIP5 that has a notable influence on estimated emergent constraints over the Bering Sea and one in CMIP3 that that has a notable influence more widely along the sea ice edge and into midlatitudes over the western North Atlantic.</t>
  </si>
  <si>
    <t>[Bracegirdle, Thomas J.] British Antarctic Survey, Cambridge CB3 0ET, England; [Stephenson, David B.] Univ Exeter, Math Res Inst, Exeter, Devon, England</t>
  </si>
  <si>
    <t>UK Research &amp; Innovation (UKRI); Natural Environment Research Council (NERC); NERC British Antarctic Survey; University of Exeter</t>
  </si>
  <si>
    <t>Bracegirdle, Tom/AAD-6060-2020; Stephenson, David B/A-9903-2011</t>
  </si>
  <si>
    <t>Bracegirdle, Thomas/0000-0002-8868-4739</t>
  </si>
  <si>
    <t>Natural Environment Research Council; NERC [bas0100023] Funding Source: UKRI; Natural Environment Research Council [bas0100023] Funding Source: researchfish</t>
  </si>
  <si>
    <t>This study is part of the British Antarctic Survey Polar Science for Planet Earth Programme funded by the Natural Environment Research Council. Three anonymous reviewers are thanked for their constructive comments, which helped to significantly improve the manuscript. We acknowledge the World Climate Research Programme's Working Group on Coupled Modelling, which is responsible for CMIP, and we thank the climate modeling groups (listed in Table 2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European Centre for Medium-Range Weather Forecasting is thanked for providing the ERA-Interim dataset. DBS also thanks David Sexton and Mat Collins for useful comments on structural errors and emergent constraints.</t>
  </si>
  <si>
    <t>10.1175/JCLI-D-12-00537.1</t>
  </si>
  <si>
    <t>Green Accepted, Green Submitted, Bronze</t>
  </si>
  <si>
    <t>WOS:000313740400022</t>
  </si>
  <si>
    <t>Baker, RGV; McGowan, SA</t>
  </si>
  <si>
    <t>Baker, Robert G. V.; McGowan, Sarah A.</t>
  </si>
  <si>
    <t>Geographic Information System Planning for Future Sea-Level Rise Using Evidence and Response Mechanisms from the Past: A Case Study from the Lower Hunter Valley, New South Wales</t>
  </si>
  <si>
    <t>Coastal planning; decelerating sea-level rise; climate change; geographic information systems; past marine environments; future modelling</t>
  </si>
  <si>
    <t>NEW-ZEALAND; GLACIER FLUCTUATIONS; CLIMATE-CHANGE; AUSTRALIA; ACCELERATION; INDICATORS</t>
  </si>
  <si>
    <t>Baker, R.G.V. and McGowan, S.A., 2013. Geographic information system planning for future sea-level rise using evidence and response mechanisms from the past: a case study from the Lower Hunter Valley, New South Wales. Journal of Coastal Research, 29(1), 118-132. Coconut Creek (Florida), ISSN 0749-0208. One of the greatest challenges of coastal land-use policy is predicting future rates of sea-level rise from different proposed climate change scenarios. This study uses evidence from past higher Holocene and Pleistocene shorelines in southern Australia to develop possible response functions for future sea level modelling. A rule-of-thumb is determined by comparing rising sea levels of the past from relic intertidal biological markers with Antarctic temperature fluctuations during the mid-Holocene. The result is that for every 1 degrees C increase in Southern Hemisphere relative temperatures, there would be, on average, a 0.9-m positive response in mean relative sea levels. Spectral analysis, comparing mean sea-level records from Sydney, Australia; the Southern Hemisphere temperature anomaly data (1850 to 2011); and Antarctic temperature fluctuations from the last 7000 years suggest that there are significantly longer (similar to 20 y and similar to 50 y) periodicities that must be accounted for in any accurate determination of projections for 2100. For southern Australia, past sea-level rise appears to be in phase with Antarctic temperature changes and possible meltwater surges, suggesting that the use of linear sea-level rates per year, whilst convenient for planning, may be physically misleading. The policy response from the past should be a precautionary principle, based on centennial envelopes, capturing possible intermittent rapid surges that can be punctuated by decadinal stillstands. Three past-present-future (PPF) sea-level scenarios are applied to a case study of an area surrounding the Hexham Swamp, Newcastle, Australia. An impact infrastructure audit is undertaken, using a light detection and ranging geographic information system relative to multiple PPF centennial sea-level rise envelopes, to plan in this context for future sea-level rise.</t>
  </si>
  <si>
    <t>[Baker, Robert G. V.; McGowan, Sarah A.] Univ New England, BCSS, Armidale, NSW 2351, Australia</t>
  </si>
  <si>
    <t>University of New England</t>
  </si>
  <si>
    <t>Baker, RGV (corresponding author), Univ New England, BCSS, Armidale, NSW 2351, Australia.</t>
  </si>
  <si>
    <t>rbaker1@une.edu.au</t>
  </si>
  <si>
    <t>10.2112/JCOASTRES-D-11-00204.1</t>
  </si>
  <si>
    <t>076AZ</t>
  </si>
  <si>
    <t>WOS:000313930200012</t>
  </si>
  <si>
    <t>Cooper, JAG; Smith, AM; Arnscheidt, J</t>
  </si>
  <si>
    <t>Cooper, J. A. G.; Smith, A. M.; Arnscheidt, J.</t>
  </si>
  <si>
    <t>Contemporary stromatolite formation in high intertidal rock pools, Giant's Causeway, Northern Ireland: preliminary observations.</t>
  </si>
  <si>
    <t>blue green algae; cynaobacteria; groundwater; rock coast; stromatolites</t>
  </si>
  <si>
    <t>STRATIGRAPHY; RIVULARIA; GROWTH; COAST; WATER</t>
  </si>
  <si>
    <t>Contemporary stromatolites are known from a variety of settings ranging from Antarctic dry valleys to hypersaline tropical lagoons. Their formation requires a source of calcium carbonate, binding by cyanobacteria and the elimination of other competing organisms by extremes of environmental conditions. In this paper we report the contemporary development of stromatolites in intertidal rock pools at the Giant's Causeway, Northern Ireland. The rock pools are high in the tidal frame and located on the landward margin of wide rock platforms that dissipate all but the most energetic waves. They are only infrequently inundated by marine waters but are fed by groundwater that emerges from surrounding high cliffs. Adjacent storm-swash deposits provide a potential source of calcium carbonate. The stromatolites occur in two distinctive settings. In one they are present as a thin covering close to the waterline in rock pools where their precipitation may be aided by wetting and drying of the associated microbial mats. Microscopic examination reveals a close intermeshing of cyanobacteria filaments and precipitated carbonate minerals. In a second setting, they occur on the base of rock pools as a semi-continuous covering. These have a much thicker development with the characteristic stromatolite growth forms forming mounds up to 3mm thick with multiple internal laminae. The occurrence of these structures is superficially similar to recently reported examples from rock pools in South Africa but their limited thickness requires explanation. This is either the result of changing environmental conditions that now favour stromatolite growth, or periodic cycles of formation and destruction driven by quasi cyclic changes in water chemistry.</t>
  </si>
  <si>
    <t>[Cooper, J. A. G.; Arnscheidt, J.] Univ Ulster, Sch Environm Sci, Coleraine BT52 1SA, Londonderry, North Ireland; [Cooper, J. A. G.; Smith, A. M.] Univ KwaZulu Natal, ZA-4000 Durban, South Africa; [Cooper, J. A. G.; Smith, A. M.] Univ KwaZulu Natal, Sch Geol Sci, ZA-4000 Durban, South Africa</t>
  </si>
  <si>
    <t>Ulster University; University of Kwazulu Natal; University of Kwazulu Natal</t>
  </si>
  <si>
    <t>Cooper, JAG (corresponding author), Univ Ulster, Sch Environm Sci, Coleraine BT52 1SA, Londonderry, North Ireland.</t>
  </si>
  <si>
    <t>jag.cooper@ulster.ac.uk; asconsulting@telkomsa.net; daniel.conley@plymouth.ac.uk</t>
  </si>
  <si>
    <t>Cooper, Andrew/AAH-4251-2020</t>
  </si>
  <si>
    <t>Cooper, Andrew/0000-0003-4972-8812; Arnscheidt, Joerg/0000-0002-9744-9917</t>
  </si>
  <si>
    <t>10.2112/SI65-283.1</t>
  </si>
  <si>
    <t>WOS:000337995600101</t>
  </si>
  <si>
    <t>Cornford, SL; Martin, DF; Graves, DT; Ranken, DF; Le Brocq, AM; Gladstone, RM; Payne, AJ; Ng, EG; Lipscomb, WH</t>
  </si>
  <si>
    <t>Cornford, Stephen L.; Martin, Daniel F.; Graves, Daniel T.; Ranken, Douglas F.; Le Brocq, Anne M.; Gladstone, Rupert M.; Payne, Antony J.; Ng, Esmond G.; Lipscomb, William H.</t>
  </si>
  <si>
    <t>Adaptive mesh, finite volume modeling of marine ice sheets</t>
  </si>
  <si>
    <t>JOURNAL OF COMPUTATIONAL PHYSICS</t>
  </si>
  <si>
    <t>Marine ice sheets; Adaptive mesh refinement; Grounding line; Free surface problems</t>
  </si>
  <si>
    <t>DIGITAL ELEVATION MODEL; PINE ISLAND GLACIER; SEA-LEVEL RISE; THWAITES GLACIERS; WEST ANTARCTICA; KRYLOV METHODS; LASER DATA; PART 1; FLOW; COLLAPSE</t>
  </si>
  <si>
    <t>Continental scale marine ice sheets such as the present day West Antarctic Ice Sheet are strongly affected by highly localized features, presenting a challenge to numerical models. Perhaps the best known phenomenon of this kind is the migration of the grounding line the division between ice in contact with bedrock and floating ice shelves - which needs to be treated at sub-kilometer resolution. We implement a block-structured finite volume method with adaptive mesh refinement (AMR) for three dimensional ice sheets, which allows us to discretize a narrow region around the grounding line at high resolution and the remainder of the ice sheet at low resolution. We demonstrate AMR simulations that are in agreement with uniform mesh simulations, but are computationally far cheaper, appropriately and efficiently evolving the mesh as the grounding line moves over significant distances. As an example application, we model rapid deglaciation of Pine Island Glacier in West Antarctica caused by melting beneath its ice shelf. (C) 2012 Elsevier Inc. All rights reserved.</t>
  </si>
  <si>
    <t>[Cornford, Stephen L.; Gladstone, Rupert M.; Payne, Antony J.] Univ Bristol, Sch Geog Sci, Bristol BS8 1TH, Avon, England; [Martin, Daniel F.; Graves, Daniel T.; Ng, Esmond G.] Univ Calif Berkeley, Lawrence Berkeley Natl Lab, Appl Numer Algorithms Grp, Berkeley, CA 94720 USA; [Ranken, Douglas F.; Lipscomb, William H.] Los Alamos Natl Lab, Los Alamos, NM 87545 USA; [Le Brocq, Anne M.] Univ Exeter, Coll Life &amp; Environm Sci, Exeter EX4 4QJ, Devon, England</t>
  </si>
  <si>
    <t>University of Bristol; University of California System; University of California Berkeley; United States Department of Energy (DOE); Lawrence Berkeley National Laboratory; United States Department of Energy (DOE); Los Alamos National Laboratory; University of Exeter</t>
  </si>
  <si>
    <t>Cornford, SL (corresponding author), Univ Bristol, Sch Geog Sci, Bristol BS8 1TH, Avon, England.</t>
  </si>
  <si>
    <t>s.l.cornford@bristol.ac.uk; dfmartin@lbl.gov</t>
  </si>
  <si>
    <t>Lipscomb, William/AAR-8668-2021; payne, antony/A-8916-2008; Gladstone, Rupert/C-1086-2013</t>
  </si>
  <si>
    <t>Cornford, Stephen/0000-0002-2461-1645; payne, antony/0000-0001-8825-8425; Gladstone, Rupert/0000-0002-1582-3857; Martin, Daniel/0000-0003-4488-2538; Cornford, Stephen/0000-0003-1844-274X</t>
  </si>
  <si>
    <t>UK Natural Environment Research Council; Office of Advanced Scientific Computing Research of the US Department of Energy [DE-AC02-05CH11231]; University of Bristol by the UK National Centre for Earth Observation; NERC [NE/E006256/1] Funding Source: UKRI; Natural Environment Research Council [NE/E006256/1] Funding Source: researchfish</t>
  </si>
  <si>
    <t>UK Natural Environment Research Council(UK Research &amp; Innovation (UKRI)Natural Environment Research Council (NERC)); Office of Advanced Scientific Computing Research of the US Department of Energy(United States Department of Energy (DOE)); University of Bristol by the UK National Centre for Earth Observation; NERC(UK Research &amp; Innovation (UKRI)Natural Environment Research Council (NERC)); Natural Environment Research Council(UK Research &amp; Innovation (UKRI)Natural Environment Research Council (NERC))</t>
  </si>
  <si>
    <t>We thank Jed Brown and Daniel Goldberg for their careful and insightful reviews. Research at the Universities of Bristol and Exeter was supported financially by the UK Natural Environment Research Council. Research at LBNL was supported financially by the Office of Advanced Scientific Computing Research of the US Department of Energy under contract number DE-AC02-05CH11231. Rupert Gladstone was supported financially at the University of Bristol by the UK National Centre for Earth Observation. We thank Phil Colella and the Chombo developers at Lawrence Berkeley National Laboratory, Mark Adams of Columbia University, Vicky Lee and Gethin Williams of the University of Bristol, and Stephen Price of Los Alamos National Laboratory for the many useful discussions we have held with them.</t>
  </si>
  <si>
    <t>ACADEMIC PRESS INC ELSEVIER SCIENCE</t>
  </si>
  <si>
    <t>525 B ST, STE 1900, SAN DIEGO, CA 92101-4495 USA</t>
  </si>
  <si>
    <t>0021-9991</t>
  </si>
  <si>
    <t>1090-2716</t>
  </si>
  <si>
    <t>J COMPUT PHYS</t>
  </si>
  <si>
    <t>J. Comput. Phys.</t>
  </si>
  <si>
    <t>10.1016/j.jcp.2012.08.037</t>
  </si>
  <si>
    <t>Computer Science, Interdisciplinary Applications; Physics, Mathematical</t>
  </si>
  <si>
    <t>Computer Science; Physics</t>
  </si>
  <si>
    <t>031MY</t>
  </si>
  <si>
    <t>WOS:000310647100032</t>
  </si>
  <si>
    <t>Buckingham, CE; Cornillon, PC</t>
  </si>
  <si>
    <t>Buckingham, C. E.; Cornillon, P. C.</t>
  </si>
  <si>
    <t>The contribution of eddies to striations in absolute dynamic topography</t>
  </si>
  <si>
    <t>MULTIPLE ZONAL JETS; ANTARCTIC CIRCUMPOLAR CURRENT; NORTH PACIFIC; OCEAN FRONTS; CIRCULATION; ALTIMETRY; SCALE; TOPEX/POSEIDON; INSTABILITY; TRANSPORT</t>
  </si>
  <si>
    <t>Distinct 4 year averages of absolute dynamic topography reveal striations in all ocean basins during 1993-2008. Striations are alternating mesoscale jet-like structures observed in time-averaged zonal geostrophic velocity, (u) over bar. They are characterized by speeds O(1 cm s(-1)) and are nominally separated by 200 km in the meridional direction. Similar patterns have been observed in sea level anomaly, mean dynamic topography, and Argo float measurements. Use of a tracked-eddy database in concert with a contour identification and eddy removal algorithm demonstrates that eddies are a dominant source of striations in (u) over bar in the South Pacific (20 degrees S-50 degrees S, 200 degrees E-280 degrees E). Eddies with lifetimes &gt;= 4 weeks account for 46-57% of the variance in u and correlation coefficients between total and eddy-only u are 0.90-0.93. Attention is given to the ability of the algorithm to correctly identify eddies and suggests that a more appropriate bound on the variance due to eddies is similar to 30-70%. This permits the existence of latent zonal jets and/or beta-plumes. Additional findings of the study include (1) a large number of eddies having a broad range of amplitudes and scales contribute most to the eddy-induced patterns and (2) the standard deviation of (u) over bar does not decay inversely with averaging period as proposed by a model of random eddies. Citation: Buckingham, C. E., and P. C. Cornillon (2013), The contribution of eddies to striations in absolute dynamic topography, J. Geophys. Res. Oceans, 118, 448-461, doi:10.1029/2012JC008231.</t>
  </si>
  <si>
    <t>[Buckingham, C. E.; Cornillon, P. C.] Univ Rhode Isl, Grad Sch Oceanog, Narragansett, RI 02874 USA</t>
  </si>
  <si>
    <t>University of Rhode Island</t>
  </si>
  <si>
    <t>Buckingham, CE (corresponding author), Univ Rhode Isl, Grad Sch Oceanog, South Ferry Rd, Narragansett, RI 02874 USA.</t>
  </si>
  <si>
    <t>cbuckingham@gso.uri.edu</t>
  </si>
  <si>
    <t>Buckingham, Christian E./ABC-7842-2020</t>
  </si>
  <si>
    <t>Buckingham, Christian E./0000-0001-9355-9038</t>
  </si>
  <si>
    <t>National Aeronautics and Space Administration [NNX10AN69H]</t>
  </si>
  <si>
    <t>We wish to thank the following individuals for valuable contributions to this study: Dudley Chelton, Michael Schlax, Nikolai Maximenko, and Oleg Melnichenko. In addition, we are grateful for conversations with Prasanth Divakaran, Tom Farrar, Pavel Berloff, Shafer Smith, Patrice Klein, and Lewis Rothstein. Finally, we wish to thank three anonymous reviewers for helpful comments and criticism on an early draft of this manuscript. ADT were produced by Segment for ALTimetry, Orbitography and precise localisation/Developing Use of Altimetry for Climate Studies (SSALTO/DUACS) and distributed by Archivage, Validation, Interpretation des donnees des Satellite Oceanographiques (AVISO)/Collecte Localisation Satellites (CLS) with support from Centre National d'Etudes Spatiales (CNES). The database of tracked eddies was developed by Chelton and Schlax and is available at http://cioss.coas.oregonstate.edu/eddies/. Microwave SST measurements were provided by Chelle Gentemann of Remote Sensing Systems (RSS). This research has been made possible through a grant (NNX10AN69H) from the National Aeronautics and Space Administration.</t>
  </si>
  <si>
    <t>10.1029/2012JC008231</t>
  </si>
  <si>
    <t>Green Submitted, Green Accepted, Green Published, Bronze</t>
  </si>
  <si>
    <t>WOS:000317836100031</t>
  </si>
  <si>
    <t>Nemec, F; Santolik, O; Parrot, M; Pickett, JS; Hayosh, M; Cornilleau-Wehrlin, N</t>
  </si>
  <si>
    <t>Nemec, F.; Santolik, O.; Parrot, M.; Pickett, J. S.; Hayosh, M.; Cornilleau-Wehrlin, N.</t>
  </si>
  <si>
    <t>Conjugate observations of quasi-periodic emissions by Cluster and DEMETER spacecraft</t>
  </si>
  <si>
    <t>ELF-VLF EMISSIONS; PARTICLE ROCKET EXPERIMENT; VERY-LOW-FREQUENCY; MAGNETIC PULSATIONS; GEOMAGNETIC CONJUGACY; ANTARCTIC STATIONS; KERGUELEN-ISLANDS; MAGNETOSPHERE; GENERATION; MODEL</t>
  </si>
  <si>
    <t>Quasi-periodic (QP) emissions are electromagnetic emissions at frequencies of about 0.5-4 kHz that are characterized by a periodic time modulation of the wave intensity. Typical periods of this modulation are on the order of minutes. We present a case study of a large-scale long-lasting QP event observed simultaneously on board the DEMETER (Detection of Electro-Magnetic Emissions Transmitted from Earthquake Regions) and the Cluster spacecraft. The measurements by the Wide-Band Data instrument on board the Cluster spacecraft enabled us to obtain high-resolution frequency-time spectrograms of the event close to the equatorial region over a large range of radial distances, while the measurements by the STAFF-SA instrument allowed us to perform a detailed wave analysis. Conjugate observations by the DEMETER spacecraft have been used to estimate the spatial and temporal extent of the emissions. The analyzed QP event lasted as long as 5 h and it spanned over the L-shells from about 1.5 to 5.5. Simultaneous observations of the same event by DEMETER and Cluster show that the same QP modulation of the wave intensity is observed at the same time at very different locations in the inner magnetosphere. ULF magnetic field fluctuations with a period roughly comparable to, but somewhat larger than the period of the QP modulation were detected by the fluxgate magnetometers instrument on board the Cluster spacecraft near the equatorial region, suggesting these are likely to be related to the QP generation. Results of a detailed wave analysis show that the QP emissions detected by Cluster propagate unducted, with oblique wave normal angles at higher geomagnetic latitudes. Citation: Nemec, F., O. Santolik, M. Parrot, J. S. Pickett, M. Hayosh, and N. Cornilleau-Wehrlin (2013), Conjugate observations of quasi-periodic emissions by Cluster and DEMETER spacecraft, J. Geophys. Res. Space Physics, 118, 198-208, doi:10.1029/2012JA018380.</t>
  </si>
  <si>
    <t>[Nemec, F.; Santolik, O.] Charles Univ Prague, Fac Math &amp; Phys, Prague, Czech Republic; [Santolik, O.; Hayosh, M.] Acad Sci Czech Republic, Inst Atmospher Phys, Prague, Czech Republic; [Parrot, M.] Ctr Natl Rech Sci, Lab Phys &amp; Chim Environm &amp; Espace, Orleans, France; [Pickett, J. S.] Univ Iowa, Dept Phys &amp; Astron, Iowa City, IA 52242 USA; [Cornilleau-Wehrlin, N.] Ecole Polytech, CNRS, Lab Phys Plasmas, F-91128 Palaiseau, France; [Cornilleau-Wehrlin, N.] Observ Meudon, LESIA, Meudon, France</t>
  </si>
  <si>
    <t>Charles University Prague; Czech Academy of Sciences; Institute of Atmospheric Physics of the Czech Academy of Sciences; Centre National de la Recherche Scientifique (CNRS); University of Iowa; Universite Paris Saclay; Institut Polytechnique de Paris; Centre National de la Recherche Scientifique (CNRS); Sorbonne Universite; Universite PSL; Observatoire de Paris</t>
  </si>
  <si>
    <t>Nemec, F (corresponding author), Charles Univ Prague, Fac Math &amp; Phys, Prague, Czech Republic.</t>
  </si>
  <si>
    <t>frantisek.nemec@gmail.com</t>
  </si>
  <si>
    <t>Hayosh, Mykhaylo/G-9461-2014; Nemec, Frantisek/H-7027-2013; Santolik, Ondrej/F-7766-2014</t>
  </si>
  <si>
    <t>Nemec, Frantisek/0000-0002-3233-2718; Parrot, Michel/0000-0003-0905-5721; Santolik, Ondrej/0000-0002-4891-9273</t>
  </si>
  <si>
    <t>GACR [P209/12/P658, P205/10/2279, P209/11/2280]; NASA Goddard Space Flight Canter grant [NNX11AB38G]</t>
  </si>
  <si>
    <t>GACR(Grant Agency of the Czech Republic); NASA Goddard Space Flight Canter grant</t>
  </si>
  <si>
    <t>We would like to thank the Cluster Active Archive and all the involved personnel. We would like to acknowledge E. Lucek, who is the principal investigator of the FGM instrument, J.-G. Trotignon, who is the principal investigator of the Whisper instrument, and all their teams. The used Cluster WBD data were received at the Panska Ves Observatory and we would like to acknowledge all the responsible personnel. DEMETER was operated by CNES and the corresponding staff is deeply acknowledged. We also thank J. J. Berthelier, who is the principal investigator of the electric field instrument. This work was supported by GACR grants P209/12/P658, P205/10/2279, and P209/11/2280. This work was supported at Iowa by NASA Goddard Space Flight Canter grant NNX11AB38G.</t>
  </si>
  <si>
    <t>10.1029/2012JA018380</t>
  </si>
  <si>
    <t>WOS:000317858600020</t>
  </si>
  <si>
    <t>Carson, BR; Rodger, CJ; Clilverd, MA</t>
  </si>
  <si>
    <t>Carson, Bonar R.; Rodger, Craig J.; Clilverd, Mark A.</t>
  </si>
  <si>
    <t>POES satellite observations of EMIC-wave driven relativistic electron precipitation during 1998-2010</t>
  </si>
  <si>
    <t>ION-CYCLOTRON WAVES; ENERGETIC PROTON PRECIPITATION; PITCH-ANGLE SCATTERING; GEOMAGNETIC STORMS; PLASMASPHERIC PLUMES; MAGNETOSPHERE; PLASMAPAUSE</t>
  </si>
  <si>
    <t>Using six Polar Orbiting Environmental Satellites (POES) satellites that have carried the Space Environment Module-2 instrument package, a total of 436,422 individual half-orbits between 1998 and 2010 were inspected by an automatic detection algorithm searching for electromagnetic ion cyclotron (EMIC) driven relativistic electron precipitation (REP). The algorithm searched for one of the key characteristics of EMIC-driven REP, identified as the simultaneity between spikes in the P1 (52 keV differential proton flux channel) and P6 (&gt;800 keV electron channel). In all, 2331 proton precipitation associated REP (PPAREP) events were identified. The majority of events were observed at L-values within the outer radiation belt (3&lt;7) and were more common in the dusk and night sectors as determined by magnetic local time. The majority of events occurred outside the plasmasphere, at L-values similar to 1 R-e greater than the plasmapause location determined from two different statistical models. The events make up a subset of EMIC-driven proton spikes investigated by Sandanger et al. (2009), and potentially reflect different overall characteristics compared with proton spikes, particularly when comparing their location to that of the plasmapause, i.e., EMIC-driven proton precipitation inside the plasmapause, and potentially EMIC-driven REP outside the plasmapause. There was no clear relationship between the location of plasmaspheric plumes and the locations of the PPAREP events detected. Analysis of the PPAREP event occurrence indicates that high solar wind speed and high geomagnetic activity levels increase the likelihood of an event being detected. The peak PPAREP event occurrence was during the declining phase of solar cycle 23, consistent with the 2003 maximum in the geomagnetic activity index, Ap. Citation: Carson, B. R., C. J. Rodger, and M. A. Clilverd (2012), POES satellite observations of EMIC-wave driven relativistic electron precipitation during 1998-2010, J. Geophys. Res. Space Physics, 118, 232-243, doi:10.1029/2012JA017998.</t>
  </si>
  <si>
    <t>[Carson, Bonar R.; Rodger, Craig J.] Univ Otago, Dept Phys, Dunedin, New Zealand; [Clilverd, Mark A.] British Antarctic Survey NERC, Cambridge, England</t>
  </si>
  <si>
    <t>University of Otago; UK Research &amp; Innovation (UKRI); Natural Environment Research Council (NERC); NERC British Antarctic Survey</t>
  </si>
  <si>
    <t>Rodger, CJ (corresponding author), Univ Otago, Dept Phys, POB 56, Dunedin, New Zealand.</t>
  </si>
  <si>
    <t>crodger@physics.otago.ac.nz</t>
  </si>
  <si>
    <t>Rodger, Craig/A-1501-2011</t>
  </si>
  <si>
    <t>Rodger, Craig J./0000-0002-6770-2707</t>
  </si>
  <si>
    <t>European Union [263218]; NERC [bas0100023] Funding Source: UKRI; Natural Environment Research Council [bas0100023] Funding Source: researchfish</t>
  </si>
  <si>
    <t>European Union(European Union (EU)); NERC(UK Research &amp; Innovation (UKRI)Natural Environment Research Council (NERC)); Natural Environment Research Council(UK Research &amp; Innovation (UKRI)Natural Environment Research Council (NERC))</t>
  </si>
  <si>
    <t>The research leading to these results has received funding from the European Union Seventh Framework Programme [FP7/2007-2013] under grant agreement no 263218. The authors would like to thank the researchers and engineers of NOAA's Space Environment Centre for the provision of the data and the operation of the SEM-2 instrument carried onboard these spacecraft.</t>
  </si>
  <si>
    <t>10.1029/2012JA017998</t>
  </si>
  <si>
    <t>WOS:000317858600023</t>
  </si>
  <si>
    <t>Drews, R; Martín, C; Steinhage, D; Eisen, O</t>
  </si>
  <si>
    <t>Drews, Reinhard; Martin, Carlos; Steinhage, Daniel; Eisen, Olaf</t>
  </si>
  <si>
    <t>Characterizing the glaciological conditions at Halvfarryggen ice dome, Dronning Maud Land, Antarctica</t>
  </si>
  <si>
    <t>DIGITAL ELEVATION MODEL; WEST ANTARCTICA; SIPLE DOME; SUBGLACIAL TOPOGRAPHY; ACCUMULATION PATTERN; NEUMAYER STATION; POLAR FIRN; LASER DATA; RADAR; DIVIDE</t>
  </si>
  <si>
    <t>We present a comprehensive approach (including field data, remote sensing and an anisotropic ice-flow model) to characterize Halvfarryggen ice dome in coastal Dronning Maud Land, Antarctica. This is a potential drill site for the International Partnerships in Ice Core Sciences, which has identified the need for ice cores covering atmospheric conditions during the last few millennia. We derive the surface topography, the ice stratigraphy from radar data, and accumulation rates which vary from 400 to 1670 kg m(-2) a(-1) due to preferred wind directions and changing surface slope. The stratigraphy shows anticlines and synclines beneath the divides. We transfer Dansgaard-Johnsen age-depth scales from the flanks along isochrones to the divide in the upper 20-50% of the ice thickness and show that they compare well with the results of a full-Stokes, anisotropic ice-flow model which predicts (1) 11 ka BP ice at 90% of the ice thickness, (2) a temporally stable divide for at least 2700-4500 years, (3) basal temperatures below the melting point (-12 degrees C to -5 degrees C) and (4) a highly developed crystal orientation fabric (COF). We suggest drilling into the apices of the deep anticlines, providing a good compromise between record length and temporal resolution and also facilitating studies of the interplay of anisotropic COF and ice flow.</t>
  </si>
  <si>
    <t>[Drews, Reinhard; Steinhage, Daniel; Eisen, Olaf] Alfred Wegener Inst Polar &amp; Marine Res, Bremerhaven, Germany; [Martin, Carlos] British Antarctic Survey, Nat Environm Res Council, Cambridge CB3 0ET, England</t>
  </si>
  <si>
    <t>Drews, R (corresponding author), Univ Libre Brussels, Dept Sci Terre &amp; Environm, Lab Glaciol, Brussels, Belgium.</t>
  </si>
  <si>
    <t>reinhard.drews@awi.de</t>
  </si>
  <si>
    <t>Drews, reinhard/AAP-4134-2021; Eisen, Olaf/K-3846-2012; Martin, Carlos/S-2778-2018</t>
  </si>
  <si>
    <t>Drews, reinhard/0000-0002-2328-294X; Eisen, Olaf/0000-0002-6380-962X; Martin, Carlos/0000-0002-2661-169X</t>
  </si>
  <si>
    <t>Deutsche Forschungsgemeinschaft (DFG) [EI 672/5-1]; Evangelisches Studienwerk e.V. Villigst; Scientific Committee on Antarctic Research (SCAR); DFG [EI 672/1-1]; Natural Environment Research Council [bas0100027] Funding Source: researchfish; NERC [bas0100027] Funding Source: UKRI</t>
  </si>
  <si>
    <t>Deutsche Forschungsgemeinschaft (DFG)(German Research Foundation (DFG)); Evangelisches Studienwerk e.V. Villigst; Scientific Committee on Antarctic Research (SCAR); DFG(German Research Foundation (DFG)); Natural Environment Research Council(UK Research &amp; Innovation (UKRI)Natural Environment Research Council (NERC)); NERC(UK Research &amp; Innovation (UKRI)Natural Environment Research Council (NERC))</t>
  </si>
  <si>
    <t>Preparation of this work was supported by the Emmy Noether program of the Deutsche Forschungsgemeinschaft (DFG) grant EI 672/5-1 to O. Eisen and a scholarship of the Evangelisches Studienwerk e.V. Villigst to R. Drews. We thank V. Helm for the airborne laser scanner data, and C.H. Reijmer and M.R. van den Broeke for providing the data from AWS11. We thank M. Funk for providing details of the low-frequency radar antenna design. Initial ideas for comparison of data and models at Halvfarryggen were based on discussions between R. Hindmarsh and C. Martin during a stay at the British Antarctic Survey, funded by the Scientific Committee on Antarctic Research (SCAR) fellowship scheme 2006-07 and an Emmy Noether scholarship of DFG grant EI 672/1-1 to O. Eisen. Comments from E. Pettit, J. MacGregor and an anonymous reviewer greatly helped to improve the manuscript.</t>
  </si>
  <si>
    <t>10.3189/2013JoG12J134</t>
  </si>
  <si>
    <t>WOS:000316373500002</t>
  </si>
  <si>
    <t>Navarro, FJ; Jonsell, UY; Corcuera, MI; Martín-Español, A</t>
  </si>
  <si>
    <t>Navarro, Francisco J.; Jonsell, Ulf Y.; Corcuera, Maria I.; Martin-Espanol, Alba</t>
  </si>
  <si>
    <t>Decelerated mass loss of Hurd and Johnsons Glaciers, Livingston Island, Antarctic Peninsula</t>
  </si>
  <si>
    <t>SOUTH SHETLAND ISLANDS; LARSEN ICE SHELF; SEA-ICE; BALANCE; CLIMATE; CAP; COLLAPSE; SURFACE; RADAR; MODEL</t>
  </si>
  <si>
    <t>A new 10 year surface mass balance (SMB) record of Hurd and Johnsons Glaciers, Livingston Island, Antarctica, is presented and compared with earlier estimates on the basis of local and regional meteorological conditions and trends. Since Johnsons is a tidewater glacier, we also include a calving flux calculation to estimate its total mass balance. The average annual SMB over the 10 year observation period 2002-11 is -0.15 +/- 0.10 m w.e. for Hurd Glacier and 0.05 +/- 0.10 m w.e. for Johnsons Glacier. Adding the calving losses to the latter results in a total mass balance of -0.09 +/- 0.10 m w.e. There has been a deceleration of the mass losses of these glaciers from 1957-2000 to 2002-11, which have nearly halved for both glaciers. We attribute this decrease in the mass losses to a combination of increased accumulation in the region and decreased melt. The increased accumulation is attributed to larger precipitation associated with the recent deepening of the circumpolar pressure trough, while the melt decrease is associated with lower summer surface temperatures during the past decade.</t>
  </si>
  <si>
    <t>[Navarro, Francisco J.; Jonsell, Ulf Y.; Corcuera, Maria I.; Martin-Espanol, Alba] Univ Politecn Madrid, Dept Matemat Aplicada, ETSI Telecomunicac, Madrid, Spain</t>
  </si>
  <si>
    <t>Universidad Politecnica de Madrid</t>
  </si>
  <si>
    <t>Navarro, FJ (corresponding author), Univ Politecn Madrid, Dept Matemat Aplicada, ETSI Telecomunicac, Madrid, Spain.</t>
  </si>
  <si>
    <t>francisco.navarro@upm.es</t>
  </si>
  <si>
    <t>Jonsell, Ulf/F-3116-2015; Navarro, Francisco/L-2941-2014; de Corcuera, María Isabel/ABH-2221-2020</t>
  </si>
  <si>
    <t>Jonsell, Ulf/0000-0001-6532-8590; Navarro, Francisco/0000-0002-5147-0067; Martin, Alba/0000-0001-9495-9092</t>
  </si>
  <si>
    <t>Spanish National Plan of RD [CTM2008-05878/ANT]</t>
  </si>
  <si>
    <t>Spanish National Plan of RD(Spanish Government)</t>
  </si>
  <si>
    <t>We thank the mountain technicians of JCI station, as well as the technician in charge of the GPS base station at JCI, for continuous support of our fieldwork activities. We also thank the Met Office (AEMET) personnel for support of the on-glacier AWS maintenance, and in particular Manuel Banon for support in meteorological data analysis. Mass-balance calculations were made using a slightly modified version of a Matlab (TM) script developed by Rickard Pettersson, Uppsala University, Sweden. The paper was greatly improved by the comments and suggestions of Nick Barrand, an anonymous reviewer and Al Rasmussen, who also did a complete revision of the English writing style. This research was funded by subsequent grants from the Spanish National Plan of R&amp;D, the most recent one CTM2008-05878/ANT.</t>
  </si>
  <si>
    <t>10.3189/2013JoG12J144</t>
  </si>
  <si>
    <t>WOS:000316373500012</t>
  </si>
  <si>
    <t>Bindschadler, RA; Nowicki, S; Abe-Ouchi, A; Aschwanden, A; Choi, H; Fastook, J; Granzow, G; Greve, R; Gutowski, G; Herzfeld, U; Jackson, C; Johnson, J; Khroulev, C; Levermann, A; Lipscomb, WH; Martin, MA; Morlighem, M; Parizek, BR; Pollard, D; Price, SF; Ren, DD; Saito, F; Sato, T; Seddik, H; Seroussi, H; Takahashi, K; Walker, R; Wang, WL</t>
  </si>
  <si>
    <t>Bindschadler, Robert A.; Nowicki, Sophie; Abe-Ouchi, Ayako; Aschwanden, Andy; Choi, Hyeungu; Fastook, Jim; Granzow, Glen; Greve, Ralf; Gutowski, Gail; Herzfeld, Ute; Jackson, Charles; Johnson, Jesse; Khroulev, Constantine; Levermann, Anders; Lipscomb, William H.; Martin, Maria A.; Morlighem, Mathieu; Parizek, Byron R.; Pollard, David; Price, Stephen F.; Ren, Diandong; Saito, Fuyuki; Sato, Tatsuru; Seddik, Hakime; Seroussi, Helene; Takahashi, Kunio; Walker, Ryan; Wang, Wei Li</t>
  </si>
  <si>
    <t>Ice-sheet model sensitivities to environmental forcing and their use in projecting future sea level (the SeaRISE project)</t>
  </si>
  <si>
    <t>DIGITAL ELEVATION MODEL; FINITE-ELEMENT METHODS; SATELLITE RADAR; SURFACE MELT; LASER DATA; PISM-PIK; GREENLAND; SHELF; ANTARCTICA; GLACIER</t>
  </si>
  <si>
    <t>Ten ice-sheet models are used to study sensitivity of the Greenland and Antarctic ice sheets to prescribed changes of surface mass balance, sub-ice-shelf melting and basal sliding. Results exhibit a large range in projected contributions to sea-level change. In most cases, the ice volume above flotation lost is linearly dependent on the strength of the forcing. Combinations of forcings can be closely approximated by linearly summing the contributions from single forcing experiments, suggesting that nonlinear feedbacks are modest. Our models indicate that Greenland is more sensitive than Antarctica to likely atmospheric changes in temperature and precipitation, while Antarctica is more sensitive to increased ice-shelf basal melting. An experiment approximating the Intergovernmental Panel on Climate Change's RCP8.5 scenario produces additional first-century contributions to sea level of 22.3 and 8.1 cm from Greenland and Antarctica, respectively, with a range among models of 62 and 14 cm, respectively. By 200 years, projections increase to 53.2 and 26.7 cm, respectively, with ranges of 79 and 43 cm. Linear interpolation of the sensitivity results closely approximates these projections, revealing the relative contributions of the individual forcings on the combined volume change and suggesting that total ice-sheet response to complicated forcings over 200 years can be linearized.</t>
  </si>
  <si>
    <t>[Bindschadler, Robert A.; Nowicki, Sophie; Wang, Wei Li] NASA, Goddard Space Flight Ctr, Greenbelt, MD USA; [Abe-Ouchi, Ayako] Univ Tokyo, Atmosphere &amp; Ocean Res Inst, Kashiwa, Chiba, Japan; [Aschwanden, Andy; Khroulev, Constantine] Univ Alaska Fairbanks, Inst Geophys, Fairbanks, AK 99775 USA; [Choi, Hyeungu] Sigma Space Corp, Lanham, MD USA; [Fastook, Jim] Univ Maine, Comp Sci Quaternary Inst, Orono, ME USA; [Granzow, Glen; Johnson, Jesse] Univ Montana, Coll Arts &amp; Sci, Missoula, MT 59812 USA; [Greve, Ralf; Sato, Tatsuru; Seddik, Hakime] Hokkaido Univ, Inst Low Temp Sci, Sapporo, Hokkaido 060, Japan; [Gutowski, Gail; Jackson, Charles] Univ Texas Austin, Inst Geophys, Austin, TX USA; [Herzfeld, Ute] Univ Colorado, Dept Elect Comp &amp; Energy Engn, Boulder, CO 80309 USA; [Herzfeld, Ute] Univ Colorado, Cooperat Inst Res Environm Sci, Boulder, CO 80309 USA; [Levermann, Anders] Univ Potsdam, Inst Phys, Potsdam, Germany; [Lipscomb, William H.; Price, Stephen F.] Los Alamos Natl Lab, Los Alamos, NM USA; [Martin, Maria A.] Potsdam Inst Climate Impact Res, Potsdam, Germany; [Morlighem, Mathieu] Univ Calif Irvine, Dept Earth Syst Sci, Irvine, CA USA; [Parizek, Byron R.] Penn State DuBois, Math &amp; Geosci, Du Bois, PA USA; [Pollard, David] Penn State Univ, Earth &amp; Environm Syst Inst, University Pk, PA 16802 USA; [Ren, Diandong] Curtin Univ Technol, Dept Phys, Perth, WA, Australia; [Saito, Fuyuki; Takahashi, Kunio] Japan Agcy Marine Earth Sci &amp; Technol, Res Inst Global Change, Kanazawa Ku, Yokohama, Kanagawa, Japan; [Seroussi, Helene] CALTECH, Jet Prop Lab, Pasadena, CA USA; [Walker, Ryan] Univ Maryland, Earth Syst Sci Interdisciplinary Ctr, College Pk, MD 20742 USA</t>
  </si>
  <si>
    <t>National Aeronautics &amp; Space Administration (NASA); NASA Goddard Space Flight Center; University of Tokyo; University of Alaska System; University of Alaska Fairbanks; University of Maine System; University of Maine Orono; University of Montana System; University of Montana; Hokkaido University; University of Texas System; University of Texas Austin; University of Colorado System; University of Colorado Boulder; University of Colorado System; University of Colorado Boulder; University of Potsdam; United States Department of Energy (DOE); Los Alamos National Laboratory; Potsdam Institut fur Klimafolgenforschung; University of California System; University of California Irvine; Pennsylvania Commonwealth System of Higher Education (PCSHE); Pennsylvania State University; Pennsylvania Commonwealth System of Higher Education (PCSHE); Pennsylvania State University; Pennsylvania State University - University Park; Curtin University; Japan Agency for Marine-Earth Science &amp; Technology (JAMSTEC); California Institute of Technology; National Aeronautics &amp; Space Administration (NASA); NASA Jet Propulsion Laboratory (JPL); University System of Maryland; University of Maryland College Park</t>
  </si>
  <si>
    <t>Bindschadler, RA (corresponding author), NASA, Goddard Space Flight Ctr, Greenbelt, MD USA.</t>
  </si>
  <si>
    <t>robert.a.bindschadler@nasa.gov</t>
  </si>
  <si>
    <t>SAITO, Fuyuki/B-8776-2013; Morlighem, Mathieu/O-9942-2014; Abe-Ouchi, Ayako A/M-6359-2013; Martin, Maria/IUN-0219-2023; Levermann, Anders/G-4666-2011; Lipscomb, William/AAR-8668-2021; Herzfeld, Ute/AAE-5115-2019; Seddik, Hakime/F-7640-2014; Jackson, Charles/AAE-1420-2019; Seroussi, Helene/AAX-5342-2021; Greve, Ralf/G-2336-2010; Price, Stephen/E-1568-2013; Ren, Diandong/C-8870-2013</t>
  </si>
  <si>
    <t>Morlighem, Mathieu/0000-0001-5219-1310; Abe-Ouchi, Ayako A/0000-0003-1745-5952; Levermann, Anders/0000-0003-4432-4704; Herzfeld, Ute/0000-0002-5694-4698; Seddik, Hakime/0000-0002-0241-590X; Jackson, Charles/0000-0002-2870-4494; Seroussi, Helene/0000-0001-9201-1644; Greve, Ralf/0000-0002-1341-4777; Khrulev, Constantine/0000-0003-2170-7454; Fastook, James/0000-0003-3900-671X; Price, Stephen/0000-0001-6878-2553; Johnson, Jesse/0000-0002-7387-6500; SAITO, Fuyuki/0000-0001-5935-9614; Ren, Diandong/0000-0002-5757-7527</t>
  </si>
  <si>
    <t>Japan Society for the Promotion of Science (JSPS) [22244058]; NASA [NNX11AP39G, NNX-09-AV94G, NNX-10-AI04G, 281945.02.53.02.19]; US National Science Foundation (NSF) [0531211, 0758274, 0909335]; Center for Remote Sensing of Ice Sheets (CReSIS) [0424589]; NSF [0909335, ANT-0424589, 1043018, 25-0550-0001, OCE-1202632, CReSIS 0424589]; US Department of Energy (DOE) Office of Science Office of Biological and Environmental Research; DOE's Office of Science [DE-AC02-05CH11231, DE-AC05-000R22725]; Jet Propulsion Laboratory (JPL) Research Technology and Development Program; Gary Comer Science and Education Foundation; NASA [140002, NNX11AP39G] Funding Source: Federal RePORTER; Grants-in-Aid for Scientific Research [25241005, 22101005, 22244058] Funding Source: KAKEN; Directorate For Geosciences [1155885] Funding Source: National Science Foundation; Directorate For Geosciences; Office of Polar Programs (OPP) [0531211, 0941678] Funding Source: National Science Foundation; Directorate For Geosciences; Office of Polar Programs (OPP) [0758274, 1142139, 0909335, 1043018] Funding Source: National Science Foundation; Office of Polar Programs (OPP) [1155885] Funding Source: National Science Foundation</t>
  </si>
  <si>
    <t>Japan Society for the Promotion of Science (JSPS)(Ministry of Education, Culture, Sports, Science and Technology, Japan (MEXT)Japan Society for the Promotion of Science); NASA(National Aeronautics &amp; Space Administration (NASA)); US National Science Foundation (NSF)(National Science Foundation (NSF)); Center for Remote Sensing of Ice Sheets (CReSIS); NSF(National Science Foundation (NSF)); US Department of Energy (DOE) Office of Science Office of Biological and Environmental Research(United States Department of Energy (DOE)); DOE's Office of Science(United States Department of Energy (DOE)); Jet Propulsion Laboratory (JPL) Research Technology and Development Program; Gary Comer Science and Education Foundation; NASA(National Aeronautics &amp; Space Administration (NASA)); Grants-in-Aid for Scientific Research(Ministry of Education, Culture, Sports, Science and Technology, Japan (MEXT)Japan Society for the Promotion of ScienceGrants-in-Aid for Scientific Research (KAKENHI)); Directorate For Geosciences(National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</si>
  <si>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R. Greve, H. Seddik and T. Sato were supported by a Grant-in-Aid for Scientific Research A (No. 22244058) from the Japan Society for the Promotion of Science (JSPS).; U. Herzfeld was supported by a NASA Cryospheric Sciences Award (NNX11AP39G).; B. Parizek was supported by the US National Science Foundation (NSF) under grants 0531211, 0758274, 0909335 and the Center for Remote Sensing of Ice Sheets (CReSIS) 0424589 and by NASA under grants NNX-09-AV94G and NNX-10-AI04G.; D. Pollard was supported by NSF under grants ANT-0424589, 1043018, 25-0550-0001 and OCE-1202632.; S.F. Price and W.H. Lipscomb were supported by the US Department of Energy (DOE) Office of Science Office of Biological and Environmental Research. Simulations were conducted at the National Energy Research Scientific Computing Center (supported by DOE's Office of Science under contract No. DE-AC02-05CH11231) using time awarded through DOE's ASCR Leadership Computing Challenge allocation to the project 'Projections of Ice Sheet Evolution Using Advanced Ice and Ocean Models'. Model development and simulations were also conducted at the Oak Ridge Leadership Computing Facility at the Oak Ridge National Laboratory, supported by DOE's Office of Science under contract No. DE-AC05-000R22725. CISM development and simulations relied on additional support by K.J. Evans, P.H. Worley and J.A. Nichols (all of Oak Ridge National Laboratory) and A.G. Salinger (Sandia National Laboratories).; H. Seroussi and M. Morlighem are supported by the NASA Cryospheric Sciences Program and Modeling Analysis and Prediction Program, and a contract with the Jet Propulsion Laboratory (JPL) Research Technology and Development Program. H. Seroussi was also supported by an appointment to the NASA Postdoctoral Program at JPL, administered by Oak Ridge Associated Universities through a contract with NASA. Resources supporting this work were provided by the NASA High-End Computing (HEC) Program through the NASA Advanced Supercomputing (NAS) Division at Ames Research Center. E. Larour and E. Rignot further enabled their participation on SeaRISE.; R. Walker was supported by NSF through grants 0909335 and CReSIS 0424589, by NASA under grants NNX-09-AV94G and NNX-10-AI04G, and by the Gary Comer Science and Education Foundation.; W. Wang was supported by the NASA Cryospheric Science program (grant 281945.02.53.02.19).</t>
  </si>
  <si>
    <t>10.3189/2013JoG12J125</t>
  </si>
  <si>
    <t>Green Submitted, Green Published, Bronze</t>
  </si>
  <si>
    <t>WOS:000319716100001</t>
  </si>
  <si>
    <t>Hodson, A; Paterson, H; Westwood, K; Cameron, K; Laybourn-Parry, J</t>
  </si>
  <si>
    <t>Hodson, Andy; Paterson, Harriet; Westwood, Karen; Cameron, Karen; Laybourn-Parry, Johanna</t>
  </si>
  <si>
    <t>A blue-ice ecosystem on the margin's of the East Antarctic ice sheet</t>
  </si>
  <si>
    <t>CRYOCONITE HOLES; BACTERIAL COMMUNITIES; FRESH-WATER; DIVERSITY; PATTERNS; GLACIER; LAKE; SOIL; BIOGEOCHEMISTRY; PHOTOSYNTHESIS</t>
  </si>
  <si>
    <t>Freezing temperatures, desiccation and high levels of solar radiation make the surface of the Antarctic ice sheet one of Earth's harshest habitats. However, our study in the Vestfold Hills area of East Antarctica shows that favourable conditions for microbial production become established just beneath the surface of blue-ice areas, which collectively cover about 2% of the ice-sheet periphery. Their translucent, wind-polished surface allows solar heating to create meltwater in a greenhouse-type environment at depths of up to 1 m. Melting is intensified around dark debris particles, or cryoconite, where we found microbiological activity to be greatest. Rates of photosynthesis (average 2060 ng C (g cryoconite)(-1) d(-1)) were adapted to low light intensities (similar to 10% of surface irradiance values) and most likely dominated by cyanobacteria and Chloroplastida. A heterotrophic bacterial community was also found to be active within the cryoconite, although average bacterial growth rates (5.7 ng C (g cryoconite)(-1) d(-1)) were far lower than average community respiration (1870 ng C (g cryoconite)(-1) d(-1)). The majority of the respired carbon was most likely associated with the autotrophs and several protists. Therefore, blue-ice areas constitute oases for microbial life around the periphery of Earth's coldest ice sheet.</t>
  </si>
  <si>
    <t>[Hodson, Andy] Univ Sheffield, Dept Geog, Sheffield S10 2TN, S Yorkshire, England; [Hodson, Andy] Univ Ctr Svalbard, Longyearbyen, Norway; [Paterson, Harriet] Univ Tasmania, Inst Marine &amp; Antarctic Studies, Hobart, Tas, Australia; [Westwood, Karen] Australian Antarctic Div, Dept Sustainabil Environm Water Populat &amp; Communi, Hobart, Tas, Australia; [Cameron, Karen] Univ Washington, Appl Phys Lab, Polar Sci Ctr, Seattle, WA 98105 USA; [Laybourn-Parry, Johanna] Univ Bristol, Sch Geog Sci, Bristol, Avon, England</t>
  </si>
  <si>
    <t>University of Sheffield; University Centre Svalbard (UNIS); University of Tasmania; Australian Antarctic Division; University of Washington; University of Washington Seattle; University of Bristol</t>
  </si>
  <si>
    <t>Hodson, A (corresponding author), Univ Sheffield, Dept Geog, Sheffield S10 2TN, S Yorkshire, England.</t>
  </si>
  <si>
    <t>a.j.hodson@sheffield.ac.uk</t>
  </si>
  <si>
    <t>Paterson, Harriet H/F-3847-2012</t>
  </si>
  <si>
    <t>Westwood, Karen/0000-0003-1060-7140; Cameron, Karen/0000-0003-4658-4913; Paterson, Harriet/0000-0002-9825-3588; Hodson, Andrew/0000-0002-1255-7987</t>
  </si>
  <si>
    <t>University of Tasmania; Australian Antarctic Research Assessment Committee [2750]; Leverhulme Trust [RF/4/RFG/2007/0398]; UK Natural Environment Research Council [NE/H01446/1]; Directorate For Geosciences; Office of Polar Programs (OPP) [0739783, 1023462] Funding Source: National Science Foundation; NERC [NE/G006253/1] Funding Source: UKRI; Natural Environment Research Council [NE/G006253/1] Funding Source: researchfish</t>
  </si>
  <si>
    <t>University of Tasmania; Australian Antarctic Research Assessment Committee; Leverhulme Trust(Leverhulme Trust); UK Natural Environment Research Council(UK Research &amp; Innovation (UKRI)Natural Environment Research Council (NERC)); Directorate For Geosciences; Office of Polar Programs (OPP)(National Science Foundation (NSF)NSF - Directorate for Geosciences (GEO)); NERC(UK Research &amp; Innovation (UKRI)Natural Environment Research Council (NERC)); Natural Environment Research Council(UK Research &amp; Innovation (UKRI)Natural Environment Research Council (NERC))</t>
  </si>
  <si>
    <t>We thank the University of Tasmania and the Australian Antarctic Research Assessment Committee (grant 2750) for funding to Laybourn-Parry, and the Leverhulme Trust (RF/4/RFG/2007/0398) and the UK Natural Environment Research Council (NE/H01446/1) for funding to Hodson. Joseph Taunton, Ryan Ruddick and Alex Woods helped with the micro-topographic survey data, while Mike Grimmer and others at Davis Base helped in the field. We are also grateful to Kath Taylor who conducted the nutrient analyses, Paul Thomson who conducted the flow cytometry and Andrew Davidson who used resources from his own project to support our study at Davis.</t>
  </si>
  <si>
    <t>10.3189/2013JoG12J052</t>
  </si>
  <si>
    <t>WOS:000319716100005</t>
  </si>
  <si>
    <t>Scambos, TA; Ross, R; Haran, T; Bauer, R; Ainley, DG; Seo, KW; De Keyser, M; Behar, A; MacAyeal, DR</t>
  </si>
  <si>
    <t>Scambos, T. A.; Ross, R.; Haran, T.; Bauer, R.; Ainley, D. G.; Seo, K. -W.; De Keyser, M.; Behar, A.; MacAyeal, D. R.</t>
  </si>
  <si>
    <t>A camera and rnultisensor automated station design for polar physical and biological systems monitoring: AMIGOS</t>
  </si>
  <si>
    <t>ANTARCTIC PENINSULA; ICE-SHELF</t>
  </si>
  <si>
    <t>The Automated Meteorology Ice/Indigenous species Geophysics Observation System (AMIGOS) consists of a set of measurement instruments and camera(s) controlled by a single-board computer with a simplified Linux operating system and an Iridium satellite modem supporting two-way communication. Primary features of the system relevant to polar operations are low power requirements, daily data uploading, reprogramming, tolerance for low temperatures, and various approaches for automatic resets and recovery from low power or cold shutdown. Instruments include a compact weather station, single- or dual-frequency GPS, solar flux and reflectivity sensors, sonic snow gauges, simplified radio-echo sounder, and resistance thermometer string in the firn column. In the current state of development, there are two basic designs. One is intended for in situ observations of glacier conditions. The other supports a high-resolution camera for monitoring biological or geophysical systems from short distances (100 m to 20 km). The stations have been successfully used in several locations for operational support, monitoring rapid ice changes in response to climate change or iceberg drift, and monitoring penguin colony activity. As of August 2012, there are nine AMIGOS systems installed, all on the Antarctic continent or in the surrounding ocean.</t>
  </si>
  <si>
    <t>[Scambos, T. A.; Haran, T.; Bauer, R.] Univ Colorado, Natl Snow &amp; Ice Data Ctr, Boulder, CO 80309 USA; [Ross, R.] Polar 66, Sydney, NSW, Australia; [Ainley, D. G.] HT Harvey &amp; Associates, Los Gatos, CA USA; [Seo, K. -W.] Korea Polar Res Inst, Div Polar Earth Syst Sci, Inchon, South Korea; [Seo, K. -W.] Seoul Natl Univ, Dept Earth Sci Educ, Seoul, South Korea; [De Keyser, M.] Antarctic Logist &amp; Expedit, Salt Lake City, UT USA; [Behar, A.] CALTECH, Jet Prop Lab, Pasadena, CA USA; [MacAyeal, D. R.] Univ Chicago, Dept Geophys Sci, Chicago, IL 60637 USA</t>
  </si>
  <si>
    <t>University of Colorado System; University of Colorado Boulder; Korea Polar Research Institute (KOPRI); Korea Institute of Ocean Science &amp; Technology (KIOST); Seoul National University (SNU); California Institute of Technology; National Aeronautics &amp; Space Administration (NASA); NASA Jet Propulsion Laboratory (JPL); University of Chicago</t>
  </si>
  <si>
    <t>Scambos, TA (corresponding author), Univ Colorado, Natl Snow &amp; Ice Data Ctr, Boulder, CO 80309 USA.</t>
  </si>
  <si>
    <t>teds@nsidc.edu</t>
  </si>
  <si>
    <t>SCAMBOS, Ted A./0000-0003-4268-6322; MacAyeal, Douglas/0000-0003-0647-6176</t>
  </si>
  <si>
    <t>US National Science Foundation (NSF) Office of Polar Programs (OPP) [0229546, 0540915, 0732921, 0944411, PP13010]; ALE; World Wildlife Fund; Directorate For Geosciences; Office of Polar Programs (OPP) [0944411, 0229546] Funding Source: National Science Foundation; Office of Polar Programs (OPP); Directorate For Geosciences [0732921, 0540915] Funding Source: National Science Foundation</t>
  </si>
  <si>
    <t>US National Science Foundation (NSF) Office of Polar Programs (OPP)(National Science Foundation (NSF)); ALE; World Wildlife Fund; Directorate For Geosciences; Office of Polar Programs (OPP)(National Science Foundation (NSF)NSF - Directorate for Geosciences (GEO)); Office of Polar Programs (OPP); Directorate For Geosciences(National Science Foundation (NSF)NSF - Directorate for Geosciences (GEO))</t>
  </si>
  <si>
    <t>We thank the many field support and installation personnel at Raytheon Polar Services Corporation, Instituto Antartico Argentino, Antarctic Logistical Experts (ALE), the British Antarctic Survey, the Korean Polar Research Institute, the Italian Antarctic Program and the pilots and crew of Ken Borek Air and Helicopters New Zealand. Top Con Positioning Systems Inc. donated several of the single-board GPSs for this effort. This work was funded by US National Science Foundation (NSF) Office of Polar Programs (OPP) grants 0229546, 0540915, 0732921, 0944411, KOPRI grant PP13010, and received financial support from ALE and the World Wildlife Fund. The camera station at Cape Royds is maintained under Antarctic Conservation Act permits 2006010 and 2011-002.</t>
  </si>
  <si>
    <t>10.3189/2013JoG12J170</t>
  </si>
  <si>
    <t>WOS:000319716100009</t>
  </si>
  <si>
    <t>Richter, A; Fedorov, DV; Fritsche, M; Popov, SV; Lipenkov, VY; Ekaykin, AA; Lukin, VV; Matveev, AY; Grebnev, VP; Rosenau, R; Dietrich, R</t>
  </si>
  <si>
    <t>Richter, A.; Fedorov, D. V.; Fritsche, M.; Popov, S. V.; Lipenkov, V. Ya.; Ekaykin, A. A.; Lukin, V. V.; Matveev, A. Yu.; Grebnev, V. P.; Rosenau, R.; Dietrich, R.</t>
  </si>
  <si>
    <t>Ice flow velocities over Vostok Subglacial Lake, East Antarctica, determined by 10 years of GNSS observations</t>
  </si>
  <si>
    <t>SATELLITE RADAR; SHEET; MODEL; ACCUMULATION; CORE; SENSITIVITY; DYNAMICS; ORIGIN; MOTION; STREAM</t>
  </si>
  <si>
    <t>Repeated Global Navigation Satellite Systems (GNSS) observations were carried out at 50 surface markers in the Vostok Subglacial Lake (East Antarctica) region between 2001 and 2011. The horizontal ice flow velocity vectors were derived with accuracies of 1 cm a(-1) and 0.5 degrees, representing the first reliable information on ice flow kinematics in the northern part of the lake. Within the lake area, ice flow velocities do not exceed 2 m a(-1). The ice flow azimuth is southeast in the southern part of the lake and turns gradually to east-northeast in the northern part. In the northern part, as the ice flow enters the lake at the western shore, the velocity decreases towards the central lake axis, then increases slightly past the central axis. In the southern part, a continued acceleration is observed from the central lake axis across the downstream grounding line. Based on the observed flow velocity vectors and ice thickness data, mean surface accumulation rates are inferred for four surface segments between Ridge B and Vostok Subglacial Lake and show a steady increase towards the north.</t>
  </si>
  <si>
    <t>[Richter, A.; Fritsche, M.; Rosenau, R.; Dietrich, R.] Tech Univ Dresden, Inst Planetare Geodasie, D-01062 Dresden, Germany; [Fedorov, D. V.; Matveev, A. Yu.; Grebnev, V. P.] FGUP Aerogeodeziya, St Petersburg, Russia; [Popov, S. V.] Polar Marine Geosurvey Expedit, St Petersburg, Russia; [Lipenkov, V. Ya.; Ekaykin, A. A.; Lukin, V. V.] Arctic &amp; Antarctic Res Inst, St Petersburg 199226, Russia</t>
  </si>
  <si>
    <t>Technische Universitat Dresden; Arctic &amp; Antarctic Research Institute</t>
  </si>
  <si>
    <t>Richter, A (corresponding author), Tech Univ Dresden, Inst Planetare Geodasie, D-01062 Dresden, Germany.</t>
  </si>
  <si>
    <t>andreas.richter@tu-dresden.de</t>
  </si>
  <si>
    <t>Popov, Sergey V./I-2319-2013; Richter, Andreas/ABD-6833-2020; Ekaykin, Alexey A./K-9894-2015; Lukin, Vladimir V./A-8219-2014; Popov, Sergey/IYJ-2371-2023; Lipenkov, Vladimir/Q-8262-2016; Lukin, Valeriy/N-1147-2015</t>
  </si>
  <si>
    <t>Popov, Sergey V./0000-0002-1830-8658; Richter, Andreas/0000-0002-7900-4893; Popov, Sergey/0000-0002-1830-8658; Richter, Andreas/0000-0002-8588-9755; Lipenkov, Vladimir/0000-0003-4221-5440; Lukin, Valeriy/0000-0003-1726-7361</t>
  </si>
  <si>
    <t>German Research Foundation DFG [DI 473/20, DI 473/34, DI 473/38]; Russian Foundation of Basic Research [10-05-91330-NNIO-a]</t>
  </si>
  <si>
    <t>German Research Foundation DFG(German Research Foundation (DFG)); Russian Foundation of Basic Research(Russian Foundation for Basic Research (RFBR))</t>
  </si>
  <si>
    <t>We thank the staff at Vostok station and the participants in the convoys during the 47th, 48th, 52nd, 53rd, 55th, 56th and 57th Russian Antarctic Expeditions for their valuable support of the fieldwork. This work was funded by the German Research Foundation DFG (grants DI 473/20, DI 473/34, DI 473/38) and the Russian Foundation of Basic Research (grant 10-05-91330-NNIO-a). We thank two anonymous reviewers and the editor T. Scambos for valuable comments.</t>
  </si>
  <si>
    <t>10.3189/2013JoG12J056</t>
  </si>
  <si>
    <t>WOS:000319716100010</t>
  </si>
  <si>
    <t>Barrand, NE; Hindmarsh, RCA; Arthern, RJ; Williams, CR; Mouginot, J; Scheuchl, B; Rignot, E; Ligtenberg, SRM; Van den Broeke, MR; Edwards, TL; Cook, AJ; Simonsen, SB</t>
  </si>
  <si>
    <t>Barrand, Nicholas E.; Hindmarsh, Richard C. A.; Arthern, Robert J.; Williams, C. Rosie; Mouginot, Jeremie; Scheuchl, Bernd; Rignot, Eric; Ligtenberg, Stefan R. M.; Van den Broeke, Michiel R.; Edwards, Tamsin L.; Cook, Alison J.; Simonsen, Sebastian B.</t>
  </si>
  <si>
    <t>Computing the volume response of the Antarctic Peninsula ice sheet to warming scenarios to 2200</t>
  </si>
  <si>
    <t>CLIMATE; SHELF; MASS; GLACIER; SURFACE; STRESS; LARSEN; FLOW; ELEVATION; COLLAPSE</t>
  </si>
  <si>
    <t>The contribution to sea level to 2200 from the grounded, mainland Antarctic Peninsula ice sheet (APIS) was calculated using an ice-sheet model initialized with a new technique computing ice fluxes based on observed surface velocities, altimetry and surface mass balance, and computing volume response using a linearized method. Volume change estimates of the APIS resulting from surface mass-balance anomalies calculated by the regional model RACMO2, forced by A1B and E1 scenarios of the global models ECHAM5 and HadCM3, predicted net negative sea-level contributions between -0.5 and -12 mm sea-level equivalent (SLE) by 2200. Increased glacier flow due to ice thickening returned similar to 15% of the increased accumulation to the sea by 2100 and similar to 30% by 2200. The likely change in volume of the APIS by 2200 in response to imposed 10 and 20 km retreats of the grounding line at individual large outlet glaciers in Palmer Land, southern Antarctic Peninsula, ranged between 0.5 and 3.5 mm SLE per drainage basin. Ensemble calculations of APIS volume change resulting from imposed grounding-line retreat due to ice-shelf break-up scenarios applied to all 20 of the largest drainage basins in Palmer Land (covering similar to 40% of the total area of APIS) resulted in net sea-level contributions of 7-16 mm SLE by 2100, and 10-25 mm SLE by 2200. Inclusion of basins in the northern peninsula and realistic simulation of grounding-line movement for AP outlet glaciers will improve future projections.</t>
  </si>
  <si>
    <t>[Barrand, Nicholas E.; Hindmarsh, Richard C. A.; Arthern, Robert J.; Williams, C. Rosie] British Antarctic Survey, Nat Environm Res Council, Cambridge CB3 0ET, England; [Mouginot, Jeremie; Scheuchl, Bernd; Rignot, Eric] Univ Calif Irvine, Dept Earth Syst Sci, Irvine, CA USA; [Rignot, Eric] CALTECH, Jet Prop Lab, Pasadena, CA USA; [Ligtenberg, Stefan R. M.; Van den Broeke, Michiel R.] Univ Utrecht, Inst Marine &amp; Atmospher Res, Utrecht, Netherlands; [Edwards, Tamsin L.] Univ Bristol, Sch Geog Sci, Bristol, Avon, England; [Cook, Alison J.] Swansea Univ, Sch Environm &amp; Soc, Swansea, W Glam, Wales; [Simonsen, Sebastian B.] Univ Copenhagen, Niels Bohr Inst, Ctr Ice &amp; Climate, DK-2100 Copenhagen, Denmark</t>
  </si>
  <si>
    <t>UK Research &amp; Innovation (UKRI); Natural Environment Research Council (NERC); NERC British Antarctic Survey; University of California System; University of California Irvine; California Institute of Technology; National Aeronautics &amp; Space Administration (NASA); NASA Jet Propulsion Laboratory (JPL); Utrecht University; University of Bristol; Swansea University; University of Copenhagen; Niels Bohr Institute</t>
  </si>
  <si>
    <t>Barrand, NE (corresponding author), Univ Birmingham, Sch Geog Earth &amp; Environm Sci, Birmingham, W Midlands, England.</t>
  </si>
  <si>
    <t>n.e.barrand@bham.ac.uk</t>
  </si>
  <si>
    <t>Simonsen, Sebastian Bjerregaard/F-4791-2013; Edwards, Tamsin/H-6462-2019; Ligtenberg, Stefan/AAF-8290-2020; Van den Broeke, Michiel R./F-7867-2011; Mouginot, Jeremie/G-7045-2015; Hindmarsh, Richard/N-1195-2019; Rignot, Eric/A-4560-2014</t>
  </si>
  <si>
    <t>Simonsen, Sebastian Bjerregaard/0000-0001-9569-1294; Edwards, Tamsin/0000-0002-4760-4704; Van den Broeke, Michiel R./0000-0003-4662-7565; Mouginot, Jeremie/0000-0001-9155-5455; Hindmarsh, Richard/0000-0003-1633-2416; Rignot, Eric/0000-0002-3366-0481; Barrand, Nicholas/0000-0003-4428-1863</t>
  </si>
  <si>
    <t>ice2sea programme from the European Union 7th Framework Programme [226375]; British Antarctic Survey Polar Science for Planet Earth programme; Netherlands Polar Program of the Netherlands Organization for Scientific Research (NWO/ALW); NERC [bas0100027] Funding Source: UKRI; Natural Environment Research Council [bas0100027] Funding Source: researchfish</t>
  </si>
  <si>
    <t>ice2sea programme from the European Union 7th Framework Programme; British Antarctic Survey Polar Science for Planet Earth programme; Netherlands Polar Program of the Netherlands Organization for Scientific Research (NWO/ALW); NERC(UK Research &amp; Innovation (UKRI)Natural Environment Research Council (NERC)); Natural Environment Research Council(UK Research &amp; Innovation (UKRI)Natural Environment Research Council (NERC))</t>
  </si>
  <si>
    <t>This work was supported by funding from the ice2sea programme from the European Union 7th Framework Programme grant No. 226375, the British Antarctic Survey Polar Science for Planet Earth programme, and the Netherlands Polar Program of the Netherlands Organization for Scientific Research (NWO/ALW). This is ice2sea contribution No. 126. We thank an anonymous reviewer and Graham Cogley for comments which improved the manuscript.</t>
  </si>
  <si>
    <t>10.3189/2013JoG12J139</t>
  </si>
  <si>
    <t>WOS:000323189600001</t>
  </si>
  <si>
    <t>Pattyn, F; Perichon, L; Durand, G; Favier, L; Gagliardini, O; Hindmarsh, RCA; Zwinger, T; Albrecht, T; Cornford, S; Docquier, D; Fürst, JJ; Goldberg, D; Gudmundsson, GH; Humbert, A; Hütten, M; Huybrechts, P; Jouvet, G; Kleiner, T; Larour, E; Martin, D; Morlighem, M; Payne, AJ; Pollard, D; Rückamp, M; Rybak, O; Seroussi, H; Thoma, M; Wilkens, N</t>
  </si>
  <si>
    <t>Pattyn, Frank; Perichon, Laura; Durand, Gael; Favier, Lionel; Gagliardini, Olivier; Hindmarsh, Richard C. A.; Zwinger, Thomas; Albrecht, Torsten; Cornford, Stephen; Docquier, David; Furst, Johannes J.; Goldberg, Daniel; Gudmundsson, G. Hilmar; Humbert, Angelika; Huetten, Moritz; Huybrechts, Philippe; Jouvet, Guillaume; Kleiner, Thomas; Larour, Eric; Martin, Daniel; Morlighem, Mathieu; Payne, Anthony J.; Pollard, David; Rueckamp, Martin; Rybak, Oleg; Seroussi, Helene; Thoma, Malte; Wilkens, Nina</t>
  </si>
  <si>
    <t>Grounding-line migration in plan-view marine ice-sheet models: results of the ice2sea MISMIP3d intercomparison</t>
  </si>
  <si>
    <t>HIGHER-ORDER; PART 1; FLOW; DYNAMICS; SENSITIVITY; STABILITY</t>
  </si>
  <si>
    <t>Predictions of marine ice-sheet behaviour require models able to simulate grounding-line migration. We present results of an intercomparison experiment for plan-view marine ice-sheet models. Verification is effected by comparison with approximate analytical solutions for flux across the grounding line using simplified geometrical configurations (no lateral variations, no buttressing effects from lateral drag). Perturbation experiments specifying spatial variation in basal sliding parameters permitted the evolution of curved grounding lines, generating buttressing effects. The experiments showed regions of compression and extensional flow across the grounding line, thereby invalidating the boundary layer theory. Steady-state grounding-line positions were found to be dependent on the level of physical model approximation. Resolving grounding lines requires inclusion of membrane stresses, a sufficiently small grid size (&lt;500 m), or subgrid interpolation of the grounding line. The latter still requires nominal grid sizes of &lt;5 km. For larger grid spacings, appropriate parameterizations for ice flux may be imposed at the grounding line, but the short-time transient behaviour is then incorrect and different from models that do not incorporate grounding-line parameterizations. The numerical error associated with predicting grounding-line motion can be reduced significantly below the errors associated with parameter ignorance and uncertainties in future scenarios.</t>
  </si>
  <si>
    <t>[Pattyn, Frank; Perichon, Laura; Docquier, David] Univ Libre Bruxelles, Lab Glaciol, Brussels, Belgium; [Durand, Gael; Favier, Lionel; Gagliardini, Olivier] UJF Grenoble I, CNRS, LGGE, Grenoble, France; [Gagliardini, Olivier] Inst Univ France, Paris, France; [Hindmarsh, Richard C. A.; Gudmundsson, G. Hilmar] British Antarctic Survey, Nat Environm Res Council, Cambridge CB3 0ET, England; [Zwinger, Thomas] CSC IT Ctr Sci Ltd, Espoo, Finland; [Albrecht, Torsten; Huetten, Moritz] Potsdam Inst Climate Impact Res, Potsdam, Germany; [Albrecht, Torsten; Huetten, Moritz] Univ Potsdam, Inst Phys, Potsdam, Germany; [Cornford, Stephen; Payne, Anthony J.] Univ Bristol, Sch Geog Sci, Bristol Glaciol Ctr, Bristol, Avon, England; [Furst, Johannes J.; Huybrechts, Philippe; Rybak, Oleg] Vrije Univ Brussel, Brussels, Belgium; [Furst, Johannes J.; Huybrechts, Philippe; Rybak, Oleg] Vrije Univ Brussel, Dept Geog, Brussels, Belgium; [Goldberg, Daniel] MIT, Dept Earth Atmospher &amp; Planetary Sci, Cambridge, MA USA; [Humbert, Angelika; Rueckamp, Martin; Wilkens, Nina] Univ Hamburg, Inst Geophys IfG, Hamburg, Germany; [Humbert, Angelika; Kleiner, Thomas; Thoma, Malte] Alfred Wegener Inst Polar &amp; Marine Res, Bremerhaven, Germany; [Jouvet, Guillaume] Free Univ Berlin, Inst Math, Berlin, Germany; [Larour, Eric; Seroussi, Helene] CALTECH, Jet Prop Lab, Pasadena, CA USA; [Martin, Daniel] Univ Calif Berkeley, Lawrence Berkeley Natl Lab, Berkeley, CA 94720 USA; [Morlighem, Mathieu] Univ Calif Irvine, Dept Earth Syst Sci, Irvine, CA USA; [Pollard, David] Penn State Univ, Earth &amp; Environm Syst Inst, University Pk, PA 16802 USA</t>
  </si>
  <si>
    <t>Universite Libre de Bruxelles; Centre National de la Recherche Scientifique (CNRS); Communaute Universite Grenoble Alpes; Universite Grenoble Alpes (UGA); Institut Universitaire de France; UK Research &amp; Innovation (UKRI); Natural Environment Research Council (NERC); NERC British Antarctic Survey; Finnish IT center for science; Potsdam Institut fur Klimafolgenforschung; University of Potsdam; University of Bristol; Vrije Universiteit Brussel; Vrije Universiteit Brussel; Massachusetts Institute of Technology (MIT); University of Hamburg; Helmholtz Association; Alfred Wegener Institute, Helmholtz Centre for Polar &amp; Marine Research; Free University of Berlin; National Aeronautics &amp; Space Administration (NASA); NASA Jet Propulsion Laboratory (JPL); California Institute of Technology; University of California System; University of California Berkeley; United States Department of Energy (DOE); Lawrence Berkeley National Laboratory; University of California System; University of California Irvine; Pennsylvania Commonwealth System of Higher Education (PCSHE); Pennsylvania State University; Pennsylvania State University - University Park</t>
  </si>
  <si>
    <t>Pattyn, F (corresponding author), Univ Libre Bruxelles, Lab Glaciol, Brussels, Belgium.</t>
  </si>
  <si>
    <t>fpattyn@ulb.ac.be</t>
  </si>
  <si>
    <t>Morlighem, Mathieu/O-9942-2014; Rybak, Oleg/B-7308-2014; Jouvet, Guillaume/HNC-4394-2023; Gudmundsson, Gudmundur Hilmar/F-6499-2012; Gagliardini, Olivier/GQQ-1222-2022; Gudmundsson, Gudmundur Hilmar/AAU-5987-2020; Seroussi, Helene/AAX-5342-2021; Hindmarsh, Richard/N-1195-2019; Docquier, David/P-5635-2019; Kleiner, Thomas/F-6821-2015; albrecht, torsten/J-8259-2019; Rybak, Oleg/AAQ-8467-2020; Pattyn, Frank/AAA-9640-2019; payne, antony/A-8916-2008; Huybrechts, Philippe/J-5278-2013; Zwinger, Thomas/H-5163-2018</t>
  </si>
  <si>
    <t>Morlighem, Mathieu/0000-0001-5219-1310; Rybak, Oleg/0000-0003-3923-7163; Jouvet, Guillaume/0000-0002-8546-8459; Gudmundsson, Gudmundur Hilmar/0000-0003-4236-5369; Gagliardini, Olivier/0000-0001-9162-3518; Gudmundsson, Gudmundur Hilmar/0000-0003-4236-5369; Seroussi, Helene/0000-0001-9201-1644; Hindmarsh, Richard/0000-0003-1633-2416; Docquier, David/0000-0002-5720-4253; Kleiner, Thomas/0000-0001-7825-5765; albrecht, torsten/0000-0001-7459-2860; Rybak, Oleg/0000-0002-7234-0544; Pattyn, Frank/0000-0003-4805-5636; payne, antony/0000-0001-8825-8425; Cornford, Stephen/0000-0003-1844-274X; Thoma, Malte/0000-0002-4033-3905; Martin, Daniel/0000-0003-4488-2538; Huybrechts, Philippe/0000-0003-1406-0525; Zwinger, Thomas/0000-0003-3360-4401; Humbert, Angelika/0000-0002-0244-8760; Durand, Gael/0000-0001-8979-2355; Hutten, Moritz/0000-0002-2133-5251; Ruckamp, Martin/0000-0003-2512-7238; Cornford, Stephen/0000-0002-2461-1645; favier, lionel/0000-0002-5392-3031</t>
  </si>
  <si>
    <t>ice2sea project from the European Union 7th Framework Programme [226375]; NASA Cryospheric Sciences Program; NASA Modeling Analysis and Prediction Program; NASA; NERC [bas0100027, NE/E006256/1, NE/J008087/1, NE/J008095/1, NE/F015526/1] Funding Source: UKRI; Natural Environment Research Council [NE/J008095/1, bas0100027, NE/E006256/1, NE/J008087/1, NE/F015526/1] Funding Source: researchfish; Directorate For Geosciences; Office of Polar Programs (OPP) [1155885] Funding Source: National Science Foundation</t>
  </si>
  <si>
    <t>ice2sea project from the European Union 7th Framework Programme(European Union (EU)); NASA Cryospheric Sciences Program(National Aeronautics &amp; Space Administration (NASA)); NASA Modeling Analysis and Prediction Program(National Aeronautics &amp; Space Administration (NASA)); NASA(National Aeronautics &amp; Space Administration (NASA));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</si>
  <si>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This work was supported by funding from the ice2sea project from the European Union 7th Framework Programme, grant No. 226375. This is ice2sea contribution No. 112. LGGE was granted access to the high-performance computing resources of CINES (Centre Informatique National de l'Enseignement Superieur, France) under allocations 2011-016066 and 2012-016066 made by GENCI (Grand Equipement National de Calcul Intensif) to perform the Elmer/Ice simulations. E. Larour and M. Morlighem are supported by the NASA Cryospheric Sciences and Modeling Analysis and Prediction Programs. H. Seroussi was supported by an appointment to the NASA Postdoctoral Program at the Jet Propulsion Laboratory, administered by Oak Ridge Associated Universities through a contract with NASA. We wish to acknowledge the helpful comments of J. Johnson and F. Saito, as well as the Scientific Editor R. Greve.</t>
  </si>
  <si>
    <t>10.3189/2013JoG12J129</t>
  </si>
  <si>
    <t>WOS:000323189600002</t>
  </si>
  <si>
    <t>Yao, P; Schwab, VF; Roth, VN; Xu, BQ; Yao, TD; Gleixner, G</t>
  </si>
  <si>
    <t>Yao, Ping; Schwab, Valerie F.; Roth, Vanessa-Nina; Xu, Baiqing; Yao, Tandong; Gleixner, Gerd</t>
  </si>
  <si>
    <t>Levoglucosan concentrations in ice-core samples from the Tibetan Plateau determined by reverse-phase high-performance liquid chromatography mass spectrometry</t>
  </si>
  <si>
    <t>ATMOSPHERIC AEROSOLS; ELECTROSPRAY-IONIZATION; MOLECULAR MARKER; SUMMER MONSOON; MUZTAGH ATA; IDENTIFICATION; RECORD; OPTIMIZATION; TRACERS; CARBON</t>
  </si>
  <si>
    <t>Levoglucosan is a unique marker for biomass burning that can be transported in the atmosphere and preserved in archives such as ice cores. A new method to determine the concentrations of levoglucosan in Tibetan ice-core samples using high-performance liquid chromatography with electrospray ionization mass spectrometry (HPLC-ESI/MS) was developed. Levoglucosan was separated from coeluting water-soluble organic compounds using a C-18 column with a gradient program from 50% to 90% methanol in ultrapure water. An external standard calibration curve (R-2 = 0.9958) was established by plotting the ion m/z 163 [M+H](+) peak area versus the amount of analyte. The repeatability ranges between 11 % and 2% at a concentration around 10 and 150 ng mL(-1). The limit of detection was 10 ng mL(-1) and the limit of quantification was 40 ng mL(-1). Levoglucosan concentrations ranged from 10 to 718 ng mL(-1) in the Muztagh Ata ice core and from 10 to 93 ng mL(-1) in the Tanggula ice core. These concentrations, up to 1000 times higher than those measured in samples from Antarctic and Greenland, Showed the higher vulnerability of the Tibetan Plateau glaciers to biomass burning events.</t>
  </si>
  <si>
    <t>[Yao, Ping; Xu, Baiqing; Yao, Tandong] Chinese Acad Sci, Inst Tibetan Plateau Res, Beijing, Peoples R China; [Yao, Ping] Univ Chinese Acad Sci, Beijing, Peoples R China; [Yao, Ping; Schwab, Valerie F.; Roth, Vanessa-Nina; Gleixner, Gerd] Max Planck Inst Biogeochem, D-07745 Jena, Germany; [Schwab, Valerie F.; Roth, Vanessa-Nina] Univ Jena, Jena, Germany</t>
  </si>
  <si>
    <t>Chinese Academy of Sciences; Institute of Tibetan Plateau Research, CAS; Chinese Academy of Sciences; University of Chinese Academy of Sciences, CAS; Max Planck Society; Friedrich Schiller University of Jena</t>
  </si>
  <si>
    <t>Yao, P (corresponding author), Chinese Acad Sci, Inst Tibetan Plateau Res, Beijing, Peoples R China.</t>
  </si>
  <si>
    <t>vschwab@bgc-jena.mpg.de</t>
  </si>
  <si>
    <t>Gleixner, Gerd/M-8519-2017; Gleixner, Gerd/O-4215-2019</t>
  </si>
  <si>
    <t>Gleixner, Gerd/0000-0002-4616-0953; Gleixner, Gerd/0000-0002-4616-0953</t>
  </si>
  <si>
    <t>National Natural Science Foundation of China [40930526, 41125003, 41190081, 41190084]; Max-Planck-Gesellschaft; German Research Foundation DFG [1257]; Chinese Academy of Sciences</t>
  </si>
  <si>
    <t>National Natural Science Foundation of China(National Natural Science Foundation of China (NSFC)); Max-Planck-Gesellschaft(Max Planck Society); German Research Foundation DFG(German Research Foundation (DFG)); Chinese Academy of Sciences(Chinese Academy of Sciences)</t>
  </si>
  <si>
    <t>This research was supported by the National Natural Science Foundation of China (40930526, 41125003, 41190081, 41190084). We thank the Max-Planck-Gesellschaft and Chinese Academy of Sciences doctoral promotion program 2010 for financial support of Ping Yao, and the German Research Foundation DFG (1257) for financial support of Vanessa-Nina Roth. We thank Susan Trumbore for helpful advice and discussions. We also thank Andrea Gambaro and another reviewer for helpful suggestions. We gratefully acknowledge the US National Oceanic and Atmospheric Administration (NOAA) Air Resources Laboratory (ARL) for provision of the HYSPLIT transport and dispersion model and READY website (http://ready.arl.noaa.gov).</t>
  </si>
  <si>
    <t>10.3189/2013JoG12J157</t>
  </si>
  <si>
    <t>214RP</t>
  </si>
  <si>
    <t>WOS:000324153800001</t>
  </si>
  <si>
    <t>Luthcke, SB; Sabaka, TJ; Loomis, BD; Arendt, AA; McCarthy, JJ; Camp, J</t>
  </si>
  <si>
    <t>Luthcke, Scott B.; Sabaka, T. J.; Loomis, B. D.; Arendt, A. A.; McCarthy, J. J.; Camp, J.</t>
  </si>
  <si>
    <t>Antarctica, Greenland and Gulf of Alaska land-ice evolution from an iterated GRACE global mascon solution</t>
  </si>
  <si>
    <t>GLACIAL ISOSTATIC-ADJUSTMENT; GRAVITY-FIELD; MASS-LOSS; SHEET; SURFACE; MODEL; EARTH; VARIABILITY; GRAVIMETRY; BALANCE</t>
  </si>
  <si>
    <t>We have determined the ice mass evolution of the Antarctic and Greenland ice sheets (AIS and GIS) and Gulf of Alaska (GOA) glaciers from a new GRACE global solution of equal-area surface mass concentration parcels (mascons) in equivalent height of water. The mascons were estimated directly from the reduction of the inter-satellite K-band range-rate (KBRR) observations, taking into account the full noise covariance, and formally iterating the solution. The new solution increases signal recovery while reducing the GRACE KBRR observation residuals. The mascons were estimated with 10 day and 1 arcdeg equal-area sampling, applying anisotropic constraints. An ensemble empirical mode decomposition adaptive filter was applied to the mascon time series to compute annual mass balances. The details and causes of the spatial and temporal variability of the land-ice regions studied are discussed. The estimated mass trend over the total GIS, AIS and GOA glaciers for the time period 1 December 2003 to 1 December 2010 is -380 +/- 31 Gt a(-1), equivalent to -1.05 +/- 0.09 mm a(-1) sea-level rise. Over the same time period we estimate the mass acceleration to be -41 +/- 27 Gt a(-2), equivalent to a -0.11 +/- 0.08 mm a(-2) sea-level acceleration. The trends and accelerations are dependent on significant seasonal and annual balance anomalies.</t>
  </si>
  <si>
    <t>[Luthcke, Scott B.; Sabaka, T. J.] NASA, Goddard Space Flight Ctr, Planetary Geodynam Lab, Greenbelt, MD 20771 USA; [Loomis, B. D.; McCarthy, J. J.] SGT Inc, Sci Div, Greenbelt, MD USA; [Arendt, A. A.] Univ Alaska, Fairbanks, AK 99701 USA; [Camp, J.] NASA, Goddard Space Flight Ctr, Gravitat Astrophys Lab, Greenbelt, MD 20771 USA</t>
  </si>
  <si>
    <t>National Aeronautics &amp; Space Administration (NASA); NASA Goddard Space Flight Center; Stinger Ghaffarian Technologies, Inc. (SGT); University of Alaska System; University of Alaska Fairbanks; National Aeronautics &amp; Space Administration (NASA); NASA Goddard Space Flight Center</t>
  </si>
  <si>
    <t>Luthcke, SB (corresponding author), NASA, Goddard Space Flight Ctr, Planetary Geodynam Lab, Greenbelt, MD 20771 USA.</t>
  </si>
  <si>
    <t>scott.b.luthcke@nasa.gov</t>
  </si>
  <si>
    <t>Sabaka, Terence J/D-5618-2012; Loomis, Bryant/AIC-7436-2022; Luthcke, Scott B/D-6283-2012</t>
  </si>
  <si>
    <t>Loomis, Bryant/0000-0002-9370-9160; Arendt, Anthony/0000-0003-0429-6905</t>
  </si>
  <si>
    <t>Interdisciplinary Research in Earth Science [NNH09ZDA001N-IDS]; GRACE science team [NNH06ZDA001N-GRACE, NNH10ZDA001N-GRACE]; Cryospheric Sciences [NNH07ZDA001N-CRYO]; Directorate For Geosciences; Division Of Earth Sciences [0911764] Funding Source: National Science Foundation</t>
  </si>
  <si>
    <t>Interdisciplinary Research in Earth Science; GRACE science team; Cryospheric Sciences; Directorate For Geosciences; Division Of Earth Sciences(National Science Foundation (NSF)NSF - Directorate for Geosciences (GEO))</t>
  </si>
  <si>
    <t>Support for this work was provided by NASA under the Interdisciplinary Research in Earth Science (NNH09ZDA001N-IDS), the GRACE science team (NNH06ZDA001N-GRACE and NNH10ZDA001N-GRACE) and the Cryospheric Sciences (NNH07ZDA001N-CRYO) programs. We thank NASA GSFC NCCS computer services for computational resources used in this research. We gratefully acknowledge the quality of the GRACE Level-1B products produced by our colleagues at the Jet Propulsion Laboratory, California Institute of Technology, Pasadena. We thank J.P. Boy and R.D. Ray for contributions to the forward models applied in our GRACE data reduction and analysis. We acknowledge the software development and maintenance support of T.A. Pennington and D.E. Pavlis. We especially acknowledge the numerous contributions of D.D. Rowlands in developing the foundation of algorithms and software necessary to carry out this research. In addition, we thank D.D. Rowlands for the many technical discussions and support. We also thank the reviewers for thoughtful comments and suggestions.</t>
  </si>
  <si>
    <t>10.3189/2013JoG12J147</t>
  </si>
  <si>
    <t>WOS:000324153800002</t>
  </si>
  <si>
    <t>Kingslake, J; Ng, F</t>
  </si>
  <si>
    <t>Kingslake, Jonathan; Ng, Felix</t>
  </si>
  <si>
    <t>Quantifying the predictability of the timing of jokulhlaups from Merzbacher Lake, Kyrgyzstan</t>
  </si>
  <si>
    <t>GLACIAL OUTBURST FLOODS; ICE-MARGINAL LAKE; SUBGLACIAL FLOODS; DAMMED LAKE; KENNICOTT GLACIER; DRAINAGE; ICELAND; FLOW; SWITZERLAND; REANALYSIS</t>
  </si>
  <si>
    <t>Glacier-dammed lakes can yield subglacial outburst floods (jokulhlaups) repeatedly. Predicting flood timing is crucial for hazard mitigation, but incomplete understanding of flood-initiation physics makes this challenging. Here we examine the predictability of the timing of jokulhlaups from Merzbacher Lake, Kyrgyzstan, using five flood-date prediction models of varying complexity. The simplest model, which offers a benchmark against which the other models are compared, assumes that floods occur on the same date each year. The other four models predict flood dates using a flood-initiation threshold approach and incorporate weather forcing (approximated by the output of two climate reanalyses) behind the meltwater input to the lake; the most complex of these models accounts for a moving subglacial water divide beneath the glacier that dams the lake. Each model is optimized against recorded flood dates to maximize its prediction ability. In terms of their flood prediction ability, our two best models are those that assume a variable outburst threshold governed by the rate of meltwater input to the lake and the rate of lake-level rise. They excel over the simplest and most complex models and correctly predict flood dates to within +/- 20 days 57.4% of the time. We also quantify the impact of weather uncertainty on prediction success. Our findings can inform practical flood-forecasting schemes and future investigations of flood-initiation physics.</t>
  </si>
  <si>
    <t>[Kingslake, Jonathan; Ng, Felix] Univ Sheffield, Dept Geog, Sheffield S10 2TN, S Yorkshire, England</t>
  </si>
  <si>
    <t>University of Sheffield</t>
  </si>
  <si>
    <t>Kingslake, J (corresponding author), British Antarctic Survey, NERC, Cambridge, England.</t>
  </si>
  <si>
    <t>jonngs@bas.ac.uk</t>
  </si>
  <si>
    <t>University of Sheffield PhD Studentship; Natural Environment Research Council [bas0100027] Funding Source: researchfish; NERC [bas0100027] Funding Source: UKRI</t>
  </si>
  <si>
    <t>University of Sheffield PhD Studentship; Natural Environment Research Council(UK Research &amp; Innovation (UKRI)Natural Environment Research Council (NERC)); NERC(UK Research &amp; Innovation (UKRI)Natural Environment Research Council (NERC))</t>
  </si>
  <si>
    <t>We thank Liu Siyin for providing the last three flood dates in Table 1. J.K. acknowledges the support of a University of Sheffield PhD Studentship. We thank Joseph Walder and an anonymous reviewer for positive and constructive reviews that have helped us clarify and strengthen the paper.</t>
  </si>
  <si>
    <t>10.3189/2013JoG12J156</t>
  </si>
  <si>
    <t>Green Accepted, Bronze, Green Submitted</t>
  </si>
  <si>
    <t>WOS:000325385200001</t>
  </si>
  <si>
    <t>Freitag, J; Kipfstuhl, S; Laepple, T</t>
  </si>
  <si>
    <t>Freitag, Johannes; Kipfstuhl, Sepp; Laepple, Thomas</t>
  </si>
  <si>
    <t>Core-scale radioscopic imaging: a new method reveals density-calcium link in Antarctic urn</t>
  </si>
  <si>
    <t>FIRN; DENSIFICATION</t>
  </si>
  <si>
    <t>A new radioscopic imaging technique has been developed to measure firn density in unprecedented resolution and accuracy even when the porosity is low or the geometry of a core or piece of core is not perfect. The technique is based on an X-ray microfocus computer tomograph (ICE-CT) designed especially for ice-core applications. Applied on an archive piece of the Antarctic firn core B32 drilled in Dronning Maud Land in 1998, the obtained density profile shows a strong correlation with the calcium ion concentration as found previously in Greenland. Given the impurity density relationship found previously in Greenland, our result suggests both improved accuracy of the new density measurements and an impurity density relationship with a similar magnitude in Greenland to that on the Antarctic plateau. Our measurements provide first evidence that the impurity density relationship is a universal feature of polar firn and that the calcium ion concentration can serve as a proxy to describe quantitatively the effect of the impurities on densification.</t>
  </si>
  <si>
    <t>[Freitag, Johannes; Kipfstuhl, Sepp; Laepple, Thomas] Helmholtz Ctr Polar &amp; Marine Res, Alfred Wegener Inst, Bremerhaven, Germany</t>
  </si>
  <si>
    <t>Freitag, J (corresponding author), Helmholtz Ctr Polar &amp; Marine Res, Alfred Wegener Inst, Bremerhaven, Germany.</t>
  </si>
  <si>
    <t>johannes.freitag@awi.de</t>
  </si>
  <si>
    <t>Laepple, Thomas/M-8783-2015</t>
  </si>
  <si>
    <t>Laepple, Thomas/0000-0001-8108-7520</t>
  </si>
  <si>
    <t>Daimler and Benz Foundation</t>
  </si>
  <si>
    <t>We thank Maria Seifert and Robin Beer for support of the X2D measurements, and Michael Salamon and Virginia Voland from Fraunhofer EZRT for keeping the ICE-CT and software analysis running. T. Laepple was supported by the Daimler and Benz Foundation.</t>
  </si>
  <si>
    <t>10.3189/2013JoG13J028</t>
  </si>
  <si>
    <t>WOS:000329013700001</t>
  </si>
  <si>
    <t>Aartsen, MG; Abbasi, R; Abdou, Y; Ackermann, M; Adams, J; Aguilar, JA; Ahlers, M; Altmann, D; Auffenberg, J; Bai, X; Baker, M; Barwick, SW; Baum, V; Bay, R; Beatty, JJ; Bechet, S; Becker, KH; Tjus, JB; Bell, M; Benabderrahmane, ML; BenZvi, S; Berdermann, J; Berghaus, P; Berley, D; Bernardini, E; Bernhard, A; Bertrand, D; Besson, DZ; Binder, G; Bindig, D; Bissok, M; Blaufuss, E; Blumenthal, J; Boersma, DJ; Bohaichuk, S; Bohm, C; Bose, D; Böser, S; Botner, O; Brayeur, L; Bretz, HP; Brown, AM; Bruijn, R; Brunner, J; Carson, M; Casey, J; Casier, M; Cherwinka, J; Chirkin, D; Christov, A; Christy, B; Clark, K; Clevermann, F; Coenders, S; Cohen, S; Cowen, DF; Silva, AHC; Danninger, M; Daughhetee, J; Davis, JC; De Clercq, C; De Ridder, S; Desiati, P; de With, M; DeYoung, T; Díaz-Vélez, JC; Dunkman, M; Eagan, R; Eberhardt, B; Eisch, J; Ellsworth, RW; Euler, S; Evenson, PA; Fadiran, O; Fazely, AR; Fedynitch, A; Feintzeig, J; Feusels, T; Filimonov, K; Finley, C; Fischer-Wasels, T; Flis, S; Franckowiak, A; Franke, R; Frantzen, K; Fuchs, T; Gaisser, TK; Gallagher, J; Gerhardt, L; Gladstone, L; Glüsenkamp, T; Goldschmidt, A; Golup, G; Gonzalez, JG; Goodman, JA; Góra, D; Grant, D; Gross, A; Gurtner, M; Ha, C; Ismail, AH; Hallen, P; Hallgren, A; Halzen, F; Hanson, K; Heereman, D; Heinen, D; Helbing, K; Hellauer, R; Hickford, S; Hill, GC; Hoffman, KD; Hoffmann, R; Homeier, A; Hoshina, K; Huelsnitz, W; Hulth, PO; Hultqvist, K; Hussain, S; Ishihara, A; Jacobi, E; Jacobsen, J; Jagielski, K; Japaridze, GS; Jero, K; Jlelati, O; Kaminsky, B; Kappes, A; Karg, T; Karle, A; Kelley, JL; Kiryluk, J; Kislat, F; Kläs, J; Klein, SR; Köhne, JH; Kohnen, G; Kolanoski, H; Köpke, L; Kopper, C; Kopper, S; Koskinen, DJ; Kowalski, M; Krasberg, M; Krings, K; Kroll, G; Kunnen, J; Kurahashi, N; Kuwabara, T; Labare, M; Landsman, H; Larson, MJ; Lesiak-Bzdak, M; Leuermann, M; Leute, J; Lünemann, J; Madsen, J; Maruyama, R; Mase, K; Matis, HS; McNally, F; Meagher, K; Merck, M; Mészáros, P; Meures, T; Miarecki, S; Midden, E; Milke, N; Miller, J; Mohrmann, L; Montaruli, T; Morse, R; Nahnhauer, R; Naumann, U; Niederhausen, H; Nowicki, SC; Nygren, DR; Obertacke, A; Odrowski, S; Olivas, A; Olivo, M; O'Murchadha, A; Paul, L; Pepper, JA; de los Heros, CP; Pfendner, C; Pieloth, D; Pinat, E; Pirk, N; Posselt, J; Price, PB; Przybylski, GT; Rädel, L; Rameez, M; Rawlins, K; Red, P; Reimann, R; Resconi, E; Rhode, W; Ribordy, M; Richman, M; Riede, B; Rodrigues, JP; Rott, C; Ruhe, T; Ruzybayev, B; Ryckbosch, D; Saba, SM; Salameh, T; Sander, HG; Santander, M; Sarkar, S; Schatto, K; Scheel, M; Scheriau, F; Schmidt, T; Schmitz, M; Schoenen, S; Schöneberg, S; Schönwald, A; Schukraft, A; Schulte, L; Schulz, O; Seckel, D; Sestayo, Y; Seunarine, S; Sheremata, C; Smith, MWE; Soiron, M; Soldin, D; Spiczak, GM; Spiering, C; Stamatikos, M; Stanev, T; Stasik, A; Stezelberger, T; Stokstad, RG; Stössl, A; Strahler, EA; Ström, R; Sullivan, GW; Taavola, H; Taboada, I; Tamburro, A; Ter-Antonyan, S; Tesic, G; Tilay, S; Toale, PA; Toscano, S; Tosi, D; Usner, M; van der Drift, D; van Eijndhoven, N; Van Overloop, A; van Santen, J; Vehring, M; Voge, M; Vraeghe, M; Walck, C; Waldenmaier, T; Wallraff, M; Wasserman, R; Weaver, C; Wellons, M; Wendt, C; Westerhoff, S; Whitehorn, N; Wiebe, K; Wiebusch, CH; Williams, DR; Wissing, H; Wolf, M; Wood, TR; Woschnagg, K; Xu, C; Xu, DL; Xu, XW; Yanez, JP; Yodh, G; Yoshida, S; Zarzhitsky, P; Ziemann, J; Zierke, S; Zilles, A; Zoll, M</t>
  </si>
  <si>
    <t>Aartsen, M. G.; Abbasi, R.; Abdou, Y.; Ackermann, M.; Adams, J.; Aguilar, J. A.; Ahlers, M.; Altmann, D.; Auffenberg, J.; Bai, X.; Baker, M.; Barwick, S. W.; Baum, V.; Bay, R.; Beatty, J. J.; Bechet, S.; Becker, K-H.; Tjus, J. Becker; Bell, M.; Benabderrahmane, M. L.; BenZvi, S.; Berdermann, J.; Berghaus, P.; Berley, D.; Bernardini, E.; Bernhard, A.; Bertrand, D.; Besson, D. Z.; Binder, G.; Bindig, D.; Bissok, M.; Blaufuss, E.; Blumenthal, J.; Boersma, D. J.; Bohaichuk, S.; Bohm, C.; Bose, D.; Boeser, S.; Botner, O.; Brayeur, L.; Bretz, H. -P.; Brown, A. M.; Bruijn, R.; Brunner, J.; Carson, M.; Casey, J.; Casier, M.; Cherwinka, J.; Chirkin, D.; Christov, A.; Christy, B.; Clark, K.; Clevermann, F.; Coenders, S.; Cohen, S.; Cowen, D. F.; Silva, A. H. Cruz; Danninger, M.; Daughhetee, J.; Davis, J. C.; De Clercq, C.; De Ridder, S.; Desiati, P.; de With, M.; DeYoung, T.; Diaz-Velez, J. C.; Dunkman, M.; Eagan, R.; Eberhardt, B.; Eisch, J.; Ellsworth, R. W.; Euler, S.; Evenson, P. A.; Fadiran, O.; Fazely, A. R.; Fedynitch, A.; Feintzeig, J.; Feusels, T.; Filimonov, K.; Finley, C.; Fischer-Wasels, T.; Flis, S.; Franckowiak, A.; Franke, R.; Frantzen, K.; Fuchs, T.; Gaisser, T. K.; Gallagher, J.; Gerhardt, L.; Gladstone, L.; Gluesenkamp, T.; Goldschmidt, A.; Golup, G.; Gonzalez, J. G.; Goodman, J. A.; Gora, D.; Grant, D.; Gross, A.; Gurtner, M.; Ha, C.; Ismail, A. Haj; Hallen, P.; Hallgren, A.; Halzen, F.; Hanson, K.; Heereman, D.; Heinen, D.; Helbing, K.; Hellauer, R.; Hickford, S.; Hill, G. C.; Hoffman, K. D.; Hoffmann, R.; Homeier, A.; Hoshina, K.; Huelsnitz, W.; Hulth, P. O.; Hultqvist, K.; Hussain, S.; Ishihara, A.; Jacobi, E.; Jacobsen, J.; Jagielski, K.; Japaridze, G. S.; Jero, K.; Jlelati, O.; Kaminsky, B.; Kappes, A.; Karg, T.; Karle, A.; Kelley, J. L.; Kiryluk, J.; Kislat, F.; Klaes, J.; Klein, S. R.; Koehne, J-H.; Kohnen, G.; Kolanoski, H.; Koepke, L.; Kopper, C.; Kopper, S.; Koskinen, D. J.; Kowalski, M.; Krasberg, M.; Krings, K.; Kroll, G.; Kunnen, J.; Kurahashi, N.; Kuwabara, T.; Labare, M.; Landsman, H.; Larson, M. J.; Lesiak-Bzdak, M.; Leuermann, M.; Leute, J.; Luenemann, J.; Madsen, J.; Maruyama, R.; Mase, K.; Matis, H. S.; McNally, F.; Meagher, K.; Merck, M.; Meszaros, P.; Meures, T.; Miarecki, S.; Midden, E.; Milke, N.; Miller, J.; Mohrmann, L.; Montaruli, T.; Morse, R.; Nahnhauer, R.; Naumann, U.; Niederhausen, H.; Nowicki, S. C.; Nygren, D. R.; Obertacke, A.; Odrowski, S.; Olivas, A.; Olivo, M.; O'Murchadha, A.; Paul, L.; Pepper, J. A.; de los Heros, C. Perez; Pfendner, C.; Pieloth, D.; Pinat, E.; Pirk, N.; Posselt, J.; Price, P. B.; Przybylski, G. T.; Raedel, L.; Rameez, M.; Rawlins, K.; Red, P.; Reimann, R.; Resconi, E.; Rhode, W.; Ribordy, M.; Richman, M.; Riede, B.; Rodrigues, J. P.; Rott, C.; Ruhe, T.; Ruzybayev, B.; Ryckbosch, D.; Saba, S. M.; Salameh, T.; Sander, H-G.; Santander, M.; Sarkar, S.; Schatto, K.; Scheel, M.; Scheriau, F.; Schmidt, T.; Schmitz, M.; Schoenen, S.; Schoeneberg, S.; Schoenwald, A.; Schukraft, A.; Schulte, L.; Schulz, O.; Seckel, D.; Sestayo, Y.; Seunarine, S.; Sheremata, C.; Smith, M. W. E.; Soiron, M.; Soldin, D.; Spiczak, G. M.; Spiering, C.; Stamatikos, M.; Stanev, T.; Stasik, A.; Stezelberger, T.; Stokstad, R. G.; Stoessl, A.; Strahler, E. A.; Strom, R.; Sullivan, G. W.; Taavola, H.; Taboada, I.; Tamburro, A.; Ter-Antonyan, S.; Tesic, G.; Tilay, S.; Toale, P. A.; Toscano, S.; Tosi, D.; Usner, M.; van der Drift, D.; van Eijndhoven, N.; Van Overloop, A.; van Santen, J.; Vehring, M.; Voge, M.; Vraeghe, M.; Walck, C.; Waldenmaier, T.; Wallraff, M.; Wasserman, R.; Weaver, Ch.; Wellons, M.; Wendt, C.; Westerhoff, S.; Whitehorn, N.; Wiebe, K.; Wiebusch, C. H.; Williams, D. R.; Wissing, H.; Wolf, M.; Wood, T. R.; Woschnagg, K.; Xu, C.; Xu, D. L.; Xu, X. W.; Yanez, J. P.; Yodh, G.; Yoshida, S.; Zarzhitsky, P.; Ziemann, J.; Zierke, S.; Zilles, A.; Zoll, M.</t>
  </si>
  <si>
    <t>South Pole glacial climate reconstruction from multi-borehole laser particulate stratigraphy</t>
  </si>
  <si>
    <t>EPICA-DOME-C; ICE-CORE; OPTICAL-PROPERTIES; DEEP ICE; VOLCANIC WINTER; DUST; VOSTOK; VARIABILITY; ANTARCTICA; GREENLAND</t>
  </si>
  <si>
    <t>The IceCube Neutrino Observatory and its prototype, AMANDA, were built in South Pole ice, using powerful hot-water drills to cleanly bore &gt;100 holes to depths up to 2500 m. The construction of these particle physics detectors provided a unique opportunity to examine the deep ice sheet using a variety of novel techniques. We made high-resolution particulate profiles with a laser dust logger in eight of the boreholes during detector commissioning between 2004 and 2010. The South Pole laser logs are among the most clearly resolved measurements of Antarctic dust strata during the last glacial period and can be used to reconstruct paleoclimate records in exceptional detail. Here we use manual and algorithmic matching to synthesize our South Pole measurements with ice-core and logging data from Dome C, East Antarctica. We derive impurity concentration, precision chronology, annual-layer thickness, local spatial variability, and identify several widespread volcanic ash depositions useful for dating. We also examine the interval around similar to 74 ka recently isolated with radiometric dating to bracket the Toba (Sumatra) supereruption.</t>
  </si>
  <si>
    <t>[Bissok, M.; Blumenthal, J.; Coenders, S.; Euler, S.; Hallen, P.; Heinen, D.; Jagielski, K.; Krings, K.; Leuermann, M.; Paul, L.; Raedel, L.; Reimann, R.; Scheel, M.; Schoenen, S.; Schukraft, A.; Soiron, M.; Vehring, M.; Wallraff, M.; Wiebusch, C. H.; Zierke, S.; Zilles, A.] Rhein Westfal TH Aachen, Phys Inst 3, Aachen, Germany; [Aartsen, M. G.; Hill, G. C.] Univ Adelaide, Sch Chem &amp; Phys, Adelaide, SA, Australia; [Rawlins, K.] Univ Alaska Anchorage, Dept Phys &amp; Astron, Anchorage, AK USA; [Japaridze, G. S.] Clark Atlanta Univ, CTSPS, Atlanta, GA 30314 USA; [Casey, J.; Daughhetee, J.; Huelsnitz, W.; Taboada, I.] Georgia Inst Technol, Sch Phys, Atlanta, GA 30332 USA; [Casey, J.; Daughhetee, J.; Huelsnitz, W.; Taboada, I.] Georgia Inst Technol, Ctr Relativist Astrophys, Atlanta, GA 30332 USA; [Fazely, A. R.; Ter-Antonyan, S.; Xu, X. W.] Southern Univ, Dept Phys, Baton Rouge, LA USA; [Bay, R.; Binder, G.; Filimonov, K.; Gerhardt, L.; Ha, C.; Klein, S. R.; Miarecki, S.; Price, P. B.; Tosi, D.; van der Drift, D.; Woschnagg, K.] Univ Calif Berkeley, Dept Phys, Berkeley, CA 94720 USA; [Binder, G.; Gerhardt, L.; Goldschmidt, A.; Ha, C.; Klein, S. R.; Matis, H. S.; Miarecki, S.; Nygren, D. R.; Przybylski, G. T.; Stezelberger, T.; Stokstad, R. G.; van der Drift, D.] Univ Calif Berkeley, Lawrence Berkeley Natl Lab, Berkeley, CA 94720 USA; [Altmann, D.; de With, M.; Kappes, A.; Kolanoski, H.; Waldenmaier, T.] Humboldt Univ, Inst Phys, D-10099 Berlin, Germany; [Tjus, J. Becker; Fedynitch, A.; Olivo, M.; Saba, S. M.; Schoeneberg, S.] Ruhr Univ Bochum, Fak Phys &amp; Astron, Bochum, Germany; [Boeser, S.; Franckowiak, A.; Homeier, A.; Kowalski, M.; Schulte, L.; Stasik, A.; Usner, M.; Voge, M.] Univ Bonn, Inst Phys, Bonn, Germany; [Bechet, S.; Bertrand, D.; Hanson, K.; Heereman, D.; Meures, T.; O'Murchadha, A.; Pinat, E.] Univ Libre Bruxelles, Sci Fac CP230, Brussels, Belgium; [Bose, D.; Brayeur, L.; Casier, M.; De Clercq, C.; Golup, G.; Kunnen, J.; Labare, M.; Miller, J.; Strahler, E. A.; van Eijndhoven, N.] Vrije Univ Brussel, Dienst ELEM, Brussels, Belgium; [Ishihara, A.; Mase, K.; Yoshida, S.] Chiba Univ, Dept Phys, Chiba 260, Japan; [Adams, J.; Brown, A. M.; Hickford, S.] Univ Canterbury, Dept Phys &amp; Astron, Christchurch 1, New Zealand; [Berley, D.; Blaufuss, E.; Christy, B.; Ellsworth, R. W.; Goodman, J. A.; Hellauer, R.; Hoffman, K. D.; Huelsnitz, W.; Meagher, K.; Olivas, A.; Red, P.; Richman, M.; Schmidt, T.; Sullivan, G. W.; Wissing, H.] Univ Maryland, Dept Phys, College Pk, MD 20742 USA; [Beatty, J. J.; Davis, J. C.; Pfendner, C.; Rott, C.; Stamatikos, M.] Ohio State Univ, Dept Phys, Columbus, OH 43210 USA; [Beatty, J. J.; Davis, J. C.; Pfendner, C.; Rott, C.; Stamatikos, M.] Ohio State Univ, Ctr Cosmol &amp; Astroparticle Phys, Columbus, OH 43210 USA; [Beatty, J. J.] Ohio State Univ, Dept Astron, Columbus, OH 43210 USA; [Clevermann, F.; Frantzen, K.; Fuchs, T.; Koehne, J-H.; Milke, N.; Pieloth, D.; Rhode, W.; Ruhe, T.; Scheriau, F.; Schmitz, M.; Ziemann, J.] TU Dortmund Univ, Dept Phys, Dortmund, Germany; [Bohaichuk, S.; Grant, D.; Nowicki, S. C.; Sheremata, C.; Wood, T. R.] Univ Alberta, Dept Phys, Edmonton, AB, Canada; [Aguilar, J. A.; Christov, A.; Montaruli, T.; Rameez, M.] Univ Geneva, Dept Phys Nucl &amp; Corpusculaire, Geneva, Switzerland; [Abdou, Y.; Carson, M.; De Ridder, S.; Feusels, T.; Ismail, A. Haj; Jlelati, O.; Ryckbosch, D.; Van Overloop, A.; Vraeghe, M.] Univ Ghent, Dept Phys &amp; Astron, B-9000 Ghent, Belgium; [Barwick, S. W.; Yodh, G.] Univ Calif Irvine, Dept Phys &amp; Astron, Irvine, CA USA; [Bruijn, R.; Cohen, S.; Ribordy, M.] Ecole Polytech Fed Lausanne, High Energy Phys Lab, Lausanne, Switzerland; [Besson, D. Z.] Univ Kansas, Dept Phys &amp; Astron, Lawrence, KS 66045 USA; [Gallagher, J.] Univ Wisconsin, Dept Astron, Madison, WI 53706 USA; [Abbasi, R.; Ahlers, M.; Auffenberg, J.; Baker, M.; BenZvi, S.; Cherwinka, J.; Chirkin, D.; Desiati, P.; Diaz-Velez, J. C.; Eisch, J.; Fadiran, O.; Feintzeig, J.; Gladstone, L.; Halzen, F.; Hoshina, K.; Jacobsen, J.; Jero, K.; Karle, A.; Kelley, J. L.; Kopper, C.; Krasberg, M.; Kurahashi, N.; Landsman, H.; Maruyama, R.; McNally, F.; Merck, M.; Morse, R.; Riede, B.; Rodrigues, J. P.; Santander, M.; Toscano, S.; van Santen, J.; Weaver, Ch.; Wellons, M.; Wendt, C.; Westerhoff, S.; Whitehorn, N.] Univ Wisconsin, Dept Phys, Madison, WI 53706 USA; [Abbasi, R.; Ahlers, M.; Auffenberg, J.; Baker, M.; BenZvi, S.; Cherwinka, J.; Chirkin, D.; Desiati, P.; Diaz-Velez, J. C.; Eisch, J.; Fadiran, O.; Feintzeig, J.; Gladstone, L.; Halzen, F.; Hoshina, K.; Jacobsen, J.; Jero, K.; Karle, A.; Kelley, J. L.; Kopper, C.; Krasberg, M.; Kurahashi, N.; Landsman, H.; Maruyama, R.; McNally, F.; Merck, M.; Morse, R.; Riede, B.; Rodrigues, J. P.; Santander, M.; Toscano, S.; van Santen, J.; Weaver, Ch.; Wellons, M.; Wendt, C.; Westerhoff, S.; Whitehorn, N.] Univ Wisconsin, Wisconsin IceCube Particle Astrophys Ctr, Madison, WI USA; [Baum, V.; Eberhardt, B.; Koepke, L.; Kroll, G.; Luenemann, J.; Sander, H-G.; Schatto, K.; Wiebe, K.] Johannes Gutenberg Univ Mainz, Inst Phys, Mainz, Germany; [Kohnen, G.] Univ Mons, B-7000 Mons, Belgium; [Bernhard, A.; Gross, A.; Leute, J.; Odrowski, S.; Resconi, E.; Schulz, O.; Sestayo, Y.] Tech Univ Munich, Garching, Germany; [Bai, X.; Evenson, P. A.; Gaisser, T. K.; Gonzalez, J. G.; Hussain, S.; Kuwabara, T.; Ruzybayev, B.; Seckel, D.; Stanev, T.; Tamburro, A.; Tilay, S.; Xu, C.] Univ Delaware, Bartol Res Inst, Newark, DE 19716 USA; [Bai, X.; Evenson, P. A.; Gaisser, T. K.; Gonzalez, J. G.; Hussain, S.; Kuwabara, T.; Ruzybayev, B.; Seckel, D.; Stanev, T.; Tamburro, A.; Tilay, S.; Xu, C.] Univ Delaware, Dept Phys &amp; Astron, Newark, DE 19716 USA; [Sarkar, S.] Univ Oxford, Dept Phys, Oxford, England; [Madsen, J.; Seunarine, S.; Spiczak, G. M.] Univ Wisconsin, Dept Phys, River Falls, WI 54022 USA; [Bohm, C.; Danninger, M.; Finley, C.; Flis, S.; Hulth, P. O.; Hultqvist, K.; Walck, C.; Wolf, M.; Zoll, M.] Stockholm Univ, Oskar Klein Ctr, S-10691 Stockholm, Sweden; [Bohm, C.; Danninger, M.; Finley, C.; Flis, S.; Hulth, P. O.; Hultqvist, K.; Walck, C.; Wolf, M.; Zoll, M.] Stockholm Univ, Dept Phys, S-10691 Stockholm, Sweden; [Kiryluk, J.; Lesiak-Bzdak, M.; Niederhausen, H.] SUNY Stony Brook, Dept Phys &amp; Astron, Stony Brook, NY 11794 USA; [Larson, M. J.; Pepper, J. A.; Toale, P. A.; Williams, D. R.; Xu, D. L.] Univ Alabama, Dept Phys &amp; Astron, Tuscaloosa, AL 35487 USA; [Cowen, D. F.; Meszaros, P.] Penn State Univ, Dept Astron &amp; Astrophys, University Pk, PA 16802 USA; [Bell, M.; Clark, K.; Cowen, D. F.; DeYoung, T.; Dunkman, M.; Eagan, R.; Koskinen, D. J.; Meszaros, P.; Salameh, T.; Smith, M. W. E.; Tesic, G.; Wasserman, R.] Penn State Univ, Dept Phys, University Pk, PA 16802 USA; [Boersma, D. J.; Botner, O.; Hallgren, A.; de los Heros, C. Perez; Strom, R.; Taavola, H.; Zarzhitsky, P.] Uppsala Univ, Dept Phys &amp; Astron, Uppsala, Sweden; [Becker, K-H.; Bindig, D.; Fischer-Wasels, T.; Gurtner, M.; Helbing, K.; Hoffmann, R.; Klaes, J.; Kopper, S.; Naumann, U.; Obertacke, A.; Posselt, J.; Soldin, D.] Univ Wuppertal, Dept Phys, Wuppertal, Germany; [Ackermann, M.; Benabderrahmane, M. L.; Berdermann, J.; Berghaus, P.; Bernardini, E.; Bretz, H. -P.; Brunner, J.; Silva, A. H. Cruz; Franke, R.; Gluesenkamp, T.; Gora, D.; Jacobi, E.; Kaminsky, B.; Karg, T.; Kislat, F.; Midden, E.; Mohrmann, L.; Nahnhauer, R.; Pirk, N.; Schoenwald, A.; Spiering, C.; Stoessl, A.; Yanez, J. P.] DESY, Zeuthen, Germany; [Bai, X.] South Dakota Sch Mines &amp; Technol, Dept Phys, Rapid City, SD USA; Los Alamos Natl Lab, Los Alamos, NM USA; [Montaruli, T.] Dipartimento Fis, Sez INFN, Bari, Italy; [Rott, C.] Sungkyunkwan Univ, Dept Phys, Suwon, South Korea; [Stamatikos, M.] NASA, Goddard Space Flight Ctr, Greenbelt, MD 20771 USA</t>
  </si>
  <si>
    <t>RWTH Aachen University; University of Adelaide; University of Alaska System; University of Alaska Anchorage; Clark Atlanta University; University System of Georgia; Georgia Institute of Technology; University System of Georgia; Georgia Institute of Technology; Southern University System; Southern University &amp; A&amp;M College; University of California System; University of California Berkeley; University of California System; University of California Berkeley; United States Department of Energy (DOE); Lawrence Berkeley National Laboratory; Humboldt University of Berlin; University of Wurzburg; Ruhr University Bochum; University of Bonn; Universite Libre de Bruxelles; Vrije Universiteit Brussel; Chiba University; University of Canterbury; University System of Maryland; University of Maryland College Park; University System of Ohio; Ohio State University; University System of Ohio; Ohio State University; University System of Ohio; Ohio State University; Dortmund University of Technology; University of Alberta; University of Geneva; Ghent University; University of California System; University of California Irvine; Swiss Federal Institutes of Technology Domain; Ecole Polytechnique Federale de Lausanne; University of Kansas; University of Wisconsin System; University of Wisconsin Madison; University of Wisconsin System; University of Wisconsin Madison; University of Wisconsin System; University of Wisconsin Madison; Johannes Gutenberg University of Mainz; University of Mons; Technical University of Munich; University of Delaware; University of Delaware; University of Oxford; University of Wisconsin System; Stockholm University; Oskar Klein Centre; Stockholm University; State University of New York (SUNY) System; State University of New York (SUNY) Stony Brook; University of Alabama System; University of Alabama Tuscaloosa;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University of Wuppertal; Helmholtz Association; Deutsches Elektronen-Synchrotron (DESY); South Dakota School Mines &amp; Technology; United States Department of Energy (DOE); Los Alamos National Laboratory; Gran Sasso Science Institute (GSSI); Sungkyunkwan University (SKKU); National Aeronautics &amp; Space Administration (NASA); NASA Goddard Space Flight Center</t>
  </si>
  <si>
    <t>Aartsen, MG (corresponding author), Univ Adelaide, Sch Chem &amp; Phys, Adelaide, SA, Australia.</t>
  </si>
  <si>
    <t>Abdou, Yasser/JJE-5519-2023; Ha, C/GZL-9046-2022; Díaz Vélez, Juan Carlos/AAD-5211-2022; Williams, David/HKN-3732-2023; Christov, Asen/S-4508-2018; Brunner, Juergen/G-3540-2015; Gonzalez, Javier G/G-2520-2017; Sarkar, Subir/G-5978-2011; sanchez, juan/GSD-8167-2022; Reimann, René/AAS-8239-2020; Tjus, Julia/G-8145-2012; Sarkar, Subir/GPT-4902-2022; Kopper, Claudio/N-5824-2019; Resconi, Elisa/I-3874-2016; Díaz Vélez, Juan Carlos/T-2788-2018; Bose, Debanjan/IQT-3805-2023; Goodman, Jordan A/J-4188-2018; Auffenberg, Jan/D-3954-2014; Matis, Howard/AAO-2082-2021; Maruyama, Reina H/A-1064-2013; HAJ ISMAIL, ABD AL KARIM/AAD-9991-2019; Hallen, Patrick/ABD-7121-2020; Bernardini, Elisa/AAA-4810-2020; Fedynitch, Anatoli/AAQ-9927-2021; Rott, Carsten/ABB-1304-2021; Whitehorn, Nathan/HDM-8864-2022; Beatty, James/D-9310-2011; Ha, Chang Hyon/AAR-8120-2021; Taavola, Henric/B-4497-2011; Benabderrahmane, Mohamed Lotfi/JFB-3165-2023; Heinen, Dirk/ABF-7280-2020; Wiebusch, Christopher H.V./G-6490-2012; Matis, Howard S/HMV-9747-2023; Kowalski, Marek P/G-5546-2012; Koskinen, David/G-3236-2014; Gora, Dariusz/M-8695-2018; Aguilar Sanchez, Juan Antonio/H-4467-2015; Ahlers, Markus/V-8757-2017</t>
  </si>
  <si>
    <t>Abdou, Yasser/0000-0001-7098-0487; Díaz Vélez, Juan Carlos/0000-0002-0087-0693; Christov, Asen/0000-0001-8121-5860; Brunner, Juergen/0000-0002-5052-7236; Gonzalez, Javier G/0000-0001-8746-2846; Sarkar, Subir/0000-0002-3542-858X; Reimann, René/0000-0002-1983-8271; Tjus, Julia/0000-0002-1748-7367; Resconi, Elisa/0000-0003-0705-2770; Díaz Vélez, Juan Carlos/0000-0002-0087-0693; Auffenberg, Jan/0000-0002-1185-9094; Maruyama, Reina H/0000-0003-2794-512X; HAJ ISMAIL, ABD AL KARIM/0000-0003-4941-5154; Bernardini, Elisa/0000-0003-3108-1141; Fedynitch, Anatoli/0000-0003-2837-3477; Rott, Carsten/0000-0002-6958-6033; Whitehorn, Nathan/0000-0002-3157-0407; Beatty, James/0000-0003-0481-4952; Taavola, Henric/0000-0002-2604-2810; Benabderrahmane, Mohamed Lotfi/0000-0003-4410-5886; Heinen, Dirk/0000-0002-4502-7288; Wiebusch, Christopher H.V./0000-0002-6418-3008; Matis, Howard S/0000-0003-0764-4389; Karg, Timo/0000-0003-3251-2126; Toscano, Simona/0000-0002-1860-2240; van Eijndhoven, Nick/0000-0001-5558-3328; Santander, Juan Marcos/0000-0001-7297-8217; Pirk, Norbert/0000-0002-8137-2329; Desiati, Paolo/0000-0001-9768-1858; De Clercq, Catherine/0000-0001-5266-7059; Bose, Debanjan/0000-0003-1071-5854; Danninger, Matthias/0000-0002-7807-7484; Perez de los Heros, Carlos/0000-0002-2084-5866; Meagher, Kevin/0000-0003-3967-1533; Koskinen, David/0000-0002-0514-5917; Ackermann, Markus/0000-0001-8952-588X; Montaruli, Teresa/0000-0001-5014-2152; BenZvi, Segev/0000-0001-5537-4710; Yoshida, Shigeru/0000-0003-2480-5105; Rhode, Wolfgang/0000-0003-2636-5000; Gora, Dariusz/0000-0002-4853-5974; Aguilar Sanchez, Juan Antonio/0000-0003-2252-9514; Daughhetee, Jacob/0000-0001-5220-7159; Spiczak, Glenn/0000-0002-0030-0519; Klein, Spencer/0000-0003-2841-6553; Carson, Michael/0000-0003-0400-7819; Hill, Gary/0000-0001-8881-6802; Ahlers, Markus/0000-0003-0709-5631; Taboada, Ignacio/0000-0003-3509-3457</t>
  </si>
  <si>
    <t>US National Science Foundation (NSF) Office of Polar Programs; NSF Physics Division, University of Wisconsin Alumni Research Foundation; Grid Laboratory Of Wisconsin (GLOW) grid infrastructure at the University of Wisconsin-Madison, Open Science Grid (OSG) grid infrastructure; US Department of Energy, National Energy Research Scientific Computing Center, Louisiana Optical Network Initiative (LONI) grid computing resources; Natural Sciences and Engineering Research Council of Canada; Compute Canada; Compute West High Performance Computing; Swedish Research Council; Swedish Polar Research Secretariat; Swedish. National Infrastructure for Computing (SNIC); Knut and Alice Wallenberg Foundation, Sweden; German Ministry for Education and Research (BMBF); Deutsche Forschungsgemeinschaft (DFG); Helmholtz Alliance for Astroparticle Physics (HAP); Research Department of Plasmas with Complex Interactions (Bochum), Germany; Fund for Scientific Research (FNRS-FWO); FWO Odysseus programme; Flanders Institute to encourage scientific and technological research in industry (IWT); Belgian Federal Science Policy Office (Belspo); University of Oxford, UK; Marsden Fund, New Zealand; Australian Research Council; Japan Society for Promotion of Science (JSPS); Swiss National Science Foundation (SNSF), Switzerland; Direct For Mathematical &amp; Physical Scien; Division Of Physics [1205796, 1306958] Funding Source: National Science Foundation; Directorate For Geosciences [1142173] Funding Source: National Science Foundation; Office of Polar Programs (OPP) [1142173] Funding Source: National Science Foundation; Office of Polar Programs (OPP); Directorate For Geosciences [1142178] Funding Source: National Science Foundation</t>
  </si>
  <si>
    <t>US National Science Foundation (NSF) Office of Polar Programs(National Science Foundation (NSF)); NSF Physics Division, University of Wisconsin Alumni Research Foundation; Grid Laboratory Of Wisconsin (GLOW) grid infrastructure at the University of Wisconsin-Madison, Open Science Grid (OSG) grid infrastructure; US Department of Energy, National Energy Research Scientific Computing Center, Louisiana Optical Network Initiative (LONI) grid computing resources(United States Department of Energy (DOE)); Natural Sciences and Engineering Research Council of Canada(Natural Sciences and Engineering Research Council of Canada (NSERC)CGIAR); Compute Canada; Compute West High Performance Computing; Swedish Research Council(Swedish Research Council); Swedish Polar Research Secretariat; Swedish. National Infrastructure for Computing (SNIC); Knut and Alice Wallenberg Foundation, Sweden(Knut &amp; Alice Wallenberg Foundation); German Ministry for Education and Research (BMBF)(Federal Ministry of Education &amp; Research (BMBF)); Deutsche Forschungsgemeinschaft (DFG)(German Research Foundation (DFG)); Helmholtz Alliance for Astroparticle Physics (HAP); Research Department of Plasmas with Complex Interactions (Bochum), Germany; Fund for Scientific Research (FNRS-FWO)(FWOFonds de la Recherche Scientifique - FNRS); FWO Odysseus programme; Flanders Institute to encourage scientific and technological research in industry (IWT)(Institute for the Promotion of Innovation by Science and Technology in Flanders (IWT)); Belgian Federal Science Policy Office (Belspo)(Belgian Federal Science Policy Office); University of Oxford, UK; Marsden Fund, New Zealand(Royal Society of New ZealandMarsden Fund (NZ)); Australian Research Council(Australian Research Council); Japan Society for Promotion of Science (JSPS)(Ministry of Education, Culture, Sports, Science and Technology, Japan (MEXT)Japan Society for the Promotion of Science); Swiss National Science Foundation (SNSF), Switzerland(Swiss National Science Foundation (SNSF)); Direct For Mathematical &amp; Physical Scien; Division Of Physics(National Science Foundation (NSF)NSF - Directorate for Mathematical &amp; Physical Sciences (MPS));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</si>
  <si>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We thank Nathan Bramall, Robert Rohde, Andres Morey, Tom Ham, Kurt Cuffey, Dave Ferris, Michael Solarz, the EPICA Collaboration, the WAIS Divide Project members and the US National Ice Core Laboratory. We acknowledge the support from the following agencies: US National Science Foundation (NSF) Office of Polar Programs, NSF Physics Division, University of Wisconsin Alumni Research Foundation, Grid Laboratory Of Wisconsin (GLOW) grid infrastructure at the University of Wisconsin-Madison, Open Science Grid (OSG) grid infrastructure; US Department of Energy, National Energy Research Scientific Computing Center, Louisiana Optical Network Initiative (LONI) grid computing resources; Natural Sciences and Engineering Research Council of Canada, Compute Canada and Compute West High Performance Computing; Swedish Research Council, Swedish Polar Research Secretariat, Swedish. National Infrastructure for Computing (SNIC), Knut and Alice Wallenberg Foundation, Sweden; German Ministry for Education and Research (BMBF), Deutsche Forschungsgemeinschaft (DFG), Helmholtz Alliance for Astroparticle Physics (HAP), Research Department of Plasmas with Complex Interactions (Bochum), Germany; Fund for Scientific Research (FNRS-FWO), FWO Odysseus programme, Flanders Institute to encourage scientific and technological research in industry (IWT), Belgian Federal Science Policy Office (Belspo); University of Oxford, UK; Marsden Fund, New Zealand; Australian Research Council; Japan Society for Promotion of Science (JSPS); Swiss National Science Foundation (SNSF), Switzerland.</t>
  </si>
  <si>
    <t>10.3189/2013JoG13J068</t>
  </si>
  <si>
    <t>WOS:000329013700011</t>
  </si>
  <si>
    <t>Jones, DH; Gudmundsson, GH</t>
  </si>
  <si>
    <t>Jones, David H.; Gudmundsson, G. Hilmar</t>
  </si>
  <si>
    <t>Aircraft-Deployable Ice Observation System (ADIOS) for instrumenting inaccessible glaciers</t>
  </si>
  <si>
    <t>There remain large regions of scientific interest in the Antarctic that are not instrumented. These include highly dynamic ice streams and glaciers that are difficult or impossible to reach safely because heavy crevassing impedes an overland trek or an aircraft landing. We have developed an alternative strategy for instrumenting these regions: an aerodynamic sensor that can be dropped from an overflying aircraft. During freefall the sensor accelerates to its terminal velocity of 42 m s(-1) before impacting with the glacier. On impact it partially buries itself in the snow while leaving an antenna mast protruding high above the surface to ensure a long operating life. In this paper, we describe the design and results of testing this aircraft-deployable sensor. Finally we present the initial results of two campaigns to instrument inaccessible regions of Pine Island Glacier, West Antarctica, and Scar Inlet, Antarctic Peninsula, with GPS receivers.</t>
  </si>
  <si>
    <t>[Jones, David H.; Gudmundsson, G. Hilmar] British Antarctic Survey, Cambridge CB3 0ET, England</t>
  </si>
  <si>
    <t>Jones, DH (corresponding author), British Antarctic Survey, Cambridge CB3 0ET, England.</t>
  </si>
  <si>
    <t>davnes@bas.ac.uk</t>
  </si>
  <si>
    <t>Gudmundsson, Gudmundur Hilmar/F-6499-2012; Gudmundsson, Gudmundur Hilmar/AAU-5987-2020</t>
  </si>
  <si>
    <t>Gudmundsson, Gudmundur Hilmar/0000-0003-4236-5369; Gudmundsson, Gudmundur Hilmar/0000-0003-4236-5369; Jones, David/0000-0003-2379-909X</t>
  </si>
  <si>
    <t>UK Natural Environment Research Council [NE/1007156/1]; NERC [bas0100027, NE/I007156/1] Funding Source: UKRI; Natural Environment Research Council [bas0100027, NE/I007156/1] Funding Source: researchfish</t>
  </si>
  <si>
    <t>This project was funded by UK Natural Environment Research Council grant No. NE/1007156/1. We thank Ryan Anderson, Carl Robinson, Bryan Causton and Andrew Tait of the British Antarctic Survey (BAS) engineering department, the BAS Air Unit and everybody at the Rothera research station who made the development of ADIOS possible.</t>
  </si>
  <si>
    <t>10.3189/2013JoG13J112</t>
  </si>
  <si>
    <t>WOS:000329013700012</t>
  </si>
  <si>
    <t>McInnes, SJ; Pugh, PJA</t>
  </si>
  <si>
    <t>McInnes, Sandra J.; Pugh, Philip J. A.</t>
  </si>
  <si>
    <t>The impact of tourists on Antarctic tardigrades: an ordination-based model</t>
  </si>
  <si>
    <t>Tardigrada; soil; alien introduction; maritime Antarctic</t>
  </si>
  <si>
    <t>TERRESTRIAL; MEIOFAUNA</t>
  </si>
  <si>
    <t>Tardigrades are important members of the Antarctic biota yet little is known about their role in the soil fauna or whether they are affected by anthropogenic factors. The German Federal Environment Agency commissioned research to assess the impact of human activities on soil meiofauna at 14 localities along the Antarctic peninsula during the 2009/2010 and 2010/2011 austral summers. We used ordination techniques to re-assess the block-sampling design used to compare areas of high and low human impact, to identify which of the sampled variables were biologically relevant and/or demonstrated an anthropogenic significance. We found the most significant differences between locations, reflecting local habitat and vegetation factor, rather than within-location anthropogenic impact. We noted no evidence of exotic imports but report on new maritime Antarctic sample sites and habitats.</t>
  </si>
  <si>
    <t>[McInnes, Sandra J.] British Antarctic Survey, Nat Environm Res Council, Cambridge CB3 0ET, England; [Pugh, Philip J. A.] Anglia Ruskin Univ, Dept Life Sci, Cambridge CB1 1PT, England</t>
  </si>
  <si>
    <t>UK Research &amp; Innovation (UKRI); Natural Environment Research Council (NERC); NERC British Antarctic Survey; Anglia Ruskin University</t>
  </si>
  <si>
    <t>McInnes, SJ (corresponding author), British Antarctic Survey, Nat Environm Res Council, High Cross,Madingley Rd, Cambridge CB3 0ET, England.</t>
  </si>
  <si>
    <t>s.mcinnes@bas.ac.uk</t>
  </si>
  <si>
    <t>McInnes, Sandra/AAN-4773-2020</t>
  </si>
  <si>
    <t>McInnes, Sandra/0000-0003-3403-9379</t>
  </si>
  <si>
    <t>UBA FE Project [FKZ 3709 85 157]; Natural Environment Research Council [bas0100025] Funding Source: researchfish; NERC [bas0100025] Funding Source: UKRI</t>
  </si>
  <si>
    <t>UBA FE Project; Natural Environment Research Council(UK Research &amp; Innovation (UKRI)Natural Environment Research Council (NERC)); NERC(UK Research &amp; Innovation (UKRI)Natural Environment Research Council (NERC))</t>
  </si>
  <si>
    <t>SJM is grateful to David Russell and Karin Hohberg (Senckenberg Museum of Natural History, Gorlitz, Germany) for recruitment to identify tardigrades for the UBA F&amp;E Project FKZ 3709 85 157.</t>
  </si>
  <si>
    <t>10.4081/jlimnol.2013.s1.e16</t>
  </si>
  <si>
    <t>WOS:000327485200016</t>
  </si>
  <si>
    <t>Michalczyk, L; Kaczmarek, L</t>
  </si>
  <si>
    <t>Michalczyk, Lukasz; Kaczmarek, Lukasz</t>
  </si>
  <si>
    <t>The Tardigrada Register: a comprehensive online data repository for tardigrade taxonomy</t>
  </si>
  <si>
    <t>Tardigrada Register; Tardigrada Newsletter; free online data repository; taxonomy; water bears</t>
  </si>
  <si>
    <t>In this paper we present the Tardigrada Register (www.tardigrada.net/register): a free, comprehensive, and standardised online data repository for tardigrade taxonomy. We outline key problems of the modern tardigrade systematics and we propose the Register as a potential solution to some of them. We then describe the idea, structure and works of the service and discuss challenges it may face. However, most importantly, we hope to convince fellow Tardigradologists that sharing their data via the Register will benefit the entire community of the contemporary and future tardigrade researchers.</t>
  </si>
  <si>
    <t>[Michalczyk, Lukasz] Jagiellonian Univ, Inst Zool, Dept Entomol, PL-30387 Krakow, Poland; [Kaczmarek, Lukasz] Adam Mickiewicz Univ, Dept Anim Taxon &amp; Ecol, PL-61614 Poznan, Poland</t>
  </si>
  <si>
    <t>Jagiellonian University; Adam Mickiewicz University</t>
  </si>
  <si>
    <t>Michalczyk, L (corresponding author), Jagiellonian Univ, Inst Zool, Dept Entomol, Gronostajowa 9, PL-30387 Krakow, Poland.</t>
  </si>
  <si>
    <t>LM@tardigrada.net</t>
  </si>
  <si>
    <t>Kaczmarek, Lukasz/A-2000-2008; Michalczyk, Lukasz/D-1362-2009</t>
  </si>
  <si>
    <t>Kaczmarek, Lukasz/0000-0002-5260-6253; Michalczyk, Lukasz/0000-0002-2912-4870</t>
  </si>
  <si>
    <t>Foundation for Polish Science (FNP); EU Regional Development Fund [Homing Plus/2012-5/8]</t>
  </si>
  <si>
    <t>Foundation for Polish Science (FNP)(Foundation for Polish Science); EU Regional Development Fund</t>
  </si>
  <si>
    <t>We are very grateful to Nathan W. Bailey (University of St. Andrews, UK), Sandra McInnes (British Antarctic Survey, UK) and two anonymous reviewers for their valuable comments on the manuscript. LM is supported by the Foundation for Polish Science (FNP), co-financed by the EU Regional Development Fund (grant no. Homing Plus/2012-5/8).</t>
  </si>
  <si>
    <t>10.4081/jlimnol.2013.s1.e22</t>
  </si>
  <si>
    <t>WOS:000327485200022</t>
  </si>
  <si>
    <t>Murphy, EJ; Hofmann, EE; Watkins, JL; Johnston, NM; Piñones, A; Ballerini, T; Hill, SL; Trathan, PN; Tarling, GA; Cavanagh, RA; Young, EF; Thorpe, SE; Fretwell, P</t>
  </si>
  <si>
    <t>Murphy, E. J.; Hofmann, E. E.; Watkins, J. L.; Johnston, N. M.; Pinones, A.; Ballerini, T.; Hill, S. L.; Trathan, P. N.; Tarling, G. A.; Cavanagh, R. A.; Young, E. F.; Thorpe, S. E.; Fretwell, P.</t>
  </si>
  <si>
    <t>Comparison of the structure and function of Southern Ocean regional ecosystems: The Antarctic Peninsula and South Georgia</t>
  </si>
  <si>
    <t>Ecosystem comparison; Southern Ocean; South Georgia; Antarctic Peninsula; Model; Food web, climate change; Krill</t>
  </si>
  <si>
    <t>KRILL EUPHAUSIA-SUPERBA; MESOZOOPLANKTON COMMUNITY STRUCTURE; CHLOROPHYLL-A DISTRIBUTIONS; CIRCUMPOLAR CURRENT FRONT; SEA-ICE EXTENT; SCOTIA SEA; CLIMATE-CHANGE; MARINE ECOSYSTEMS; CONTINENTAL-SHELF; INTERANNUAL VARIABILITY</t>
  </si>
  <si>
    <t>The ocean ecosystems around the west Antarctic Peninsula and South Georgia are two of the best described regional ecosystems of the Southern Ocean. They therefore provide a useful basis for developing comparative analyses of ocean ecosystems around the Antarctic. There are clear and expected differences in seasonality and species composition between the two ecosystems, but these mask an underlying similarity in ecosystem structure and function. This similarity results from the two ecosystems being part of a continuum, from more ice covered regions in the south to open water regions in the north. Within this continuum the major factors affecting ecosystem structure and function are the sea ice, the biogeochemical conditions and the connectivity generated by the flow of the Antarctic Circumpolar Current. Antarctic krill are central to the food web in both ecosystems, but the other species of plankton and predators present are different. These different species provide alternative pathways of energy transfer from primary production to the highest trophic levels. The relative dominance of these species can provide indicators of change in ecosystem structure and function. Both ecosystems are changing as a result of physically and biologically driven processes, and the ecological responses being observed are complex and variable across different species and within the two regions. Species in parts of the northern Antarctic Peninsula are being replaced by species that currently dominate farther north in more oceanic areas such as at South Georgia. The similarity of structure and strong connectivity, mean that projections of future change will require generic models of these ecosystems that can encompass changes in structure and function within a connected continuum from ice covered to open water in winter. (C) 2012 Elsevier B.V. All rights reserved.</t>
  </si>
  <si>
    <t>[Murphy, E. J.; Watkins, J. L.; Johnston, N. M.; Hill, S. L.; Trathan, P. N.; Tarling, G. A.; Cavanagh, R. A.; Young, E. F.; Thorpe, S. E.; Fretwell, P.] British Antarctic Survey, Cambridge CB3 0ET, England; [Hofmann, E. E.; Pinones, A.; Ballerini, T.] Old Dominion Univ, Ctr Coastal &amp; Phys Oceanog, Norfolk, VA USA</t>
  </si>
  <si>
    <t>UK Research &amp; Innovation (UKRI); Natural Environment Research Council (NERC); NERC British Antarctic Survey; Old Dominion University</t>
  </si>
  <si>
    <t>Murphy, EJ (corresponding author), British Antarctic Survey, Madingley Rd, Cambridge CB3 0ET, England.</t>
  </si>
  <si>
    <t>e.murphy@bas.ac.uk</t>
  </si>
  <si>
    <t>murphy, eugene/GZL-1620-2022; Ballerini, Tosca/ABE-1656-2020; Ballerini, Tosca/R-6006-2018; Simeon, Hill L/B-2307-2008</t>
  </si>
  <si>
    <t>Ballerini, Tosca/0000-0003-4007-4605; Ballerini, Tosca/0000-0003-4007-4605; Pinones, Andrea/0000-0002-1737-9016; Young, Emma/0000-0002-7069-6109; Johnston, Nadine M/0000-0003-2211-1492; Thorpe, Sally/0000-0002-5193-6955</t>
  </si>
  <si>
    <t>US National Science Foundation (NSF) [OCE-0814584]; NSF [ANT-0523172, OCE-103880]; NERC [NE/I029943/1, bas0100025] Funding Source: UKRI; Natural Environment Research Council [bas0100025, NE/I029943/1] Funding Source: researchfish; Division Of Ocean Sciences; Directorate For Geosciences [0814584] Funding Source: National Science Foundation</t>
  </si>
  <si>
    <t>US National Science Foundation (NSF)(National Science Foundation (NSF)); NSF(National Science Foundation (NSF)); NERC(UK Research &amp; Innovation (UKRI)Natural Environment Research Council (NERC)); Natural Environment Research Council(UK Research &amp; Innovation (UKRI)Natural Environment Research Council (NERC)); Division Of Ocean Sciences; Directorate For Geosciences(National Science Foundation (NSF)NSF - Directorate for Geosciences (GEO))</t>
  </si>
  <si>
    <t>We thank all our colleagues in the BAS Discovery 2010 and Ecosystems programmes and in the Southern Ocean GLOBEC Programme who contributed to the studies on which we have drawn and for the many discussions of different aspects of the work and especially Dr I. Staniland. We also thank A Fleming for the provision of the satellite-derived chlorophyll a data. We also thank Professors John Steele and George Hunt for valuable comments on an earlier version of the manuscript. The paper is a contribution to the BAS Ecosystems Programme, which is part of Polar Science for Planet Earth Programme. Support for E. Hofmann and T. Ballerini was provided by the US National Science Foundation (NSF) Grant OCE-0814584 and that for A. Pinones was provided by NSF Grant ANT-0523172; both are part of the US GLOBEC synthesis and integration activities. This manuscript is based on a presentation and discussions at the IMBER IMBIZO II, which was supported in part by NSF Grant OCE-103880 and is a contribution to the IGBP-IMBER Southern Ocean Integrating Climate and Ecosystem Dynamics (ICED) Programme.</t>
  </si>
  <si>
    <t>10.1016/j.jmarsys.2012.03.011</t>
  </si>
  <si>
    <t>056HV</t>
  </si>
  <si>
    <t>WOS:000312479900003</t>
  </si>
  <si>
    <t>Morrison, AK; Hogg, AM</t>
  </si>
  <si>
    <t>Morrison, Adele K.; Hogg, Andrew McC.</t>
  </si>
  <si>
    <t>On the Relationship between Southern Ocean Overturning and ACC Transport</t>
  </si>
  <si>
    <t>ANTARCTIC CIRCUMPOLAR CURRENT; RECENT CLIMATE-CHANGE; HEMISPHERE WINDS; CIRCULATION; EDDIES; MODELS; BALANCE; CO2</t>
  </si>
  <si>
    <t>The eddy field in the Southern Ocean offsets the impact of strengthening winds on the meridional overturning circulation and Antarctic Circumpolar Current (ACC) transport. There is widespread belief that the sensitivities of the overturning and ACC transport are dynamically linked, with limitation of the ACC transport response implying limitation of the overturning response. Here, an idealized numerical model is employed to investigate the response of the large-scale circulation in the Southern Ocean to wind stress perturbations at eddy-permitting to eddy-resolving scales. Significant differences are observed between the sensitivities and the resolution dependence of the overturning and ACC transport, indicating that they are controlled by distinct dynamical mechanisms. The modeled overturning is significantly more sensitive to change than the ACC transport, with the possible implication that the Southern Ocean overturning may increase in response to future wind stress changes without measurable changes in the ACC transport. It is hypothesized that the dynamical distinction between the zonal and meridional transport sensitivities is derived from the depth dependence of the extent of cancellation between the Ekman and eddy-induced transports.</t>
  </si>
  <si>
    <t>[Morrison, Adele K.] Australian Natl Univ, Res Sch Earth Sci, Canberra, ACT 0200, Australia; Australian Natl Univ, ARC Ctr Excellence Climate Syst Sci, Canberra, ACT 0200, Australia</t>
  </si>
  <si>
    <t>Australian National University; Australian National University; ARC Centre of Excellence for Climate System Science</t>
  </si>
  <si>
    <t>Morrison, AK (corresponding author), Australian Natl Univ, Res Sch Earth Sci, GPO Box 4, Canberra, ACT 0200, Australia.</t>
  </si>
  <si>
    <t>adele.morrison@anu.edu.au</t>
  </si>
  <si>
    <t>Hogg, Andy McC./A-7553-2011; Hogg, Andy/AAZ-8733-2021; Morrison, Adele/C-1774-2012</t>
  </si>
  <si>
    <t>Hogg, Andy McC./0000-0001-5898-7635; Hogg, Andy/0000-0001-5898-7635; Morrison, Adele/0000-0002-9904-4980</t>
  </si>
  <si>
    <t>ARC Discovery Project [DP0877824]; Australian Research Council [DP0877824] Funding Source: Australian Research Council</t>
  </si>
  <si>
    <t>ARC Discovery Project(Australian Research Council); Australian Research Council(Australian Research Council)</t>
  </si>
  <si>
    <t>This work was supported by an ARC Discovery Project (DP0877824). Numerical computations were conducted using the National Facility of the Australian National Computational Infrastructure. We wish to thank Marshall Ward for useful advice, as well as the editor and two anonymous reviewers for their assistance in evaluating this paper. We also thank Robert Hallberg, GFDL, for allowing access to GOLD.</t>
  </si>
  <si>
    <t>10.1175/JPO-D-12-057.1</t>
  </si>
  <si>
    <t>WOS:000314179300010</t>
  </si>
  <si>
    <t>Gerea, M; Queimaliños, C; Schiaffino, MR; Izaguirre, I; Forn, I; Massana, R; Unrein, F</t>
  </si>
  <si>
    <t>Gerea, Marina; Queimalinos, Claudia; Romina Schiaffino, M.; Izaguirre, Irina; Forn, Irene; Massana, Ramon; Unrein, Fernando</t>
  </si>
  <si>
    <t>In situ prey selection of mixotrophic and heterotrophic flagellates in Antarctic oligotrophic lakes: an analysis of the digestive vacuole content</t>
  </si>
  <si>
    <t>JOURNAL OF PLANKTON RESEARCH</t>
  </si>
  <si>
    <t>mixotrophic flagellates; heterotrophic flagellates; prey selection; CARD-FISH; oligotrophic lakes</t>
  </si>
  <si>
    <t>CATALYZED REPORTER DEPOSITION; FRESH-WATER HABITATS; BACTERIAL COMMUNITY; BACTERIVOROUS PROTISTS; OLIGONUCLEOTIDE PROBES; TROPHIC STATUS; FOOD QUALITY; BOTTOM-UP; TOP-DOWN; S-LAYER</t>
  </si>
  <si>
    <t>We investigated the selective predation of mixotrophic and heterotrophic flagellates (MF and HF) on different heterotrophic prokaryote phylotypes (HPP; Bacteria Archaea) living in natural assemblages from oligotrophic Antarctic lakes. In situ prey preference was analyzed for the first time on different mixotrophic taxa (Pseudopedinella sp., Ochromonas-like cells, Chrysophyceae 5 m). The relative abundances of seven different HPP hybridized by CARD-FISH (catalyzed reporter deposition-fluorescent in situ hybridization) in natural community were compared with the proportions of hybridized cells inside digestive vacuoles. Our results showed some general trends to selectivity over some HPP. Alphaproteobacteria and Betaproteobacteria were the most abundant groups, and strikingly, a negative selection trend was detected in most samples by all bacterivorous protists. In contrast, for Actinobacteria a positive selection trend was observed in most samples, whereas Bacteroidetes seemed to be randomly preyed upon. Interestingly, similar prey preferences were observed in all bacterivorous flagellates. Our results suggest that phylogenetic affiliation determines part of the process of prey selection by protists in these lakes. Nevertheless, other features, such as cell size, morphology and the presence of the S-layer, might also significantly contribute to prey selectivity on the HPP.</t>
  </si>
  <si>
    <t>[Gerea, Marina; Queimalinos, Claudia] UNCOMAHUE CONICET, INIBIOMA Inst Invest Biodiversidad &amp; Medio Ambien, Lab Fotobiol, RA-1250 San Carlos De Bariloche, Rio Negro, Argentina; [Gerea, Marina; Queimalinos, Claudia; Romina Schiaffino, M.; Izaguirre, Irina; Unrein, Fernando] Consejo Nacl Invest Cient &amp; Tecn, RA-1033 Buenos Aires, DF, Argentina; [Romina Schiaffino, M.; Izaguirre, Irina] Univ Buenos Aires, Fac Ciencias Exactas &amp; Nat, Dept Ecol Genet &amp; Evoluc, Buenos Aires, DF, Argentina; [Forn, Irene; Massana, Ramon] CSIC, Inst Ciencies Mar, Dept Biol Marina &amp; Oceanog, E-08003 Barcelona, Spain; [Unrein, Fernando] Inst Tecnol Chascomu, IIB INTECH Inst Invest Biotecnol, Lab Ecol &amp; Fotobiol Acuat, RA-7130 Chascomus, Argentina</t>
  </si>
  <si>
    <t>Universidad Nacional del Comahue; Consejo Nacional de Investigaciones Cientificas y Tecnicas (CONICET); Consejo Nacional de Investigaciones Cientificas y Tecnicas (CONICET); University of Buenos Aires; Consejo Superior de Investigaciones Cientificas (CSIC); CSIC - Centro Mediterraneo de Investigaciones Marinas y Ambientales (CMIMA); CSIC - Instituto de Ciencias del Mar (ICM)</t>
  </si>
  <si>
    <t>Gerea, M (corresponding author), UNCOMAHUE CONICET, INIBIOMA Inst Invest Biodiversidad &amp; Medio Ambien, Lab Fotobiol, R8400FRF, RA-1250 San Carlos De Bariloche, Rio Negro, Argentina.</t>
  </si>
  <si>
    <t>geream@comahue-conicet.gob.ar</t>
  </si>
  <si>
    <t>Massana, Ramon/F-4205-2016</t>
  </si>
  <si>
    <t>Gerea, Marina/0000-0003-3143-8737; Massana, Ramon/0000-0001-9172-5418; Schiaffino, Maria Romina/0000-0002-9383-2003; Unrein, Fernando/0000-0002-8592-1858</t>
  </si>
  <si>
    <t>Consejo Superior de Investigaciones Cientificas - Consejo Nacional de Investigaciones Cientificas y Tecnicas (CSIC-CONICET) (Spain-Argentina) [2007 AR0018, CSIC]; Spanish Project MIXANTAR [REN 2002-11396-E/ANT]; Argentinean projects [CONICET-PIP 01301, FONCYT PICT 32732, UNComahue 04/B166]; CONICET</t>
  </si>
  <si>
    <t>Consejo Superior de Investigaciones Cientificas - Consejo Nacional de Investigaciones Cientificas y Tecnicas (CSIC-CONICET) (Spain-Argentina); Spanish Project MIXANTAR; Argentinean projects; CONICET(Consejo Nacional de Investigaciones Cientificas y Tecnicas (CONICET))</t>
  </si>
  <si>
    <t>This study was financed by the Consejo Superior de Investigaciones Cientificas - Consejo Nacional de Investigaciones Cientificas y Tecnicas (CSIC-CONICET) (Spain-Argentina) Project PROBA (2007 AR0018, CSIC), the Spanish Project MIXANTAR (REN 2002-11396-E/ANT) and the Argentinean projects CONICET-PIP 01301, FONCYT PICT 32732 and UNComahue 04/B166. Marina Gerea and M. Romina Schiaffino were supported by CONICET fellowships. Irina Izaguirre, Claudia Queimalinos and Fernando Unrein are CONICET researchers.</t>
  </si>
  <si>
    <t>0142-7873</t>
  </si>
  <si>
    <t>1464-3774</t>
  </si>
  <si>
    <t>J PLANKTON RES</t>
  </si>
  <si>
    <t>J. Plankton Res.</t>
  </si>
  <si>
    <t>10.1093/plankt/fbs085</t>
  </si>
  <si>
    <t>061XK</t>
  </si>
  <si>
    <t>WOS:000312883300018</t>
  </si>
  <si>
    <t>Cofaigh, CO; Andrews, JT; Jennings, AE; Dowdeswell, JA; Hogan, KA; Kilfeather, AA; Sheldon, C</t>
  </si>
  <si>
    <t>Cofaigh, C. O.; Andrews, J. T.; Jennings, A. E.; Dowdeswell, J. A.; Hogan, K. A.; Kilfeather, A. A.; Sheldon, C.</t>
  </si>
  <si>
    <t>Glacimarine lithofacies, provenance and depositional processes on a West Greenland trough-mouth fan</t>
  </si>
  <si>
    <t>glacimarine sedimentation; Greenland Ice Sheet; trough mouth fan; Uummannaq Fan; West Greenland continental margin</t>
  </si>
  <si>
    <t>GLACIGENIC DEBRIS FLOWS; LAURENTIDE ICE-SHEET; CONTINENTAL-MARGIN; BAFFIN-BAY; SEDIMENTARY PROCESSES; HEINRICH EVENTS; NORTH-SEA; SLOPE SEDIMENTATION; ANTARCTIC PENINSULA; BELLINGSHAUSEN SEA</t>
  </si>
  <si>
    <t>Along the West Greenland continental margin adjoining Baffin Bay, bathymetric data show a series of large submarine fans located at the mouths of cross-shelf troughs. One of these fans, termed here Uummannaq Fan', is a trough-mouth fan built largely by debris delivered from a fast-flowing outlet of the Greenland Ice Sheet during past glacial maxima. Cores from this fan provide the first information on glacimarine sedimentary facies within a major West Greenland trough-mouth fan and on the nature of Late WeichselianHolocene glacigenic sediment delivery to this region of the Baffin Bay margin. Glacigenic debris flows deposited on the upper slope and extending to at least 1800m water depth in front of the trough-mouth are related to the remobilization of subglacial debris that was delivered onto the upper slope at times when an ice stream was positioned at the shelf edge. In contrast, sedimentary facies from the northern sector of the fan are characterized by hemipelagic and ice-rafted sediments and turbidites; glacigenic debris flows are notably absent in cores from this region. Quantitative X-ray diffraction studies of the &lt;2-mm sediment fraction indicate that the bulk of the sediment in the fan is derived from Uummannaq Trough but there are distinct intervals when sediment from northern Baffin Bay sources dominates, especially on the northern limit of the fan. These data demonstrate considerable variation in the nature of sediment delivery across the Uummannaq Fan when the Greenland Ice Sheet was at the shelf edge. They highlight the variability of glacimarine depositional processes operating on trough-mouth fans on high-latitude continental margins during the last glacial maximum and indicate that glacigenic debris flows are just one of a number of mechanisms by which such large depocentres form. Copyright (c) 2012 John Wiley &amp; Sons, Ltd.</t>
  </si>
  <si>
    <t>[Cofaigh, C. O.; Kilfeather, A. A.] Univ Durham, Dept Geog, Durham DH1 3LE, England; [Andrews, J. T.; Jennings, A. E.; Sheldon, C.] Univ Colorado, INSTAAR, Boulder, CO 80309 USA; [Andrews, J. T.; Jennings, A. E.; Sheldon, C.] Univ Colorado, Dept Geol Sci, Boulder, CO 80309 USA; [Dowdeswell, J. A.; Hogan, K. A.] Univ Cambridge, Scott Polar Res Inst, Cambridge CB2 1ER, England</t>
  </si>
  <si>
    <t>Durham University; University of Colorado System; University of Colorado Boulder; University of Colorado System; University of Colorado Boulder; University of Cambridge</t>
  </si>
  <si>
    <t>Cofaigh, CO (corresponding author), Univ Durham, Dept Geog, Durham DH1 3LE, England.</t>
  </si>
  <si>
    <t>colm.ocofaigh@durham.ac.uk</t>
  </si>
  <si>
    <t>Sheldon, Christina/0000-0002-6694-7876; Dowdeswell, Julian/0000-0003-1369-9482</t>
  </si>
  <si>
    <t>Natural Environment Research Council, UK; National Science Foundation, USA; NERC [NE/D001986/1, NE/D001951/1] Funding Source: UKRI; Natural Environment Research Council [NE/D001951/1, NE/D001986/1] Funding Source: researchfish</t>
  </si>
  <si>
    <t>Natural Environment Research Council, UK(UK Research &amp; Innovation (UKRI)Natural Environment Research Council (NERC)); National Science Foundation, USA(National Science Foundation (NSF)); NERC(UK Research &amp; Innovation (UKRI)Natural Environment Research Council (NERC)); Natural Environment Research Council(UK Research &amp; Innovation (UKRI)Natural Environment Research Council (NERC))</t>
  </si>
  <si>
    <t>The work was supported by grants from the Natural Environment Research Council, UK, and the National Science Foundation, USA (Polar Programs). We thank the officers and crew of the RRS James Clark Ross for support during cruise JR175 to West Greenland in 2009 as well the technical assistance of the British Geological Survey in core collection. The XRD data will be archived with the NOAA Paleoclimate database (www.ncdc.noaa.gov/paleo/data.html) and linked to the Advanced Cooperative Arctic Data and Information Service (ACADIS) (http://www.aoncadis.org/). This paper is a contribution to the PAST-Gateways Programme (Palaeo-Arctic-Spatial and Temporal Gateways). We thank Irina Overeem and an anonymous reviewer whose comments helped to improve the paper.</t>
  </si>
  <si>
    <t>10.1002/jqs.2569</t>
  </si>
  <si>
    <t>WOS:000314521100004</t>
  </si>
  <si>
    <t>Horne, RB; Glauert, SA; Meredith, NP; Koskinen, H; Vainio, R; Afanasiev, A; Ganushkina, NY; Amariutei, OA; Boscher, D; Sicard, A; Maget, V; Poedts, S; Jacobs, C; Sanahuja, B; Aran, A; Heynderickx, D; Pitchford, D</t>
  </si>
  <si>
    <t>Horne, Richard B.; Glauert, Sarah A.; Meredith, Nigel P.; Koskinen, Hannu; Vainio, Rami; Afanasiev, Alexandr; Ganushkina, Natalia Y.; Amariutei, Olga A.; Boscher, Daniel; Sicard, Angelica; Maget, Vincent; Poedts, Stefaan; Jacobs, Carla; Sanahuja, Blai; Aran, Angels; Heynderickx, Daniel; Pitchford, David</t>
  </si>
  <si>
    <t>Forecasting the Earth's radiation belts and modelling solar energetic particle events: Recent results from SPACECAST</t>
  </si>
  <si>
    <t>JOURNAL OF SPACE WEATHER AND SPACE CLIMATE</t>
  </si>
  <si>
    <t>Radiation belts; SEP events; Satellites</t>
  </si>
  <si>
    <t>HYDROMAGNETIC WAVE EXCITATION; PLASMA SHEET ION; SPECTRAL CHARACTERISTICS; GEOSYNCHRONOUS ORBIT; ELECTRON POPULATIONS; RESONANT INTERACTION; SHOCK ACCELERATION; CHORUS WAVES; PITCH-ANGLE; MAGNETOSPHERE</t>
  </si>
  <si>
    <t>High-energy charged particles in the van Allen radiation belts and in solar energetic particle events can damage satellites on orbit leading to malfunctions and loss of satellite service. Here we describe some recent results from the SPACECAST project on modelling and forecasting the radiation belts, and modelling solar energetic particle events. We describe the SPACECAST forecasting system that uses physical models that include wave-particle interactions to forecast the electron radiation belts up to 3 h ahead. We show that the forecasts were able to reproduce the &gt;2 MeV electron flux at GOES 13 during the moderate storm of 7-8 October 2012, and the period following a fast solar wind stream on 25-26 October 2012 to within a factor of 5 or so. At lower energies of 10 - a few 100 keV we show that the electron flux at geostationary orbit depends sensitively on the high-energy tail of the source distribution near 10 R-E on the nightside of the Earth, and that the source is best represented by a kappa distribution. We present a new model of whistler mode chorus determined from multiple satellite measurements which shows that the effects of wave-particle interactions beyond geostationary orbit are likely to be very significant. We also present radial diffusion coefficients calculated from satellite data at geostationary orbit which vary with K-p by over four orders of magnitude. We describe a new automated method to determine the position at the shock that is magnetically connected to the Earth for modelling solar energetic particle events and which takes into account entropy, and predict the form of the mean free path in the foreshock, and particle injection efficiency at the shock from analytical theory which can be tested in simulations.</t>
  </si>
  <si>
    <t>[Horne, Richard B.; Glauert, Sarah A.; Meredith, Nigel P.] British Antarctic Survey, Cambridge CB3 0ET, England; [Koskinen, Hannu; Vainio, Rami; Afanasiev, Alexandr] Univ Helsinki, Dept Phys, FI-00014 Helsinki, Finland; [Koskinen, Hannu; Ganushkina, Natalia Y.; Amariutei, Olga A.] Finnish Meteorol Inst, FIN-00101 Helsinki, Finland; [Ganushkina, Natalia Y.] Univ Michigan, Dept Atmospher Ocean &amp; Space Sci, Ann Arbor, MI 48109 USA; [Boscher, Daniel; Sicard, Angelica; Maget, Vincent] French Aerosp Res Lab ONERA, F-31055 Toulouse, France; [Poedts, Stefaan; Jacobs, Carla] Katholieke Univ Leuven, Ctr Mathemat Plasma Astrofys, B-3001 Louvain, Belgium; [Sanahuja, Blai; Aran, Angels] Univ Barcelona, Dep Astron &amp; Meteorol, E-08028 Barcelona, Spain; [Sanahuja, Blai; Aran, Angels] Univ Barcelona, Inst Ciencies Cosmos, E-08028 Barcelona, Spain; [Heynderickx, Daniel] DH Consultancy BVBA, Louvain, Belgium</t>
  </si>
  <si>
    <t>UK Research &amp; Innovation (UKRI); Natural Environment Research Council (NERC); NERC British Antarctic Survey; University of Helsinki; Finnish Meteorological Institute; University of Michigan System; University of Michigan; National Office for Aerospace Studies &amp; Research (ONERA); KU Leuven; University of Barcelona; University of Barcelona</t>
  </si>
  <si>
    <t>Horne, RB (corresponding author), British Antarctic Survey, Madingley Rd, Cambridge CB3 0ET, England.</t>
  </si>
  <si>
    <t>R.Horne@bas.ac.uk</t>
  </si>
  <si>
    <t>Poedts, Stefaan/AAL-2906-2020; Poedts, Stefaan/C-9775-2012; Meredith, Nigel P/C-5806-2018; Sanahuja, Blai/N-5922-2019; Poedts, Stefaan M.W./AAG-1995-2019; Afanasiev, Alexandr N/N-5891-2017; Horne, Richard B/U-3764-2019; Heynderickx, Daniel/JBS-0816-2023; Vainio, Rami/A-5590-2009; Aran, Angels/F-5596-2016; Ganushkina, Natalia/K-6314-2013; Koskinen, Hannu/B-4971-2017</t>
  </si>
  <si>
    <t>Poedts, Stefaan/0000-0002-1743-0651; Poedts, Stefaan/0000-0002-1743-0651; Sanahuja, Blai/0000-0002-6963-6299; Poedts, Stefaan M.W./0000-0002-1743-0651; Horne, Richard B/0000-0002-0412-6407; Heynderickx, Daniel/0000-0001-7136-9014; Vainio, Rami/0000-0002-3298-2067; Aran, Angels/0000-0003-1539-7832; Meredith, Nigel/0000-0001-5032-3463; Maget, Vincent/0000-0003-0898-7279; Ganushkina, Natalia/0000-0002-9259-850X; Afanasiev, Alexandr/0000-0001-9325-6758; Sicard, Angelica/0000-0001-7810-1432; Koskinen, Hannu/0000-0003-3839-6461</t>
  </si>
  <si>
    <t>NASA [NAS5-02099]; European Union (FP7) [262468]; UK Natural Environment Research Council (NERC); French Aerospace Research Laboratory (ONERA); Spanish MINECO [AYA2010-17286]; Natural Environment Research Council [bas0100023] Funding Source: researchfish; NERC [bas0100023] Funding Source: UKRI</t>
  </si>
  <si>
    <t>NASA(National Aeronautics &amp; Space Administration (NASA)); European Union (FP7)(European Union (EU)); UK Natural Environment Research Council (NERC)(UK Research &amp; Innovation (UKRI)Natural Environment Research Council (NERC)); French Aerospace Research Laboratory (ONERA); Spanish MINECO(Spanish Government); Natural Environment Research Council(UK Research &amp; Innovation (UKRI)Natural Environment Research Council (NERC)); NERC(UK Research &amp; Innovation (UKRI)Natural Environment Research Council (NERC))</t>
  </si>
  <si>
    <t>The SPACECAST forecasting system uses data from several sources to produce the radiation belt forecasts. In particular we thank the ACE SWEPAM and MAG instrument teams and the ACE Science Center for providing plasma and magnetic field data on the solar wind, the National Oceanic and Atmosphere Administration (NOAA), for real time data from the GOES and POES satellites, the Swedish Institute of Space Physics, Lund, for providing forecasts of the Kp and Dst indices, the British Geological Survey, for providing an estimated Kp magnetic index in near real-time, the Regional Warning Centre, Kyoto, for the preliminary and quick look Dst index, the World Data Center for Geomagnetism, Kyoto for providing AE and AL, the Helmholdz Centre, Potsdam, for providing an archive of the Kp index, the National Geophysical Data Centre for providing an archive of the Dst index, the European Space Agency for use of their open data interface. We thank Roger Anderson and Keith Yearby for provision of the CRRES and Double Star plasma wave data, respectively. We also acknowledge the CDAWeb and CLUSTER Active Archive Web sites for the provision of the wave data from DE 1 and CLUSTER, respectively. We thank LPCEE laboratory (Orleans, France) for their help in the analysis of DE1 and CLUSTER wave data. We acknowledge NASA contract NAS5-02099, V. Angelopoulos and Wen Li for data from the THEMIS mission and its analysis. The research leading to these results has received funding from the European Union Seventh Framework Programme (FP7/2007-2013) under Grant Agreement No. 262468. We also acknowledge financial support from the UK Natural Environment Research Council (NERC) and the French Aerospace Research Laboratory (ONERA), and the Spanish MINECO project AYA2010-17286. Numerical MHD results were obtained on the HPC cluster VIC of the KU Leuven.</t>
  </si>
  <si>
    <t>EDP SCIENCES S A</t>
  </si>
  <si>
    <t>LES ULIS CEDEX A</t>
  </si>
  <si>
    <t>17, AVE DU HOGGAR, PA COURTABOEUF, BP 112, F-91944 LES ULIS CEDEX A, FRANCE</t>
  </si>
  <si>
    <t>2115-7251</t>
  </si>
  <si>
    <t>J SPACE WEATHER SPAC</t>
  </si>
  <si>
    <t>J. Space Weather Space Clim.</t>
  </si>
  <si>
    <t>A20</t>
  </si>
  <si>
    <t>10.1051/swsc/2013042</t>
  </si>
  <si>
    <t>Astronomy &amp; Astrophysics; Geochemistry &amp; Geophysics; Meteorology &amp; Atmospheric Sciences</t>
  </si>
  <si>
    <t>301YV</t>
  </si>
  <si>
    <t>Green Published, Green Accepted, gold, Green Submitted</t>
  </si>
  <si>
    <t>WOS:000330569100021</t>
  </si>
  <si>
    <t>Lichtenberger, J; Clilverd, MA; Heilig, B; Vellante, M; Manninen, J; Rodger, CJ; Collier, AB; Jorgensen, AM; Reda, J; Holzworth, RH; Friedel, R; Simon-Wedlund, M</t>
  </si>
  <si>
    <t>Lichtenberger, Janos; Clilverd, Mark A.; Heilig, Balazs; Vellante, Massimo; Manninen, Jyrki; Rodger, Craig J.; Collier, Andrew B.; Jorgensen, Anders M.; Reda, Jan; Holzworth, Robert H.; Friedel, Reinhard; Simon-Wedlund, Mea</t>
  </si>
  <si>
    <t>The plasmasphere during a space weather event: first results from the PLASMON project</t>
  </si>
  <si>
    <t>plasmasphere; whistler; FLR; data assimilation; relativistic electron precipitation</t>
  </si>
  <si>
    <t>FIELD LINE RESONANCES; PLASMAPAUSE; DEPLETION; DYNAMICS; DENSITY; MODEL</t>
  </si>
  <si>
    <t>The results of the first 18 months of the PLASMON project are presented. We have extended our three, existing ground-based measuring networks, AWDANet (VLF/whistlers), EMMA/SANSA (ULF/FLRs), and AARDDVARK (VLF/perturbations on transmitters' signal), by three, eight, and four new stations, respectively. The extended networks will allow us to achieve the four major scientific goals, the automatic retrieval of equatorial electron densities and density profiles of the plasmasphere by whistler inversion, the retrieval of equatorial plasma mass densities by EMMA and SANSA from FLRs, developing a new, data assimilative model of plasmasphere and validating the model predictions through comparison of modeled REP losses with measured data by AARDDVARK network. The first results on each of the four objectives are presented through a case study on a space weather event, a dual storm sudden commencement which occurred on August 3 and 4, 2010.</t>
  </si>
  <si>
    <t>[Lichtenberger, Janos] Eotvos Lorand Univ, Space Res Grp, Dept Geophys &amp; Space Sci, H-1117 Budapest, Hungary; [Lichtenberger, Janos] Hungarian Acad Sci, Geodet &amp; Geophys Inst, Res Ctr Astron &amp; Earth Sci, H-9400 Sopron, Hungary; [Clilverd, Mark A.] British Antarctic Survey, Cambridge CB3 0ET, England; [Heilig, Balazs] Geol &amp; Geophys Inst Hungary, H-1143 Budapest, Hungary; [Vellante, Massimo] Univ Aquila, Dept Phys, I-67010 Coppito, Italy; [Manninen, Jyrki] Sodankyla Geophys Observ, Sodankyla 99600, Finland; [Rodger, Craig J.; Simon-Wedlund, Mea] Univ Otago, Dept Phys, Dunedin 9054, New Zealand; [Collier, Andrew B.] SANSA Space Sci, ZA-7200 Hermanus, South Africa; [Collier, Andrew B.] Univ KwaZulu Natal, Sch Phys, ZA-4001 Durban, South Africa; [Jorgensen, Anders M.] New Mexico Inst Min &amp; Technol, Dept Elect Engn, Socorro, NM 87801 USA; [Reda, Jan] Inst Polish Acad Sci, PL-05622 Belsk Duzy, Poland; [Holzworth, Robert H.] Univ Washington, Dept Earth &amp; Space Sci, Seattle, WA 98195 USA; [Friedel, Reinhard] Los Alamos Natl Lab, Los Alamos, NM 87545 USA</t>
  </si>
  <si>
    <t>Eotvos Lorand University; Hungarian Research Network; HUN-REN Institute of Earth Physics &amp; Space Science; Hungarian Academy of Sciences; HUN-REN Research Centre for Astronomy &amp; Earth Sciences; UK Research &amp; Innovation (UKRI); Natural Environment Research Council (NERC); NERC British Antarctic Survey; University of L'Aquila; University of Otago; University of Kwazulu Natal; New Mexico Institute of Mining Technology; University of Washington; University of Washington Seattle; United States Department of Energy (DOE); Los Alamos National Laboratory</t>
  </si>
  <si>
    <t>Lichtenberger, J (corresponding author), Eotvos Lorand Univ, Space Res Grp, Dept Geophys &amp; Space Sci, Pazmany P Setany 1-A, H-1117 Budapest, Hungary.</t>
  </si>
  <si>
    <t>lityi@sas.elte.hu</t>
  </si>
  <si>
    <t>Manninen, Jyrki/I-4004-2019; Friedel, Reiner HW/D-1410-2012; Rodger, Craig/A-1501-2011; Collier, Andrew B/H-3752-2011; Jorgensen, Anders/JUF-1102-2023; Heilig, Balázs/A-3903-2012; Lichtenberger, Janos/K-1034-2018</t>
  </si>
  <si>
    <t>Manninen, Jyrki/0000-0003-2866-4231; Jorgensen, Anders/0000-0002-0070-373X; Heilig, Balázs/0000-0002-7964-0048; Reda, Jan/0000-0003-4580-6190; VELLANTE, Massimo/0000-0003-4628-366X; Rodger, Craig J./0000-0002-6770-2707; Lichtenberger, Janos/0000-0001-9175-9255; Holzworth, Robert/0000-0002-8839-618X</t>
  </si>
  <si>
    <t>European Union Seventh Framework Programme [FP7] [263218]; Natural Environment Research Council [bas0100023] Funding Source: researchfish; NERC [bas0100023] Funding Source: UKRI</t>
  </si>
  <si>
    <t>European Union Seventh Framework Programme [FP7]; Natural Environment Research Council(UK Research &amp; Innovation (UKRI)Natural Environment Research Council (NERC)); NERC(UK Research &amp; Innovation (UKRI)Natural Environment Research Council (NERC))</t>
  </si>
  <si>
    <t>The research leading to these results has received funding from the European Union Seventh Framework Programme [FP7/2007-2013] under Grant Agreement No. 263218</t>
  </si>
  <si>
    <t>A23</t>
  </si>
  <si>
    <t>10.1051/swsc/2013045</t>
  </si>
  <si>
    <t>Green Accepted, gold, Green Submitted, Green Published</t>
  </si>
  <si>
    <t>WOS:000330569100024</t>
  </si>
  <si>
    <t>Caputi, N; de Lestang, S; Frusher, S; Wahle, RA</t>
  </si>
  <si>
    <t>Caputi, Nick; de Lestang, Simon; Frusher, Stuart; Wahle, Richard A.</t>
  </si>
  <si>
    <t>The Impact of Climate Change on Exploited Lobster Stocks</t>
  </si>
  <si>
    <t>climate change; lobster; water temperature; risk assessment; regime shift; catch prediction</t>
  </si>
  <si>
    <t>WESTERN ROCK LOBSTER; NORTH-ATLANTIC OSCILLATION; LONG-ISLAND-SOUND; HOMARUS-AMERICANUS; JASUS-EDWARDSII; PANULIRUS-CYGNUS; WATER TEMPERATURE; LEEUWIN CURRENT; SPINY LOBSTER; INTERANNUAL VARIABILITY</t>
  </si>
  <si>
    <t>Climate change is predicted to significantly affect the world's oceans, with increases in water temperature, changes in ocean currents, pH levels and winds. This chapter highlights the vulnerability of lobster stocks to climate change due to their long larval life. Western and southern rock lobsters in Australia are influenced by long-term increases in water temperatures which are projected to continue. These increases have influenced the size at maturity and size of migrating western rock lobsters. Climate change has been implicated in the abundance decline and increase in lobster diseases in the southern part of the Homarus americanus stock and in the increase in catches in northern regions. Regime shift in the north Pacific has been implicated in changes in abundance of Japanese and Hawaiian spiny lobsters. If the recruitment abundance is vulnerable then monitoring of pre-recruits becomes very important and management strategies need to be sensitive to abundance trends. This chapter highlights the need to downscale climate change models to a spatial and temporal scale relevant to lobster stocks and the uncertainties in the climate change projections and their effect on the ecosystem.</t>
  </si>
  <si>
    <t>[Caputi, Nick; de Lestang, Simon] Western Australian Fisheries &amp; Marine Res Labs, Dept Fisheries, North Beach, WA 6920, Australia; [Frusher, Stuart] Univ Tasmania, Inst Marine &amp; Antarctic Studies, Hobart, Tas 7001, Australia; [Wahle, Richard A.] Univ Maine, Darling Marine Ctr, Sch Marine Sci, Walpole, ME 04573 USA</t>
  </si>
  <si>
    <t>Western Australian Fisheries &amp; Marine Research Laboratories; University of Tasmania; University of Maine System; University of Maine Orono</t>
  </si>
  <si>
    <t>Caputi, N (corresponding author), Western Australian Fisheries &amp; Marine Res Labs, Dept Fisheries, POB 20, North Beach, WA 6920, Australia.</t>
  </si>
  <si>
    <t>richard.wahle@maine.edu</t>
  </si>
  <si>
    <t>Wahle, Richard/AAI-3047-2020; de Lestang, Simon/HZJ-1589-2023</t>
  </si>
  <si>
    <t>WOS:000324196700005</t>
  </si>
  <si>
    <t>Jeffs, AG; Gardner, C; Cockcroft, A</t>
  </si>
  <si>
    <t>Jeffs, Andrew G.; Gardner, Caleb; Cockcroft, Andy</t>
  </si>
  <si>
    <t>Jasus and Sagmariasus Species</t>
  </si>
  <si>
    <t>Jasus edwardsii; Jasus lalandii; Jasus frontalis; Jasus paulensis; Jasus caveorum; Jasus tristani; Sagmariasus verreauxi; spiny lobster; Palinuridae</t>
  </si>
  <si>
    <t>SOUTHERN ROCK LOBSTER; CARIBBEAN SPINY LOBSTER; MARINE PROTECTED AREAS; FINAL-STAGE PHYLLOSOMA; VERREAUXI DECAPODA; NEW-ZEALAND; WEST-COAST; SEA-URCHINS; LARVAL RECRUITMENT; EDWARDSII DECAPODA</t>
  </si>
  <si>
    <t>The six spiny lobster species of the genera Jasus and Sagmariasus are the basis of some of the most important spiny lobster fisheries found in the Southern Hemisphere. These species inhabit rocky reef and foul ground habitats in shallow coastal waters. Many aspects of the biology of this group of spiny lobster species appears to be similar despite their circumglobal geographic range and their taxonomic diversity. Of the six lobster species, only J. lalandii, J. edwardsii and Sagmariasus verreauxi exist as more extensive populations on larger land masses that are all important resources as regional fisheries. The remaining three species, J. caveorum, J. frontalis and J. tristani (the last species is expected to be synonymized with J. paulensis), exist on small isolated oceanic islands and seamounts. In recent years there is new evidence that changes in ocean climate are beginning to show significant impacts on populations of several of the species of these genera. Given the biology of these species, especially their larval biology, it is likely that further change in ocean climate has the potential to greatly affect the production of these lobster species.</t>
  </si>
  <si>
    <t>[Jeffs, Andrew G.] Univ Auckland, Leigh Marine Lab, Auckland 1, New Zealand; [Gardner, Caleb] Univ Tasmania, Inst Marine &amp; Antarctic Studies, Hobart, Tas, Australia; [Cockcroft, Andy] Dept Agr Forestry &amp; Fisheries, Branch Fisheries, Cape Town, South Africa</t>
  </si>
  <si>
    <t>University of Auckland; University of Tasmania</t>
  </si>
  <si>
    <t>Jeffs, AG (corresponding author), Univ Auckland, Leigh Marine Lab, Auckland 1, New Zealand.</t>
  </si>
  <si>
    <t>Jeffs, Andrew G/D-9474-2012; Gardner, Caleb/I-7086-2013</t>
  </si>
  <si>
    <t>Jeffs, Andrew/0000-0002-8504-1949; Gardner, Caleb/0000-0003-0324-4337</t>
  </si>
  <si>
    <t>WOS:000324196700010</t>
  </si>
  <si>
    <t>Valenzuela, AEJ; Rey, AR; Fasola, L; Samaniego, RAS; Schiavini, A</t>
  </si>
  <si>
    <t>Valenzuela, Alejandro E. J.; Raya Rey, Andrea; Fasola, Laura; Saenz Samaniego, Ricardo A.; Schiavini, Adrian</t>
  </si>
  <si>
    <t>Trophic ecology of a top predator colonizing the southern extreme of South America: Feeding habits of invasive American mink (Neovison vison) in Tierra del Fuego</t>
  </si>
  <si>
    <t>MAMMALIAN BIOLOGY</t>
  </si>
  <si>
    <t>Conservation; Exotic predator; Diet; Tierra del Fuego Archipelago; Sub-Antarctic</t>
  </si>
  <si>
    <t>OTTER LUTRA-LUTRA; HORN BIOSPHERE RESERVE; MUSTELA-VISON; BEAGLE CHANNEL; FECAL ANALYSIS; RIVER OTTER; DIET; ARCHIPELAGO; IMPACT; GALATHEIDAE</t>
  </si>
  <si>
    <t>The American mink (Neovison vison) is a semi-aquatic, generalist carnivore released onto Tierra del Fuego (TDF) Island in the 1940s, subsequently spreading to adjacent islands in the archipelago with potential effects on native prey populations. Knowledge of this new predator's trophic ecology is essential to identify threats, plan control strategies and conserve native fauna. We studied seasonal mink diet in TDF in different habitats. We identified undigested remains from 493 scats collected between May 2005 and March 2009 along marine coasts and freshwater shores (rivers and lakes). Small mammals and fish were the main mink prey in TDF (over 65% of diet items). Seasonal variations were not detected, but diet did vary significantly between marine and freshwater habitats, where more terrestrial items were consumed. Among mammals, mink consumed more small native rodents than exotic species. Native fish consumption was also important with greater representation of species from the families Nototheniidae and Galaxiidae in marine and freshwater habitats respectively. Birds were the third item in importance, but did not constitute a particularly large part of the mink's diet on TDF. Overall, differences found in mink diet between habitats reflected their generalist/opportunistic feeding behaviour and did not differ greatly from observations in its native range or in other areas where it has been introduced. Our results establish the interactions between this novel predator and its prey and also illustrate the need to continue research on native prey populations to quantify mink impact on them and understand the ecological context of this biotic assemblage. (C) 2012 Deutsche Gesellschaft fur Saugetierkunde. Published by Elsevier GmbH. All rights reserved.</t>
  </si>
  <si>
    <t>[Valenzuela, Alejandro E. J.; Raya Rey, Andrea; Fasola, Laura; Saenz Samaniego, Ricardo A.; Schiavini, Adrian] Consejo Nacl Invest Cient &amp; Tecn, CADIC, Ushuaia, Argentina</t>
  </si>
  <si>
    <t>Valenzuela, AEJ (corresponding author), Natl Pk Adm, Southern Patagonia Coordinat Unit, Ushuaia, Argentina.</t>
  </si>
  <si>
    <t>ale.alevalenzuela@gmail.com</t>
  </si>
  <si>
    <t>Schiavini, Adrian Carlos Miguel/0000-0001-6621-4827; Raya Rey, Andrea/0000-0003-0127-6650</t>
  </si>
  <si>
    <t>CONICET; Wildlife Conservation Society (WCS); Global Environment Facility (GEF) Project</t>
  </si>
  <si>
    <t>CONICET(Consejo Nacional de Investigaciones Cientificas y Tecnicas (CONICET)); Wildlife Conservation Society (WCS); Global Environment Facility (GEF) Project</t>
  </si>
  <si>
    <t>The authors thank the staff of Haberton Ranch, TDF National Park and the Office of Protected Areas and Biodiversity (Secretary of Sustainable Development and Environment - Argentine Province of Tierra del Fuego, Antarctica and Island of the southern Atlantic Ocean) who collaborated and helped during field work. We thank Dr. C.B. Anderson for helpful comments and editions on previous versions of this manuscript. This study was financed by CONICET, the Wildlife Conservation Society (WCS), and Global Environment Facility (GEF) Project. AEJV acknowledges the hospitality of the Institute of Applied Sciences, University of North Texas, where he was a visiting scholar from 2009 to 2012 during the preparation of this manuscript. Three anonymous reviewers contributed to the improvement of the paper.</t>
  </si>
  <si>
    <t>1616-5047</t>
  </si>
  <si>
    <t>1618-1476</t>
  </si>
  <si>
    <t>MAMM BIOL</t>
  </si>
  <si>
    <t>Mamm. Biol.</t>
  </si>
  <si>
    <t>10.1016/j.mambio.2012.11.007</t>
  </si>
  <si>
    <t>141TK</t>
  </si>
  <si>
    <t>WOS:000318749200004</t>
  </si>
  <si>
    <t>Cruces, E; Huovinen, P; Gómez, I</t>
  </si>
  <si>
    <t>Cruces, Edgardo; Huovinen, Pirjo; Gomez, Ivan</t>
  </si>
  <si>
    <t>Interactive effects of UV radiation and enhanced temperature on photosynthesis, phlorotannin induction and antioxidant activities of two sub-Antarctic brown algae</t>
  </si>
  <si>
    <t>CHLOROPHYLL FLUORESCENCE MEASUREMENTS; LESSONIA-NIGRESCENS LAMINARIALES; INDUCED OXIDATIVE STRESS; FILAMENTOUS GREEN-ALGAE; ULTRAVIOLET-RADIATION; MORPHOFUNCTIONAL PATTERNS; DURVILLAEA-ANTARCTICA; FUCOID ALGAE; B RADIATION; DNA-DAMAGE</t>
  </si>
  <si>
    <t>Lessonia nigrescens and Durvillaea antarctica, two large sub-Antarctic brown algae from the southern Chilean coast, were exposed to solar UV radiation in an outdoor system during a summer day (for 11 h) as well as to artificial UV radiation under controlled laboratory conditions at two temperatures (15 and 20 A degrees C) for 72 h. Chlorophyll a fluorescence-based photoinhibition of photosynthesis was measured during the outdoor exposure, while electron transport rates, lipid peroxidation, antioxidant activity and content of phlorotannins were determined at different time intervals during the laboratory exposure. Under natural solar irradiances in summer, both species displayed well-developed dynamic photoinhibition: F (v)/F (m) values decreased by 70 % at noon coinciding with the levels of PAR &gt; 1,500 mu mol m(-2) s(-1) and UV-B radiation &gt; 1 W m(-2) and recovered substantially in the afternoon. In treatments including UV radiation, recovery in D. antarctica started already during the highest irradiances at noon. The results from laboratory exposures revealed that (a) elevated temperature of 20 A degrees C exacerbated the detrimental effects of UV radiation on photochemical parameters (F (v)/F (m) and ETR); (b) peroxidative damage measured as MDA formation occurred rapidly and was strongly correlated with the decrease in F (v)/F (m), especially at elevated temperature of 20 A degrees C; (c) the antioxidant activity and increases in soluble phlorotannins were positively correlated mainly in response to UV radiation; (d) phlorotannins were rapidly induced but strongly impaired at 20 A degrees C. In general, short-term (2-6 h) exposures to enhanced UV radiation and temperature were effective to activate the photochemical and biochemical defenses against oxidative stress, and they continued operative during 72 h, a time span clearly exceeding the tidal or diurnal period. Furthermore, when algae were exposed to dim light and control temperature of 15 A degrees C for 6 h, F (v)/F (m) increased and lipid peroxidation decreased, indicating consistently that algae retained their ability for recovery. D. antarctica was the most sensitive species to elevated temperature for prolonged periods in the laboratory. Although no conclusive evidence for the effect of the buoyancy of fronds was found, the interspecific discrepancies in thermo-sensitivity in the UV responses found in this study are consistent with various ecological and biogeographical differences described for these species.</t>
  </si>
  <si>
    <t>[Cruces, Edgardo] Univ La Frontera, Programa Doctorado Ciencias Recursos Nat, Temuco, Chile; [Cruces, Edgardo; Huovinen, Pirjo; Gomez, Ivan] Univ Austral Chile, Inst Ciencias Marinas &amp; Limnol, Valdivia, Chile</t>
  </si>
  <si>
    <t>Universidad de La Frontera; Universidad Austral de Chile</t>
  </si>
  <si>
    <t>Gómez, I (corresponding author), Univ Austral Chile, Inst Ciencias Marinas &amp; Limnol, Casilla 567, Valdivia, Chile.</t>
  </si>
  <si>
    <t>igomezo@uach.cl</t>
  </si>
  <si>
    <t>Gomez, Ivan/0000-0001-8381-3792; Huovinen, Pirjo/0000-0002-7754-4933</t>
  </si>
  <si>
    <t>FONDECYT [1090494]; CONICYT [21070148]</t>
  </si>
  <si>
    <t>FONDECYT(Comision Nacional de Investigacion Cientifica y Tecnologica (CONICYT)CONICYT FONDECYT); CONICYT(Comision Nacional de Investigacion Cientifica y Tecnologica (CONICYT))</t>
  </si>
  <si>
    <t>This study was supported by a FONDECYT grant No 1090494 to I.G. and P.H. and a CONICYT PhD fellowship No 21070148 to E.C. The authors thank the technical assistance of M. Orostegui.</t>
  </si>
  <si>
    <t>10.1007/s00227-012-2049-8</t>
  </si>
  <si>
    <t>WOS:000313047600001</t>
  </si>
  <si>
    <t>Tancell, C; Phillips, RA; Xavier, JC; Tarling, GA; Sutherland, WJ</t>
  </si>
  <si>
    <t>Tancell, Claire; Phillips, Richard A.; Xavier, Jose C.; Tarling, Geraint A.; Sutherland, William J.</t>
  </si>
  <si>
    <t>Comparison of methods for determining key marine areas from tracking data</t>
  </si>
  <si>
    <t>1ST-PASSAGE TIME ANALYSIS; WANDERING ALBATROSSES; FORAGING BEHAVIOR; HOME-RANGE; SOUTH GEORGIA; HETEROGENEOUS LANDSCAPES; SATELLITE TELEMETRY; RESTRICTED SEARCH; ANIMAL MOVEMENTS; PROTECTED AREAS</t>
  </si>
  <si>
    <t>There is an urgent need to identify key marine areas for conservation, particularly in the high seas. A range of techniques have been applied to tracking data from higher predators, particularly seabirds and pinnipeds, to determine the areas of greatest use. This study compared three commonly used methods-kernel, first-passage time and state-space modelling-and a new approach, minimum displacement rate, for the analysis of data from the wandering albatross Diomedea exulans of Bird Island, South Georgia, tracked during the chick-rearing period. Applied to a single track, these four models identified similar marine areas as important. The greatest similarity in areas identified occurred when model assumptions were shared (such as slow speed indicating spatial preference) even when methods modelled these assumptions differently (e.g. Bayesian inference versus cumulative density surface). A gridded overlap approach applied to all tracks revealed core areas not apparent from results of any single analysis. The gridded approach also revealed spatial overlap between methods based on different assumptions (e.g. minimum displacement rate and kernel analysis) and between individuals. Although areas identified as important by kernel and first-passage time analysis of a single track were biased towards resting locations during darkness, this does not negate the requirement for their protection. Using the gridded overlap approach, two distinct core regions were identified for the wandering albatross; one close to the breeding colony and another 800 km to the North-West in the high seas. This convenient and pragmatic approach could be applied to large data sets and across species for the identification of a network of candidate marine protected areas in coastal and pelagic waters.</t>
  </si>
  <si>
    <t>[Tancell, Claire; Sutherland, William J.] Univ Cambridge, Dept Zool, Conservat Sci Grp, Cambridge CB2 3EJ, England; [Tancell, Claire; Phillips, Richard A.; Xavier, Jose C.; Tarling, Geraint A.] British Antarctic Survey, Nat Environm Res Council, Cambridge CB3 0ET, England; [Xavier, Jose C.] Univ Coimbra, Dept Life Sci, Inst Marine Res, P-3001401 Coimbra, Portugal</t>
  </si>
  <si>
    <t>University of Cambridge; UK Research &amp; Innovation (UKRI); Natural Environment Research Council (NERC); NERC British Antarctic Survey; Universidade de Coimbra</t>
  </si>
  <si>
    <t>Tancell, C (corresponding author), Univ Cambridge, Dept Zool, Conservat Sci Grp, Downing St, Cambridge CB2 3EJ, England.</t>
  </si>
  <si>
    <t>ct357@cam.ac.uk</t>
  </si>
  <si>
    <t>Sutherland, William/B-1291-2013; Xavier, José/KFB-6739-2024</t>
  </si>
  <si>
    <t>Sutherland, William/0000-0002-6498-0437; Tancell, Claire/0000-0002-4298-6192; /0000-0002-9621-6660</t>
  </si>
  <si>
    <t>South Georgia Heritage Trust; Prince Albert II Monaco Foundation; Arcadia; Foundation for Science and Technology (FCT), Portugal; NERC [bas0100025] Funding Source: UKRI; Natural Environment Research Council [bas0100025] Funding Source: researchfish</t>
  </si>
  <si>
    <t>South Georgia Heritage Trust; Prince Albert II Monaco Foundation; Arcadia; Foundation for Science and Technology (FCT), Portugal(Fundacao para a Ciencia e a Tecnologia (FCT)); NERC(UK Research &amp; Innovation (UKRI)Natural Environment Research Council (NERC)); Natural Environment Research Council(UK Research &amp; Innovation (UKRI)Natural Environment Research Council (NERC))</t>
  </si>
  <si>
    <t>Thanks to the South Georgia Heritage Trust and the Prince Albert II Monaco Foundation for funding of this project. We would like to thank three anonymous reviewers for their valuable input that greatly improved the manuscript. We are very grateful to the fieldworkers involved in the satellite-transmitter deployments at Bird Island, and to Andrew Wood for his assistance with data archiving. WS is funded by Arcadia. Jose Xavier was supported by the Foundation for Science and Technology (FCT), Portugal. Thanks to David Pinaud for contributing R code for running first-passage time analysis and to Tatsuya Amano for R code contributed for running state-space model. Thanks also to Andrew Balmford and Mike Brooke for their helpful comments on an early draft. The methods used comply with the current laws of the Government of South Georgia and the South Sandwich Islands. This research represents a contribution to the British Antarctic Survey Ecosystems Programme.</t>
  </si>
  <si>
    <t>10.1007/s00227-012-2050-2</t>
  </si>
  <si>
    <t>WOS:000313047600002</t>
  </si>
  <si>
    <t>Oubelkheir, K; Clementson, LA; Moore, GF; Tilstone, GH</t>
  </si>
  <si>
    <t>Oubelkheir, Kadija; Clementson, Lesley A.; Moore, Gerald F.; Tilstone, Gavin H.</t>
  </si>
  <si>
    <t>Production of mycosporine-like amino acids by phytoplankton under ultraviolet radiation exposure in the Sub-Antarctic Zone south of Tasmania</t>
  </si>
  <si>
    <t>Phytoplankton; UV; Mycosporine-like amino acids; Absorption coefficient</t>
  </si>
  <si>
    <t>LIQUID-CHROMATOGRAPHY METHOD; DISSOLVED ORGANIC-MATTER; UV-ABSORBING COMPOUNDS; OZONE DEPLETION; ALEXANDRIUM-TAMARENSE; MARINE-PHYTOPLANKTON; PLANKTONIC ORGANISMS; WATER PHYTOPLANKTON; OPTICAL-PROPERTIES; SOLAR-RADIATION</t>
  </si>
  <si>
    <t>Phytoplankton production of mycosporine-like amino acids (MAAs) against the damaging effects of ultraviolet (UV) radiation, and the associated changes in absorption properties, were examined across different trophic regions south of Tasmania, from the Polar Frontal Zone (PFZ) to the Sub-Antarctic Zone (SAZ) and in sub-tropical waters. The MAA concentration and particulate absorption coefficient were determined in the 0 to 100 m layer across a latitudinal gradient from 54 to 44 degrees south. These spatial observations were complemented with daily incubation experiments at 3 stations located in the PFZ and in the SAZ southeast and southwest of Tasmania. MAAs were widespread, with a predominance of primary MAAs such as porphyra-334 in the PFZ and secondary MAAs such as palythenic acid in the stratified waters in the north of the SAZ. Under surface irradiance levels during deck incubation experiments, phytoplankton from the PFZ and SAZ produced significant amounts of MAAs under UVB radiations, and a fraction was released into the dissolved fraction (generally &lt;20% of the total MAAs). MAA production rates in the north of the SAZ ranged from 0.0009 to 0.0436 mg m(-3) kJ(-1) UVB m(-2) southwest and southeast of Tasmania, respectively. Changes in MAA distribution are discussed in relation to environmental factors (UV radiation exposure, mixing, nutrients) and shifts in the phytoplankton assemblage composition. The strong variability in MAA distribution and composition across the study region is driven primarily by UV radiation exposure and vertical mixing and secondarily by species-specific responses to UV radiation.</t>
  </si>
  <si>
    <t>[Oubelkheir, Kadija; Moore, Gerald F.; Tilstone, Gavin H.] Plymouth Marine Lab, Plymouth PL1 3DH, Devon, England; [Clementson, Lesley A.] CSIRO Marine &amp; Atmospher Res, Hobart, Tas 7001, Australia; [Moore, Gerald F.] Biooptika, Gunnislake PL18 9NQ, Cornwall, England</t>
  </si>
  <si>
    <t>Plymouth Marine Laboratory; Commonwealth Scientific &amp; Industrial Research Organisation (CSIRO)</t>
  </si>
  <si>
    <t>Oubelkheir, K (corresponding author), CSIRO Land &amp; Water, Dutton Pk, Qld 4102, Australia.</t>
  </si>
  <si>
    <t>kadija.oubelkheir@csiro.au</t>
  </si>
  <si>
    <t>Oubelkheir, Kadija/H-3843-2011; Clementson, Lesley A/M-6905-2013</t>
  </si>
  <si>
    <t>Clementson, Lesley/0000-0003-4415-993X; Moore, Gerald/0000-0001-6170-6646; Tilstone, Gavin/0000-0002-9347-1682; Oubelkheir, Kadija/0000-0002-6515-3791</t>
  </si>
  <si>
    <t>Marie Curie fellowship 'UVphytoMAA' from the European Union [024823]; NERC contract [Oceans 2025]; NERC [pml010008] Funding Source: UKRI; Natural Environment Research Council [pml010008] Funding Source: researchfish</t>
  </si>
  <si>
    <t>Marie Curie fellowship 'UVphytoMAA' from the European Union(European Union (EU)); NERC contract; NERC(UK Research &amp; Innovation (UKRI)Natural Environment Research Council (NERC)); Natural Environment Research Council(UK Research &amp; Innovation (UKRI)Natural Environment Research Council (NERC))</t>
  </si>
  <si>
    <t>The authors thank Isabel Cook for advice on the set-up of the HPLC method for MAA analysis, David White for LC-MS identification of MAAs and the crew of the RV 'Aurora Australis' for their assistance at sea. We also acknowledge Simon Wright for providing chlorophyll a and pigment data for the vertical profiles. Brian Griffiths is especially acknowledged for providing the opportunity for K.O. to participate in the SAZ-Sense cruise. The satellite image (Fig. 1) is courtesy of the Natural Environment Research Council (NERC) Earth Observation Data Acquisition and Analysis Service (NEODAAS, www.neodaas.ac.uk) at the Plymouth Marine Laboratory. The research was financed by the Marie Curie fellowship 'UVphytoMAA' from the European Union (Contract No. 024823). G. H. T. and G. F. M. were financed by the NERC contract, Oceans 2025.</t>
  </si>
  <si>
    <t>10.3354/meps10530</t>
  </si>
  <si>
    <t>WOS:000328086100004</t>
  </si>
  <si>
    <t>Torres, LG; Sagar, PM; Thompson, DR; Phillips, RA</t>
  </si>
  <si>
    <t>Torres, Leigh G.; Sagar, Paul M.; Thompson, David R.; Phillips, Richard A.</t>
  </si>
  <si>
    <t>Scale-dependence of seabird-fishery data analysis and management: Reply to Croxall et al. (2013)</t>
  </si>
  <si>
    <t>Foraging behavior; Scale; Seabird; Distribution; Overlap; Fisheries interaction; GPS tracking; Buller's albatross</t>
  </si>
  <si>
    <t>Croxall et al. (2013; Mar Ecol Prog Ser 493:297-300) assert that fine-scale analysis of seabird-fisheries overlap, such as that presented in Torres et al. (2013; Mar Ecol Prog Ser 473:275-289), is of limited value for the assessment and management of seabird bycatch. In contrast, we consider that the highly dynamic movement patterns of both seabirds and fishing vessels necessitate analyses at multiple scales to fully understand the spatio-temporal variation in their associations. Conservation management of seabird bycatch in fishing operations can be applied at multiple scales from large ocean basins to small sub-national management units. We argue that the appropriate scale of analysis of seabird-fishery overlap is dependent on the data available and on the scale of management to be applied. The criticism by Croxall et al. (2013) of our analytical methods and interpretation of results does not affect the derived rates of overlap between Buller's albatrosses and fishing vessels. Studies of seabird-fisheries overlap at all scales are trending toward analyses at smaller spatial and temporal scales, supporting the conclusion of Torres et al. (2013) that scaling down such analyses is valuable for improving our ecological understanding of seabird-fishery associations and for the conservation management of seabird bycatch.</t>
  </si>
  <si>
    <t>[Torres, Leigh G.; Thompson, David R.] Natl Inst Water &amp; Atmospher Res Ltd, Wellington 6021, New Zealand; [Sagar, Paul M.] Natl Inst Water &amp; Atmospher Res Ltd, Christchurch 8011, New Zealand; [Phillips, Richard A.] British Antarctic Survey, Nat Environm Res Council, Cambridge CB3 0ET, England</t>
  </si>
  <si>
    <t>National Institute of Water &amp; Atmospheric Research (NIWA) - New Zealand; National Institute of Water &amp; Atmospheric Research (NIWA) - New Zealand; UK Research &amp; Innovation (UKRI); Natural Environment Research Council (NERC); NERC British Antarctic Survey</t>
  </si>
  <si>
    <t>Torres, LG (corresponding author), Natl Inst Water &amp; Atmospher Res Ltd, Wellington 6021, New Zealand.</t>
  </si>
  <si>
    <t>l.torres@niwa.co.nz</t>
  </si>
  <si>
    <t>10.3354/meps10600</t>
  </si>
  <si>
    <t>254VX</t>
  </si>
  <si>
    <t>WOS:000327197700027</t>
  </si>
  <si>
    <t>Sailley, SF; Ducklow, HW; Moeller, HV; Fraser, WR; Schofield, OM; Steinberg, DK; Garzio, LM; Doney, SC</t>
  </si>
  <si>
    <t>Sailley, Sevrine F.; Ducklow, Hugh W.; Moeller, Holly V.; Fraser, William R.; Schofield, Oscar M.; Steinberg, Deborah K.; Garzio, Lori M.; Doney, Scott C.</t>
  </si>
  <si>
    <t>Carbon fluxes and pelagic ecosystem dynamics near two western Antarctic Peninsula Adelie penguin colonies: an inverse model approach</t>
  </si>
  <si>
    <t>Inverse model; Food web; Antarctica; Microzooplankton; Krill; Ecosystem state change; Climate change</t>
  </si>
  <si>
    <t>TUNICATE SALPA-THOMPSONI; MARGINAL ICE-ZONE; SOUTHERN-OCEAN; EUPHAUSIA-SUPERBA; FOOD-WEB; SEA-ICE; GRAZING IMPACT; AUSTRAL SUMMER; CLIMATE-CHANGE; SPATIOTEMPORAL VARIABILITY</t>
  </si>
  <si>
    <t>An inverse food-web model for the western Antarctic Peninsula (WAP) pelagic food web was constrained with data from Palmer Long Term Ecological Research (PAL-LTER) project annual austral summer sampling cruises. Model solutions were generated for 2 regions with Adelie penguin Pygoscelis adeliae colonies presenting different population trends (a northern and a southern colony) for a 12 yr period (1995-2006). Counter to the standard paradigm, comparisons of carbon flow through bacteria, microzooplankton, and krill showed that the diatom-krill-top predator food chain is not the dominant pathway for organic carbon exchanges. The food web is more complex, including significant contributions by microzooplankton and the microbial loop. Using both inverse model results and network indices, it appears that in the northern WAP the food web is dominated by the microbial food web, with a temporal trend toward its increasing importance. The dominant pathway for the southern WAP food web varies from year to year, with no detectable temporal trend toward dominance of microzooplankton versus krill. In addition, sensitivity analyses indicated that the northern colony of Adelie penguins, whose population size has been declining over the past 35 yr, appears to have sufficient krill during summer to sustain its basic metabolic needs and rear chicks, suggesting the importance of other processes in regulating the Adelie population decline.</t>
  </si>
  <si>
    <t>[Sailley, Sevrine F.; Moeller, Holly V.; Doney, Scott C.] Woods Hole Oceanog Inst, Woods Hole, MA 02543 USA; [Ducklow, Hugh W.] Lamont Doherty Earth Observ, Palisades, NY 10964 USA; [Fraser, William R.] Polar Oceans Res Grp, Sheridan, MT 59749 USA; [Schofield, Oscar M.] Rutgers State Univ, Inst Marine &amp; Coastal Sci, New Brunswick, NJ 08901 USA; [Steinberg, Deborah K.; Garzio, Lori M.] Virginia Inst Marine Sci, Gloucester Pt, VA 23062 USA</t>
  </si>
  <si>
    <t>Woods Hole Oceanographic Institution; Columbia University; Rutgers University System; Rutgers University New Brunswick; William &amp; Mary; Virginia Institute of Marine Science</t>
  </si>
  <si>
    <t>Sailley, SF (corresponding author), Plymouth Marine Lab, Citadel Hill, Plymouth PL1 3DH, Devon, England.</t>
  </si>
  <si>
    <t>sesa@pml.ac.uk</t>
  </si>
  <si>
    <t>Doney, Scott/F-9247-2010; Schofield, Oscar/H-4169-2018</t>
  </si>
  <si>
    <t>Doney, Scott/0000-0002-3683-2437; Schofield, Oscar/0000-0003-2359-4131; Steinberg, Deborah K./0000-0001-9884-4655</t>
  </si>
  <si>
    <t>National Science Foundation, Office of Polar Programs [0823101]; Directorate For Geosciences; Office of Polar Programs (OPP) [0823101] Funding Source: National Science Foundation; Division Of Polar Programs; Directorate For Geosciences [1344502] Funding Source: National Science Foundation; Office of Polar Programs (OPP); Directorate For Geosciences [1326167, 1440435] Funding Source: National Science Foundation; Natural Environment Research Council [pml010006] Funding Source: researchfish; NERC [pml010006] Funding Source: UKRI</t>
  </si>
  <si>
    <t>National Science Foundation, Office of Polar Programs(National Science Foundation (NSF));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</si>
  <si>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We acknowledge support from the National Science Foundation, Office of Polar Programs, Award 0823101 (Antarctic Organisms and Ecosystems Program) to Palmer LTER. We are grateful to J. Peloquin for analyzing the HPLC data with ChemTax.</t>
  </si>
  <si>
    <t>10.3354/meps10534</t>
  </si>
  <si>
    <t>245DL</t>
  </si>
  <si>
    <t>WOS:000326439800019</t>
  </si>
  <si>
    <t>Henschke, N; Bowden, DA; Everett, JD; Holmes, SP; Kloser, RJ; Lee, RW; Suthers, IM</t>
  </si>
  <si>
    <t>Henschke, Natasha; Bowden, David A.; Everett, Jason D.; Holmes, Sebastian P.; Kloser, Rudy J.; Lee, Raymond W.; Suthers, Iain M.</t>
  </si>
  <si>
    <t>Salp-falls in the Tasman Sea: a major food input to deep-sea benthos</t>
  </si>
  <si>
    <t>Benthic communities; Gelatinous zooplankton; Carbon cycling; Fluxes; Salp-fall; Jelly-fall</t>
  </si>
  <si>
    <t>ORGANIC-MATTER; CHEMICAL-COMPOSITION; CHATHAM RISE; BIOCHEMICAL-COMPOSITION; ANTARCTIC PENINSULA; VERTICAL MIGRATION; MASS DEPOSITION; AUSTRAL SUMMER; ENERGY CONTENT; JELLY-FALLS</t>
  </si>
  <si>
    <t>Large, fast-sinking carcasses (food-falls) are an important source of nutrition to deep-sea benthic communities. In 2007 and 2009, mass depositions of the salp Thetys vagina were observed on the Tasman Sea floor between 200 and 2500 m depth, where benthic crustaceans were observed feeding on them. Analysis of a long-term (1981 to 2011) trawl survey database determined that salp biomass (wet weight, WW) in the eastern Tasman Sea regularly exceeds 100 t km(-3) yr(-1), with biomasses as high as 734 t km(-3) recorded in a single trawl. With fast sinking rates, salp fluxes to the seafloor occur year-round. Salps, like jellyfish, have been considered to be of low nutritional value; however, biochemical analyses revealed that T. vagina has a carbon (31% dry weight, DW) and energy (11.00 kJ g(-1) DW) content more similar to that of phytoplankton blooms, copepods and fish than to that of jellyfish, with which they are often grouped. The deposition of the mean yearly biomass (4.81 t km(-2) WW) of salps recorded from the trawl database in the Tasman Sea represents a 330% increase to the carbon input normally estimated for this region. Given their abundance, rapid export to the seabed and high nutritional value, salp carcasses are likely to be a significant input of carbon to benthic food webs, which, until now, has been largely overlooked.</t>
  </si>
  <si>
    <t>[Henschke, Natasha; Everett, Jason D.; Suthers, Iain M.] Univ New S Wales, Evolut &amp; Ecol Res Ctr, Sydney, NSW 2052, Australia; [Henschke, Natasha; Everett, Jason D.; Suthers, Iain M.] Sydney Inst Marine Sci, Mosman, NSW 2088, Australia; [Bowden, David A.] Natl Inst Water &amp; Atmospher Res Ltd NIWA, Wellington 6021, New Zealand; [Everett, Jason D.] Univ Technol Sydney, Fac Sci, Broadway, NSW 2007, Australia; [Holmes, Sebastian P.] Univ Sydney, Sch Biol Sci, Sydney, NSW 2006, Australia; [Holmes, Sebastian P.] UWS, Sch Sci &amp; Hlth, WWEG, Penrith, NSW 1797, Australia; [Kloser, Rudy J.] Commonwealth Sci &amp; Ind Res Org CSIRO Marine Labs, Hobart, Tas 7001, Australia; [Lee, Raymond W.] Washington State Univ, Sch Biol Sci, Pullman, WA 99164 USA</t>
  </si>
  <si>
    <t>University of New South Wales Sydney; Sydney Institute of Marine Science; National Institute of Water &amp; Atmospheric Research (NIWA) - New Zealand; University of Technology Sydney; University of Sydney; Commonwealth Scientific &amp; Industrial Research Organisation (CSIRO); Washington State University</t>
  </si>
  <si>
    <t>Henschke, N (corresponding author), Univ New S Wales, Evolut &amp; Ecol Res Ctr, Sydney, NSW 2052, Australia.</t>
  </si>
  <si>
    <t>n.henschke@unsw.edu.au</t>
  </si>
  <si>
    <t>Kloser, Rudy J/A-1464-2012; Holmes, Sebastian/IQU-1261-2023; Suthers, Iain/C-4559-2008; Everett, Jason/C-4557-2008</t>
  </si>
  <si>
    <t>Holmes, Sebastian/0000-0003-2101-376X; Kloser, Rudy/0000-0002-8620-536X; Suthers, Iain/0000-0002-9340-7461; Everett, Jason/0000-0002-6681-8054</t>
  </si>
  <si>
    <t>New Zealand Ministry of Fisheries; Land Information New Zealand; NIWA; New Zealand Department of Conservation; Marine National Facility [SS03-2009]</t>
  </si>
  <si>
    <t>New Zealand Ministry of Fisheries; Land Information New Zealand; NIWA; New Zealand Department of Conservation; Marine National Facility(Commonwealth Scientific &amp; Industrial Research Organisation (CSIRO))</t>
  </si>
  <si>
    <t>This research could not have been completed without the kind and gracious assistance of S. Mills and Dr. K. Schnabel from the Marine Invertebrate Collection at NIWA; M. Lewis from CSIRO; and Dr. M. Cryer and C. Loveridge from the Ministry of Fisheries, New Zealand. We also thank M. Gall (UWS) for her assistance with the biochemical analysis of the specimens and A. Hart (NIWA) for fish identification. We are grateful to the anonymous reviewers for their helpful comments that improved on the original version of this manuscript. The New Zealand samples were collected under the Ocean Survey 20/20 Chatham/Challenger Biodiversity and Seabed Habitat project, funded jointly by the New Zealand Ministry of Fisheries, Land Information New Zealand, NIWA and the New Zealand Department of Conservation. The Australian samples were collected during a Next Wave transit voyage (SS03-2009) funded by the Marine National Facility. This is contribution 110 from the Sydney Institute of Marine Science.</t>
  </si>
  <si>
    <t>10.3354/meps10450</t>
  </si>
  <si>
    <t>WOS:000325282500013</t>
  </si>
  <si>
    <t>McKnight, A; Allyn, AJ; Duffy, DC; Irons, DB</t>
  </si>
  <si>
    <t>McKnight, Aly; Allyn, Andrew J.; Duffy, David C.; Irons, David B.</t>
  </si>
  <si>
    <t>'Stepping stone' pattern in Pacific Arctic tern migration reveals the importance of upwelling areas</t>
  </si>
  <si>
    <t>Arctic tern; Sterna paradisaea; Migration; Geolocation; Activity sensor; Staging area; California Current; Humboldt Current; Patagonian Shelf; Weddell Sea</t>
  </si>
  <si>
    <t>EASTERN TROPICAL PACIFIC; STERNA-PARADISAEA; SURFACE CHLOROPHYLL; SEABIRD; GULF; BIRDS; CYCLE; VARIABILITY; DISPERSAL; RESPONSES</t>
  </si>
  <si>
    <t>Arctic terns Sterna paradisaea are noted for their extraordinary migration between Arctic and sub-Arctic breeding grounds and Antarctic wintering areas. Until recently, few data existed to document this migration, and none existed for North Pacific breeders. In this study, we tracked 6 Alaskan Arctic terns tagged with combined light geolocation and saltwater immersion tags through their fall migration. During fall 2007, these birds used several highly productive stopover locations to refuel during their southward migration: the California Current, the northern and southern Humboldt Current, and the Patagonian Shelf. At least 3 of the birds went on to winter in the Weddell Sea region of Antarctica, where Arctic terns from several Atlantic populations are also known to winter. Analysis of the first ever post-breeding behavioral data collected on this species showed that the birds foraged extensively in these staging areas, spending more time foraging on days when they were located within staging areas during the fall migration. We also found that the birds were exclusively diurnal foragers, spending their nights standing out of the water and/or flying. Arctic terns likely face strict time constraints throughout the migration, timing stopovers to match production while simultaneously aiming to arrive at the wintering grounds with sufficient time remaining to complete the winter molt before returning north. Ecological disturbance at any of these locations could have serious consequences for many birds. Further, predicted effects of climate change in the Weddell Sea region could have repercussions throughout the global Arctic tern population.</t>
  </si>
  <si>
    <t>[McKnight, Aly; Irons, David B.] US Fish &amp; Wildlife Serv, Anchorage, AK 99503 USA; [Allyn, Andrew J.] Univ Massachusetts, Dept Environm Conservat, Amherst, MA 01003 USA; [Duffy, David C.] Univ Hawaii Manoa, Dept Bot, Pacific Cooperat Studies Unit, Honolulu, HI 96822 USA</t>
  </si>
  <si>
    <t>United States Department of the Interior; US Fish &amp; Wildlife Service; University of Massachusetts System; University of Massachusetts Amherst; University of Hawaii System; University of Hawaii Manoa</t>
  </si>
  <si>
    <t>McKnight, A (corresponding author), US Fish &amp; Wildlife Serv, Anchorage, AK 99503 USA.</t>
  </si>
  <si>
    <t>aly.mcknight@gmail.com</t>
  </si>
  <si>
    <t>Allyn, Andrew/0000-0002-1584-0198</t>
  </si>
  <si>
    <t>U.S. Fish and Wildlife Service; Great Gull Island Essen und Fressen Society</t>
  </si>
  <si>
    <t>U.S. Fish and Wildlife Service(US Fish &amp; Wildlife Service); Great Gull Island Essen und Fressen Society</t>
  </si>
  <si>
    <t>We thank D. Boersma, P. Capece, B. Dyer, C. Egevang, R. Irons, C. Rosa, A. Rappoport, and K. Wohl for help with field work, logistics, and literature. L. Welch allowed us to preview and cite unpublished data on Arctic terns tagged in the Gulf of Maine for comparison with our birds. I. C. T. Nisbet commented on the manuscript. Funding was provided by the U.S. Fish and Wildlife Service and the Great Gull Island Essen und Fressen Society.</t>
  </si>
  <si>
    <t>10.3354/meps10469</t>
  </si>
  <si>
    <t>WOS:000325282500019</t>
  </si>
  <si>
    <t>Leat, EHK; Bourgeon, S; Magnusdottir, E; Gabrielsen, GW; Grecian, WJ; Hanssen, SA; Olafsdottir, K; Petersen, A; Phillips, RA; Strom, H; Ellis, S; Fisk, AT; Bustnes, JO; Furness, RW; Borgå, K</t>
  </si>
  <si>
    <t>Leat, Eliza H. K.; Bourgeon, Sophie; Magnusdottir, Ellen; Gabrielsen, Geir W.; Grecian, W. James; Hanssen, Sveinn A.; Olafsdottir, Kristin; Petersen, Aevar; Phillips, Richard A.; Strom, Hallvard; Ellis, Sandra; Fisk, Aaron T.; Bustnes, Jan Ove; Furness, Robert W.; Borga, Katrine</t>
  </si>
  <si>
    <t>Influence of wintering area on persistent organic pollutants in a breeding migratory seabird</t>
  </si>
  <si>
    <t>Great skua; Stercorarius skua; Pesticides; PCBs; PBDEs; Feather stable isotopes; Geolocation</t>
  </si>
  <si>
    <t>STABLE-ISOTOPES; ARCTIC SEABIRDS; TOP PREDATOR; ORGANOCHLORINE CONTAMINANTS; STERCORARIUS SKUA; WESTERN SAHARA; HABITAT USE; PATTERNS; PCBS; EGGS</t>
  </si>
  <si>
    <t>As apex marine predators, seabirds are often sampled to monitor bioaccumulative persistent organic pollutants (POPs) in the marine environment. Despite the restrictions on use and production of many POPs, concern remains about levels of these chemicals present in marine biota due to their potential toxicity. Many seabird species are migratory, and although overwintering area has been hypothesized to affect the accumulation of POPs, few have studied the contribution of exposure in the wintering area on the POP burdens of seabirds. This study investigated the impact of wintering area on concentrations and patterns of organochlorines (OCs) and polybrominated diphenyl ethers (PBDEs) in plasma of breeding great skuas Stercorarius skua from 3 colonies; Bjornoya (Svalbard), southeast Iceland and Shetland (Scotland). To do so, stable isotope values of primary feathers grown during the winter were used in conjunction with geolocator data (n = 16) to assign untracked individuals (n = 122), to 3 wintering areas (America, Europe and Africa). Birds wintering in Africa had lower plasma concentrations of many OCs and PBDE 47 compared to the other areas. Nevertheless, the influence of wintering area differed between contaminants and between breeding colonies. We conclude that although wintering area had a significant effect on both concentrations and patterns of POPs, its influence was small in comparison to differences in exposure to these pollutants at breeding colonies, but that accumulation of POPs during the winter may be important for specific populations of seabirds.</t>
  </si>
  <si>
    <t>[Leat, Eliza H. K.; Grecian, W. James; Furness, Robert W.] Univ Glasgow, Coll Med Vet &amp; Life Sci, Glasgow G12 8QQ, Lanark, Scotland; [Bourgeon, Sophie; Hanssen, Sveinn A.; Bustnes, Jan Ove] FRAM Ctr, Norwegian Inst Nat Res, N-9296 Tromso, Norway; [Magnusdottir, Ellen] Univ Iceland, Inst Biol, IS-101 Reykjavik, Iceland; [Gabrielsen, Geir W.; Strom, Hallvard] FRAM Ctr, Norwegian Polar Inst, N-9296 Tromso, Norway; [Olafsdottir, Kristin] Univ Iceland, Dept Pharmacol &amp; Toxicol, IS-107 Reykjavik, Iceland; [Petersen, Aevar] Iceland Inst Nat Hist, IS-212 Gardabaer, Iceland; [Phillips, Richard A.] British Antarctic Survey, NERC, Cambridge CB3 0ET, England; [Ellis, Sandra; Fisk, Aaron T.] Univ Windsor, Great Lakes Inst Environm Res, Windsor, ON N9B 3P4, Canada; [Borga, Katrine] Norwegian Inst Water Res, N-0349 Oslo, Norway</t>
  </si>
  <si>
    <t>University of Glasgow; Norwegian Institute Nature Research; University of Iceland; Norwegian Polar Institute; University of Iceland; UK Research &amp; Innovation (UKRI); Natural Environment Research Council (NERC); NERC British Antarctic Survey; University of Windsor; Norwegian Institute for Water Research (NIVA)</t>
  </si>
  <si>
    <t>Leat, EHK (corresponding author), Univ Glasgow, Coll Med Vet &amp; Life Sci, Graham Kerr Bldg, Glasgow G12 8QQ, Lanark, Scotland.</t>
  </si>
  <si>
    <t>ehkleat@googlemail.com</t>
  </si>
  <si>
    <t>Hanssen, Sveinn Are/C-9989-2009; Grecian, James/A-7689-2012; Olafsdottir, Kristin/L-9430-2015; Gabrielsen, Geir Wing/JDC-6415-2023</t>
  </si>
  <si>
    <t>Hanssen, Sveinn Are/0000-0003-1792-435X; Grecian, James/0000-0002-6428-719X; Bourgeon, Sophie/0000-0002-8030-0091; Olafsdottir, Kristin/0000-0002-3241-836X; Borga, Katrine/0000-0002-8103-3263</t>
  </si>
  <si>
    <t>Research Council of Norway [184830]; Natural Environment Research Council [bas0100025] Funding Source: researchfish; NERC [bas0100025] Funding Source: UKRI</t>
  </si>
  <si>
    <t>Research Council of Norway(Research Council of Norway); Natural Environment Research Council(UK Research &amp; Innovation (UKRI)Natural Environment Research Council (NERC)); NERC(UK Research &amp; Innovation (UKRI)Natural Environment Research Council (NERC))</t>
  </si>
  <si>
    <t>This study was supported by the Research Council of Norway, grant number 184830. Fieldwork in Shetland was carried out under licence from the UK Home Office and bird trapping and ringing permits from the British Trust for Ornithology. We thank Scottish Natural Heritage and the Holbourn family for permission to work in Foula. Fieldwork in Bjornoya was carried out under permit from the Governor of Svalbard, Stavanger Museum and the Directorate for Nature Management. Fieldwork in Iceland was carried out under licence from the Icelandic Institute of Natural History, Reykjavik. We thank all those who assisted with fieldwork.</t>
  </si>
  <si>
    <t>10.3354/meps10455</t>
  </si>
  <si>
    <t>WOS:000325282500021</t>
  </si>
  <si>
    <t>Jaeger, A; Jaquemet, S; Phillips, RA; Wanless, RM; Richard, P; Cherel, Y</t>
  </si>
  <si>
    <t>Jaeger, Audrey; Jaquemet, Sebastien; Phillips, Richard A.; Wanless, Ross M.; Richard, Pierre; Cherel, Yves</t>
  </si>
  <si>
    <t>Stable isotopes document inter- and intra-specific variation in feeding ecology of nine large southern Procellariiformes</t>
  </si>
  <si>
    <t>Albatross; Generalism; Migration; Seabird; Trophic segregation</t>
  </si>
  <si>
    <t>WHITE-CHINNED PETRELS; AT-SEA DISTRIBUTION; INDIAN-OCEAN; TROPHIC POSITION; NONBREEDING ALBATROSSES; WANDERING ALBATROSSES; FORAGING AREAS; INDIVIDUAL SPECIALIZATION; COMMERCIAL FISHERIES; HABITAT PREFERENCES</t>
  </si>
  <si>
    <t>Investigating the foraging ecology of seabirds is especially challenging given their wide-ranging movements and the practical difficulties of obtaining unbiased information on their feeding behavior. Despite the development of animal-borne tracking devices, several limitations preclude investigations at the scale of a whole community in a given season or year, and, until recently, during the non-breeding period. Here we analyzed delta C-13 and delta N-15 in feathers of chicks and adults to investigate inter-and intra-specific variation in the foraging habitat and trophic position of 9 large procellariiform seabirds from 6 southern breeding localities during the breeding and non-breeding periods. Isotopic ratios of each species were generally consistent among different breeding populations, despite the large geographical scale and potential variation in oceanography in surrounding waters. Both spatial and trophic segregation apparently allowed the coexistence of sympatric species in most breeding localities, except at South Georgia, where both delta C-13 and delta N-15 in chicks showed high overlap among species, probably resulting from the superabundance of alternative food resources during the summer. Low variance in stable isotope ratios among adults in several species indicated high overlap between individuals in feeding habits and trophic levels (i.e. isotopic specialist populations) during the non-breeding period. By contrast, large isotopic variances and the high within-and between-individual components of the trophic niche width suggested that grey-headed and light-mantled sooty albatrosses are generalists. Based on delta C-13, the species that breed in the Southern Ocean can be categorized as residents or subtropical migrants, with the latter including oceanic and neritic subtropical migrants. Albatrosses meet the high energetic challenge of feather synthesis by foraging in different habitats, depending on the length of the non-breeding period. Annual breeders renew their plumage in productive neritic waters in similar to 4 mo, whereas biennially breeding species moult in less productive oceanic waters over much longer periods (similar to 12 to 16 mo).</t>
  </si>
  <si>
    <t>[Jaeger, Audrey; Cherel, Yves] CNRS, UPR 1934, Ctr Etud Biol Chize, F-79360 Villiers En Bois, France; [Jaeger, Audrey; Jaquemet, Sebastien] Univ La Reunion, Lab ECOMAR, St Denis 97715, Reunion, France; [Jaquemet, Sebastien] Rhodes Univ, Dept Zool &amp; Entomol, Southern Ocean Grp, ZA-6140 Grahamstown, South Africa; [Phillips, Richard A.] British Antarctic Survey, NERC, Cambridge CB3 0ET, England; [Wanless, Ross M.] Univ Cape Town, DST NRF Ctr Excellence, Percy FitzPatrick Inst, ZA-7701 Rondebosch, South Africa; [Wanless, Ross M.] BirdLife South Africa, Seabird Div, ZA-8012 Cape Town, South Africa; [Richard, Pierre] Univ La Rochelle, CNRS, UMR 6250, Lab Littoral Environm &amp; Soc, F-17000 La Rochelle, France</t>
  </si>
  <si>
    <t>Centre National de la Recherche Scientifique (CNRS); University of La Reunion; Rhodes University; UK Research &amp; Innovation (UKRI); Natural Environment Research Council (NERC); NERC British Antarctic Survey; University of Cape Town; National Research Foundation - South Africa; La Rochelle Universite; Centre National de la Recherche Scientifique (CNRS)</t>
  </si>
  <si>
    <t>Jaeger, A (corresponding author), CNRS, UPR 1934, Ctr Etud Biol Chize, F-79360 Villiers En Bois, France.</t>
  </si>
  <si>
    <t>audrey.jaeger@gmail.com</t>
  </si>
  <si>
    <t>Jaeger, Audrey/HMD-6340-2023; Richard, Pierre/N-6482-2014</t>
  </si>
  <si>
    <t>Jaeger, Audrey/0000-0002-5649-0315; Richard, Pierre/0000-0002-0393-9967</t>
  </si>
  <si>
    <t>program REMIGE-ANR Biodiversite [2005-011]; Institut Polaire Francais Paul Emile Victor (IPEV) [109]; Terres Australes et Antarctiques Francaises (TAAF); NRF; NERC [bas0100025] Funding Source: UKRI; Natural Environment Research Council [bas0100025] Funding Source: researchfish</t>
  </si>
  <si>
    <t>program REMIGE-ANR Biodiversite(Agence Nationale de la Recherche (ANR)); Institut Polaire Francais Paul Emile Victor (IPEV); Terres Australes et Antarctiques Francaises (TAAF); NRF; NERC(UK Research &amp; Innovation (UKRI)Natural Environment Research Council (NERC)); Natural Environment Research Council(UK Research &amp; Innovation (UKRI)Natural Environment Research Council (NERC))</t>
  </si>
  <si>
    <t>The authors thank M.-H. Burle, J. Wilson, M. Authier, Y. Charbonnier, L. Denonfoux, G. Doremus, B. Gangloff, S. Mortreux, Y. Perrot and J.-B. Thiebot for collecting albatross and petrel feathers in the field, and G. Guillou and L. Jouassard for running stable isotope samples. The present work was supported financially and logistically by the program REMIGE-ANR Biodiversite 2005-011 (H. Weimerskirch), the Institut Polaire Francais Paul Emile Victor (IPEV, programme no. 109, H. Weimerskirch) and the Terres Australes et Antarctiques Francaises (TAAF). S. J. benefited from a NRF post-doctoral contract and from SANAP supports for the fieldwork on Marion Island.</t>
  </si>
  <si>
    <t>10.3354/meps10436</t>
  </si>
  <si>
    <t>WOS:000324550600020</t>
  </si>
  <si>
    <t>Santora, JA; Veit, RR</t>
  </si>
  <si>
    <t>Santora, Jarrod A.; Veit, Richard R.</t>
  </si>
  <si>
    <t>Spatio-temporal persistence of top predator hotspots near the Antarctic Peninsula</t>
  </si>
  <si>
    <t>Abundance; Antarctic; Conservation; Hotspot; Persistence; Richness; Seabirds; Marine mammals; Marine spatial management</t>
  </si>
  <si>
    <t>SOUTH SHETLAND ISLANDS; KRILL EUPHAUSIA-SUPERBA; CALIFORNIA CURRENT; NORTH PACIFIC; MARINE BIRDS; SPATIAL-DISTRIBUTION; FORAGING BEHAVIOR; HABITAT HOTSPOTS; ELEPHANT ISLAND; HOT-SPOTS</t>
  </si>
  <si>
    <t>We quantified species richness and abundance of seabirds and marine mammals in order to identify marine areas that are persistently attractive to top predators. Shipboard surveys across a 150 000 km(2) grid off the Antarctic Peninsula were conducted once or twice each year from 2003 to 2011 during which the distribution and abundance of top predators were mapped. We hypothesized that spatial organization of species richness and abundance hotspots reflect persistent habitat use and are regionalized according to distance from land and oceanographic boundaries. To test this, we used a new hotspot variance metric based on the percentage of time that the species richness or abundance estimate at any one location is greater than 1 standard deviation above the long term means for the entire survey grid. Species richness hotspots were based on all species sighted, while abundance hotspots were based on concentrations of 16 species: 13 seabirds (penguins, petrels and albatrosses), 1 pinniped and 2 baleen whales. Species abundance hotspots reflected 2 major groupings-those with oceanic and coastal origins. We identified 15 richness hotspots, 9 of which were in proximity to the southern Antarctic Circumpolar Current front; the 6 others were associated with major breeding colonies and the location of 2 submarine canyon systems. Our approach integrates temporal and spatial variances over 14 individual surveys and provides useful reference points for identifying ecologically important areas, refining food web models and developing spatial management of and conservation strategies for marine ecosystems.</t>
  </si>
  <si>
    <t>[Santora, Jarrod A.] NOAA, Antarctic Ecosyst Res Div, Southwest Fisheries Sci Ctr, Natl Marine Fisheries Serv, La Jolla, CA 92037 USA; [Santora, Jarrod A.] Farallon Inst Adv Ecosyst Res, Petaluma, CA 94952 USA; [Santora, Jarrod A.] Univ Calif Santa Cruz, Ctr Stock Assessment Res, Santa Cruz, CA 95060 USA; [Santora, Jarrod A.] CUNY Coll Staten Isl, Dept Biol, Staten Isl, NY 10314 USA</t>
  </si>
  <si>
    <t>National Oceanic Atmospheric Admin (NOAA) - USA; University of California System; University of California Santa Cruz; City University of New York (CUNY) System; College of Staten Island (CUNY)</t>
  </si>
  <si>
    <t>Santora, JA (corresponding author), NOAA, Antarctic Ecosyst Res Div, Southwest Fisheries Sci Ctr, Natl Marine Fisheries Serv, La Jolla, CA 92037 USA.</t>
  </si>
  <si>
    <t>jasantora@gmail.com</t>
  </si>
  <si>
    <t>AMLR; NSF-OPP grant [9983751, 0337648]</t>
  </si>
  <si>
    <t>AMLR; NSF-OPP grant</t>
  </si>
  <si>
    <t>We greatly appreciate the dedication of the many US Antarctic Marine Living Resources (AMLR) program field workers for their support over the years. J.A.S. is especially grateful to M. P. Force for his dedication to the observer team. Thanks also to following observers: S. Mitra, A. J. Bernick, D. J. Futuyma, R. Heil, B. Nikula, T. P. White, E. T. Brown and K. Ampela. We thank R. Hewitt, A. Jenkins, C. S. Reiss and G. Watters for their support of the seabird and marine mammal survey team within the AMLR program. The manuscript was improved by comments and feedback from 3 anonymous reviewers, M. F. Sigler, W. J. Sydeman, R. Suryan and V. J Loeb. This study was funded and supported by AMLR contracts to J.A.S. and NSF-OPP grants (9983751, 0337648) to R. R. V.</t>
  </si>
  <si>
    <t>10.3354/meps10350</t>
  </si>
  <si>
    <t>193QV</t>
  </si>
  <si>
    <t>WOS:000322577400023</t>
  </si>
  <si>
    <t>Booth, JM; McQuaid, CD</t>
  </si>
  <si>
    <t>Booth, Jenny M.; McQuaid, Christopher D.</t>
  </si>
  <si>
    <t>Northern rockhopper penguins prioritise future reproduction over chick provisioning</t>
  </si>
  <si>
    <t>Sex-specific foraging; Selective chick provisioning; Breeding stage; Stable isotope analysis; Stomach content analysis; Northern rockhopper penguins</t>
  </si>
  <si>
    <t>STABLE-ISOTOPE ANALYSIS; EUDYPTES-CHRYSOCOME-CHRYSOCOME; FORAGING BEHAVIOR; BREEDING SUCCESS; PARENTAL EFFORT; SOUTHERN-OCEAN; TROPHIC RELATIONSHIPS; MONOMORPHIC SEABIRD; OFFSPRING QUALITY; POPULATION TRENDS</t>
  </si>
  <si>
    <t>As iteroparous species, seabirds must balance present against future reproduction. We used stable-isotope (SIA) and stomach content analysis (SCA) to examine the effects of sex, breeding stage, pre-moulting period, ontogeny and chick age on the diet of northern rockhopper penguins (NRP; Eudyptes moseleyi) breeding at the Tristan da Cunha archipelago during 2010. Stomach contents were obtained from birds during the guard and creche stages. delta N-15 and delta C-13 signatures of whole blood of adults were measured at Tristan Island (during the incubation, guard and creche stages), and of adult feathers at Tristan and nearby (similar to 38 km) Nightingale Islands. delta N-15 and delta C-13 signatures of the whole blood of chicks were also measured during both stages. Adult pre-moult diets were significantly enriched in both elements at Nightingale compared to Tristan Islands. Adult female diet was dominated by zooplankton during the guard stage, and in both sexes by fish (predominantly Photichthyidae) in the creche stage. No effects of chick size within the guard stage, or of sex within the creche stage were observed on diet composition of adult birds. delta C-13 values of adult blood were higher in females relative to chicks, and in creche relative to guard stage individuals. delta N-15 values of blood showed a significant breeding stage x chick age interaction. Sex affected blood delta N-15 and delta C-13 only in the guard and incubation stages. Stage and sex interacted significantly on delta C-13 and delta N-15 signatures of adult feathers. NRP were opportunistic foragers, hunting in different areas during breeding and non-breeding periods, with different pre-moult foraging patterns observed in adults from colonies separated by only 38 km. Adults seemed to favour future reproduction, through brood reduction and by feeding chicks lower trophic level prey than they consumed themselves, although provisioning shifted from zooplankton to fish later in the breeding season.</t>
  </si>
  <si>
    <t>[Booth, Jenny M.; McQuaid, Christopher D.] Rhodes Univ, Coastal Res Grp, Dept Zool &amp; Entomol, ZA-6140 Grahamstown, South Africa</t>
  </si>
  <si>
    <t>Rhodes University</t>
  </si>
  <si>
    <t>Booth, JM (corresponding author), Rhodes Univ, Coastal Res Grp, Dept Zool &amp; Entomol, POB 94, ZA-6140 Grahamstown, South Africa.</t>
  </si>
  <si>
    <t>jen.marie.booth@gmail.com</t>
  </si>
  <si>
    <t>McQuaid, Christopher/AAT-3725-2020</t>
  </si>
  <si>
    <t>McQuaid, Christopher/0000-0002-3473-8308</t>
  </si>
  <si>
    <t>Flagship Species Fund of the Department of Environment, Food and Rural Affairs (DEFRA); Fauna &amp; Flora International (FFI); DEFRA; South African Research Chairs Initiative of the Department of Science and Technology; National Research Foundation</t>
  </si>
  <si>
    <t>Flagship Species Fund of the Department of Environment, Food and Rural Affairs (DEFRA); Fauna &amp; Flora International (FFI); DEFRA(Department for Environment, Food &amp; Rural Affairs (DEFRA)); South African Research Chairs Initiative of the Department of Science and Technology; National Research Foundation</t>
  </si>
  <si>
    <t>This work was carried out under the auspices of the Flagship Species Fund of the Department of Environment, Food and Rural Affairs (DEFRA) and Fauna &amp; Flora International (FFI) with funding from DEFRA and other donors. Animal ethics approval was granted by Rhodes University Zoology Department Ethics Committee (ZOOL-17-2010). We thank the Administrator and Island Council of Tristan for permission to visit and carry out fieldwork. Department of Environmental Affairs (DEA) through the South African National Antarctic Programme and the Tristan da Cunha conservation department provided logistical support and assistance in the field. Dr. M. Smale kindly assisted in the identification of prey specimens. A. Steinfurth, M. Connan, and J. Hill provided constructive comments on an earlier version of the manuscript. This work is based upon research supported by the South African Research Chairs Initiative of the Department of Science and Technology and the National Research Foundation.</t>
  </si>
  <si>
    <t>10.3354/meps10371</t>
  </si>
  <si>
    <t>WOS:000321776600024</t>
  </si>
  <si>
    <t>Tortell, PD; Mills, MM; Payne, CD; Maldonado, MT; Chierici, M; Fransson, A; Alderkamp, AC; Arrigo, KR</t>
  </si>
  <si>
    <t>Tortell, Philippe D.; Mills, Mathew M.; Payne, Christopher D.; Maldonado, Maria T.; Chierici, Melissa; Fransson, Agneta; Alderkamp, Anne-Carlijn; Arrigo, Kevin R.</t>
  </si>
  <si>
    <t>Inorganic C utilization and C isotope fractionation by pelagic and sea ice algal assemblages along the Antarctic continental shelf</t>
  </si>
  <si>
    <t>Phytoplankton; Sea ice algae; Inorganic carbon uptake; HCO3-; Carbonic anhydrase</t>
  </si>
  <si>
    <t>SOUTHERN-OCEAN PHYTOPLANKTON; CO2 CONCENTRATING MECHANISMS; CARBONIC-ANHYDRASE ACTIVITY; NET COMMUNITY PRODUCTION; MELTING GLACIERS FUELS; SUB-ARCTIC PACIFIC; M-CRESOL PURPLE; ROSS SEA; AMUNDSEN SEA; ORGANIC-MATTER</t>
  </si>
  <si>
    <t>Physiological characteristics of inorganic C uptake were examined in Southern Ocean ice algae and phytoplankton assemblages. Ice algal and phytoplankton assemblages were largely dominated by diatoms and Phaeocystis antarctica, and showed a high capacity for HCO(3)(--)utilization, with direct HCO3- transport accounting for similar to 60% of total inorganic C uptake. Extracellular carbonic anhydrase (eCA) was detectable in all samples, but with significantly lower activity in sea ice algae. Neither HCO3- transport nor eCA activity was related to the in situ partial pressure of CO2 (pCO(2)) or taxonomic composition of samples. The half-saturation constant (KS) for inorganic C ranged from similar to 100 to 5000 mu M, and showed significantly more variability among sea ice algae than phytoplankton assemblages. For the phytoplankton assemblages, there were significant positive correlations between in situ pCO(2) and KS (higher C substrate affinity in low pCO(2) waters), and also between KS and maximum C uptake rates (V-max). In contrast, KS and V-max in sea-ice algal assemblages were not correlated to each other, or to any other measured variables. The C isotope composition of particulate organic carbon(delta C-13-POC) in the phytoplankton assemblages showed modest variability (range -30 to -24.6 parts per thousand) and was significantly correlated to the ratio of inferred growth rates (derived from V-max) and in situ CO2 concentrations, but not to any measured C uptake parameters. delta C-13-POC in sea ice algal samples (range -25.7 to -12.9 parts per thousand) was significantly heavier than in the phytoplankton assemblages, and not correlated to any other variables. Our results provide evidence for the widespread occurrence of carbon-concentrating mechanisms in Southern Ocean sea ice algae and phytoplankton assemblages.</t>
  </si>
  <si>
    <t>[Tortell, Philippe D.; Payne, Christopher D.; Maldonado, Maria T.] Univ British Columbia, Dept Earth Ocean &amp; Atmospher Sci, Vancouver, BC V6T 1Z4, Canada; [Tortell, Philippe D.] Univ British Columbia, Dept Bot, Vancouver, BC V6T 1Z4, Canada; [Mills, Mathew M.; Alderkamp, Anne-Carlijn] Stanford Univ, Dept Environm Earth Syst Sci, Stanford, CA 94305 USA; [Chierici, Melissa] Univ Gothenburg, Dept Chem &amp; Mol Biol, S-41296 Gothenburg, Sweden; [Fransson, Agneta] Univ Gothenburg, Dept Earth Sci, S-40530 Gothenburg, Sweden</t>
  </si>
  <si>
    <t>University of British Columbia; University of British Columbia; Stanford University; University of Gothenburg; University of Gothenburg</t>
  </si>
  <si>
    <t>Tortell, PD (corresponding author), Univ British Columbia, Dept Earth Ocean &amp; Atmospher Sci, Vancouver, BC V6T 1Z4, Canada.</t>
  </si>
  <si>
    <t>ptortell@eos.ubc.ca</t>
  </si>
  <si>
    <t>Maldonado, Maria T/N-2877-2017</t>
  </si>
  <si>
    <t>Maldonado, Maria T/0000-0001-8134-9375; Tortell, Philippe/0000-0003-0212-2151; Arrigo, Kevin/0000-0002-7364-876X</t>
  </si>
  <si>
    <t>NSERC; National Science Foundation as part of the International Polar Year [ANT-0732535]</t>
  </si>
  <si>
    <t>NSERC(Natural Sciences and Engineering Research Council of Canada (NSERC)); National Science Foundation as part of the International Polar Year</t>
  </si>
  <si>
    <t>This work was supported by research grants from NSERC (to P.D.T. and M.T.M.) and the National Science Foundation (DynaLiFe program, ANT-0732535 to A.A. and K.R.A.) as part of the International Polar Year. We thank Z. Brown (Stanford University) for field assistance with sea ice sampling and processing, K. Currie (NIWA) for assistance with DIC and alkalinity analysis and the crew and scientific personal of the ice breakers IB 'Nathanial B. Palmer' and IB 'Oden'.</t>
  </si>
  <si>
    <t>10.3354/meps10279</t>
  </si>
  <si>
    <t>154MU</t>
  </si>
  <si>
    <t>WOS:000319680700004</t>
  </si>
  <si>
    <t>Gillies, CL; Stark, JS; Johnstone, GJ; Smith, SDA</t>
  </si>
  <si>
    <t>Gillies, C. L.; Stark, J. S.; Johnstone, G. J.; Smith, S. D. A.</t>
  </si>
  <si>
    <t>Establishing a food web model for coastal Antarctic benthic communities: a case study from the Vestfold Hills</t>
  </si>
  <si>
    <t>Energy flow; Trophic ecology; Casey Station; Davis Station; Windmill Islands; Stable isotope analysis</t>
  </si>
  <si>
    <t>STABLE-ISOTOPE DELTA-C-13; LABILE ORGANIC-MATTER; TROPHIC STRUCTURE; SEA-ICE; EAST ANTARCTICA; CLIMATE-CHANGE; PRYDZ BAY; DELTA-N-15; BIOMASS; SEASONALITY</t>
  </si>
  <si>
    <t>Shallow-water benthic communities throughout coastal Antarctica share many species and are governed by similar physico-oceanographic processes. This suggests community structure and function may be similar among communities despite being geographically separated by up to 15 degrees of latitude and 18 000 km of coastline. To test this theory, we developed a food web model using stable isotopes (delta C-13, delta N-15) for the high-latitude Vestfold Hills shallow-water benthic community and compared it to the isotopic food web model developed for the Windmill Islands, located over 1000 km away. For the Vestfold Hills food web, carbon sources were generally well separated by delta C-13, and lower-order consumers could be grouped according to their feeding guild and main dietary sources as determined by delta C-13 and delta N-15. Higher-order consumers occupied the full range of delta C-13 ratios and had similar delta N-15 values, although predators were weakly, but significantly, enriched in delta N-15 compared to scavenger/predators and omnivores. When comparing with the Windmill Islands food web, we found similar delta C-13 ratios for several co-occurring carbon sources and consumers, whilst the delta N-15 ratios in consumers from the Vestfold Hills were consistently enriched compared to those from the Windmill Islands by 1 to 2 parts per thousand. The relative positions of feeding guilds on the delta C-13 and delta N-15 planes were similar for both food webs. These results suggest there is considerable merit in developing a representative food web model for Antarctic shallow-water communities. Such a model would provide a trophic benchmark against which modification in these communities brought about by climate change or other human impacts could be compared.</t>
  </si>
  <si>
    <t>[Gillies, C. L.; Smith, S. D. A.] So Cross Univ, Natl Marine Sci Ctr, Coffs Harbour, NSW 2450, Australia; [Gillies, C. L.; Stark, J. S.; Johnstone, G. J.] Australian Antarctic Div, Kingston, Tas 7050, Australia</t>
  </si>
  <si>
    <t>Southern Cross University; Australian Antarctic Division</t>
  </si>
  <si>
    <t>Gillies, CL (corresponding author), Earthwatch Australia, 126 Bank St, S Melbourne, Vic 3205, Australia.</t>
  </si>
  <si>
    <t>cgillies@earthwatch.org.au</t>
  </si>
  <si>
    <t>Smith, Stephen D A/I-1945-2012; Stark, Jonathan/ABF-4025-2020</t>
  </si>
  <si>
    <t>Smith, Stephen D A/0000-0002-3372-5441; Stark, Jonathan/0000-0002-4268-8072</t>
  </si>
  <si>
    <t>Southern Cross University; Australian Antarctic Division (AAS) [2948, 2201]; Marine Ecology Research Centre at Southern Cross University</t>
  </si>
  <si>
    <t>Southern Cross University; Australian Antarctic Division (AAS); Marine Ecology Research Centre at Southern Cross University</t>
  </si>
  <si>
    <t>Members of 2009 and 2010 summer Davis field and diving teams provided endless assistance with all field collections. Advice on stable isotope preparation was provided by H. Stuart-Williams. Fig. 1 was produced by K. James from maps provided by the Australian Antarctic Data Centre. We are grateful to the 4 anonymous reviewers for very insightful and thorough comments that greatly improved the content of this manuscript. This research was funded by a PhD Research Scholarship from Southern Cross University and supported financially and logistically by the Australian Antarctic Division (AAS projects 2948 and 2201). Additional support and funding was provided by the Marine Ecology Research Centre at Southern Cross University.</t>
  </si>
  <si>
    <t>10.3354/meps10214</t>
  </si>
  <si>
    <t>WOS:000316617800003</t>
  </si>
  <si>
    <t>Ramírez, I; Paiva, VH; Menezes, D; Silva, I; Phillips, RA; Ramos, JA; Garthe, S</t>
  </si>
  <si>
    <t>Ramirez, Ivan; Paiva, Vitor H.; Menezes, Dilia; Silva, Isamberto; Phillips, Richard A.; Ramos, Jaime A.; Garthe, Stefan</t>
  </si>
  <si>
    <t>Year-round distribution and habitat preferences of the Bugio petrel</t>
  </si>
  <si>
    <t>Atlantic Ocean; Pelagic seabird; Petrels; Marine habitat use; Migration; Conservation management</t>
  </si>
  <si>
    <t>TRANS-EQUATORIAL MIGRATION; ACTIVITY PATTERNS; PELAGIC SEABIRD; PTERODROMA-COOKII; SHEARWATER; ATLANTIC; ALBATROSSES; STRATEGIES; BEHAVIOR; GEOLOCATION</t>
  </si>
  <si>
    <t>The conservation of threatened seabirds that are highly pelagic, such as the gadfly petrels Pterodroma spp., depends on understanding the main oceanographic determinants of their movements in order to apply the necessary management regulations and to identify and protect their key marine habitats. The present work presents for the first time information on the distribution and habitat preferences of 17 Bugio petrels Pterodroma deserta from the island of Bugio, Madeira archipelago, North Atlantic Ocean. All of the birds remained in North Atlantic waters during the pre-laying exodus, incubation and chick-rearing periods, showing a clear preference for deep, productive (high chlorophyll a levels) waters north of the Azores archipelago. There was high individual variability in migration strategies. Five wintering areas were identified: two off the Brazilian coast, one around the Cape Verde archipelago, one off the southeast coast of the United States, and one in pelagic waters in the central South Atlantic. These tended to be areas of high productivity but not of a particular sea surface temperature regime. Based on saltwater immersion data, birds were more active during the breeding season and spent more time resting on the water in wintering areas. There was also a positive correlation between the time spent on the water and the progression of full to new moon, suggesting that the birds may use moonlight to search for prey. Given its highly dispersed distribution at sea throughout the year, effective conservation of this threatened species may require management at large spatial scales.</t>
  </si>
  <si>
    <t>[Ramirez, Ivan] SPEA Portuguese Soc Study Birds, P-1000179 Lisbon, Portugal; [Paiva, Vitor H.; Ramos, Jaime A.] Univ Coimbra, Dept Life Sci, Inst Marine Res IMAR CMA, P-3001401 Coimbra, Portugal; [Menezes, Dilia; Silva, Isamberto] Parque Nat Madeira, Quinta Bom Sucesso, P-9050251 Funchal, Madeira, Portugal; [Phillips, Richard A.] British Antarctic Survey, Nat Environm Res Council, Cambridge CB3 0ET, England; [Garthe, Stefan] Univ Kiel, Res &amp; Technol Ctr FTZ, D-25761 Hafentorn, Busum, Germany</t>
  </si>
  <si>
    <t>Universidade de Coimbra; UK Research &amp; Innovation (UKRI); Natural Environment Research Council (NERC); NERC British Antarctic Survey; University of Kiel</t>
  </si>
  <si>
    <t>Ramírez, I (corresponding author), SPEA Portuguese Soc Study Birds, Ave Joao Crisostomo 18 4Dta, P-1000179 Lisbon, Portugal.</t>
  </si>
  <si>
    <t>ivan.ramirez@spea.pt</t>
  </si>
  <si>
    <t>Paiva, Vitor H./J-1092-2019; Ramos, Jaime A./B-6616-2018; Paiva, Vitor Hugo/GRX-9179-2022</t>
  </si>
  <si>
    <t>Paiva, Vitor H./0000-0001-6368-9579; Ramos, Jaime A./0000-0002-9533-987X; Ramirez, Ivan/0000-0001-7944-8710</t>
  </si>
  <si>
    <t>[LIFE06 NAT/P000184]; Natural Environment Research Council [bas0100025] Funding Source: researchfish; NERC [bas0100025] Funding Source: UKRI</t>
  </si>
  <si>
    <t>; Natural Environment Research Council(UK Research &amp; Innovation (UKRI)Natural Environment Research Council (NERC)); NERC(UK Research &amp; Innovation (UKRI)Natural Environment Research Council (NERC))</t>
  </si>
  <si>
    <t>We thank the Servico do Parque Natural da Madeira for all their support throughout this study. Several Park wardens helped us to overcome the remoteness of Bugio's Island, and we are grateful to them for their friendship and support. We also thank SPEA Madeira and its Director, Isabel Fagundes, for her valuable support and fieldwork. This work was partly funded through the European Project LIFE06 NAT/P000184.</t>
  </si>
  <si>
    <t>10.3354/meps10083</t>
  </si>
  <si>
    <t>WOS:000315465900020</t>
  </si>
  <si>
    <t>de Santana, CN; Rozenfeld, AF; Marquet, PA; Duarte, CM</t>
  </si>
  <si>
    <t>de Santana, Charles N.; Rozenfeld, Alejandro F.; Marquet, Pablo A.; Duarte, Carlos M.</t>
  </si>
  <si>
    <t>Topological properties of polar food webs</t>
  </si>
  <si>
    <t>Global change; Arctic; Antarctic; Trophic cascade; Complex networks</t>
  </si>
  <si>
    <t>CLIMATE-CHANGE; NETWORK STRUCTURE; BIODIVERSITY LOSS; MARINE; CONNECTANCE; ROBUSTNESS; COMMUNITY; RESPONSES; EXTINCTIONS; DIVERSITY</t>
  </si>
  <si>
    <t>Mean annual temperatures of the Arctic Ocean and Antarctic Peninsula are warming much faster than global mean warming rates, which will likely result in significant biological impacts. Whereas most assessments have been made on individual species, impacts may differ when entire ecosystems are considered, as effects may propagate through ecological interactions such as those in food webs (FWs). The vulnerability of FWs to adverse effects can be estimated from the topology of the networks involved. Here we describe topological characteristics of Arctic and Antarctic marine FWs relevant to their vulnerability to climate change. We analyzed 15 properties of the largest Arctic and Antarctic marine FWs available, and found important topological differences between them. The Arctic FW has greater top to basal and predator to prey species ratios and is more densely connected, with more omnivorous species, than the Antarctic FW. The cumulative degree distribution (CDD; cumulative distribution of the number of links that each species in the food web has) of the Arctic FW follows an exponential decay behavior, whereas that of the Antarctic has a power law cut-off at higher degrees. The differences in the properties analyzed indicate that the Arctic FW has a greater diversity of predators and top species, while the Antarctic has a greater diversity of prey and basal species. The former seems to be more vulnerable to trophic cascade effects resulting from losses of key predator species than the latter. Characteristics of CDDs suggest that the Arctic FW may be more robust against random extinctions of species, although it may be more vulnerable to extinctions affecting the most connected prey species, such as Antarctic krill Euphausia superba, which is the most connected prey species in this trophic network.</t>
  </si>
  <si>
    <t>[de Santana, Charles N.; Rozenfeld, Alejandro F.; Marquet, Pablo A.; Duarte, Carlos M.] IMEDEA CSIC UIB Inst Mediterraneo Estudios Avanza, LINCGlobal, Esporles 07190, Mallorca, Spain; [Rozenfeld, Alejandro F.] Univ Evora, CIBIO, Rui Nabeiro Biodivers Chair, P-7000 Evora, Portugal; [Marquet, Pablo A.] Pontificia Univ Catolica Chile, CASEB, Santiago, Chile; [Marquet, Pablo A.] PUC, Fac Ciencias Biol, Dept Ecol, Santiago 6513677, Chile; [Marquet, Pablo A.] Santa Fe Inst, Santa Fe, NM 87501 USA; [Duarte, Carlos M.] Univ Western Australia, UWA Oceans Inst, Crawley 6009, Australia</t>
  </si>
  <si>
    <t>Consejo Superior de Investigaciones Cientificas (CSIC); ATTITUS Educacao; University of Evora; Pontificia Universidad Catolica de Chile; Pontificia Universidad Catolica de Chile; The Santa Fe Institute; University of Western Australia</t>
  </si>
  <si>
    <t>de Santana, CN (corresponding author), IMEDEA CSIC UIB Inst Mediterraneo Estudios Avanza, LINCGlobal, Miquel Marques 21, Esporles 07190, Mallorca, Spain.</t>
  </si>
  <si>
    <t>charles.santana@imedea.uib-csic.es</t>
  </si>
  <si>
    <t>Duarte, Carlos M/A-7670-2013; Marquet, Pablo A/B-7732-2009; Duarte Quesada, Carlos Manuel/ABD-6208-2021</t>
  </si>
  <si>
    <t>Duarte, Carlos M/0000-0002-1213-1361; Marquet, Pablo A/0000-0001-6369-9339;</t>
  </si>
  <si>
    <t>CSIC; PUC; FP7 program of the EU [226248]; JAE-PreDOC fellowship from the Spanish National Research Council (CSIC)</t>
  </si>
  <si>
    <t>CSIC; PUC; FP7 program of the EU; JAE-PreDOC fellowship from the Spanish National Research Council (CSIC)</t>
  </si>
  <si>
    <t>This is a contribution to the LINC-Global project, funded by CSIC and PUC (www.lincg.uc-csic.es), and to the ATP project, funded by the FP7 program of the EU (contract number 226248, cf. www.eu-atp.org). We thank B. Raymond, S. Allesina, and J. Dunne for providing food web data, as well as J. Cohen for making the ECOWeB compendium available to the ecological community. We thank B. Raymond, S. Allesina, J. Dunne, P. Wassmann, S. Navarrete, and J. Holding for helpful suggestions, as well as J. Piatt and 3 anonymous reviewers for their valuable comments on the manuscript and constructive suggestions. This manuscript was partially written at Estacion Costera de Investigaciones Marinas, Chile. C.N.S. was supported by a JAE-PreDOC fellowship from the Spanish National Research Council (CSIC).</t>
  </si>
  <si>
    <t>10.3354/meps10073</t>
  </si>
  <si>
    <t>082CF</t>
  </si>
  <si>
    <t>WOS:000314368600002</t>
  </si>
  <si>
    <t>Amo, L; Rodríguez-Gironés, MA; Barbosa, A</t>
  </si>
  <si>
    <t>Amo, Luisa; Angel Rodriguez-Girones, Miguel; Barbosa, Andres</t>
  </si>
  <si>
    <t>Olfactory detection of dimethyl sulphide in a krill-eating Antarctic penguin</t>
  </si>
  <si>
    <t>Dimethyl sulphide; Avian olfaction; Antarctic penguin; Pygoscelis antarctica</t>
  </si>
  <si>
    <t>HALOBAENA-CAERULEA; CHINSTRAP PENGUINS; ODOR RECOGNITION; AFRICAN PENGUINS; KIN RECOGNITION; FORAGING CUE; ZEBRA FINCH; BIRDS; FOOD; ATTRACTION</t>
  </si>
  <si>
    <t>In response to zooplankton grazing, phytoplankton release dimethylsulphoniopropionate in the seawater, which is then catabolized to dimethyl sulphide (DMS) that is emitted to the air. This molecule therefore signals areas of high productivity in the oceans, and it can be used by predators for locating foraging areas. Detection of this compound has been described in several species of procelariiform seabirds and non-Antarctic fish-feeding penguins. However, there is no evidence of DMS detection by krill-feeding penguins. The mechanisms of krill detection by its predators are especially relevant in Antarctica, where trophic webs are mainly based on krill. We explored for the first time whether a krill-feeding penguin species, the chinstrap penguin Pygoscelis antarctica, is able to detect DMS. We examined whether chinstrap penguins could detect DMS by locating DMS or control recipients in pathways that penguins used when moving between the colony and the sea. We also analysed the attraction of nestling penguins to DMS in a T-shaped experimental enclosure. Our results showed that adult penguins are attracted to DMS on land. Nestling penguins also tended to be attracted to the scent of DMS. Further research is needed to examine whether chinstrap penguins use natural DMS concentrations as a foraging cue at sea.</t>
  </si>
  <si>
    <t>[Amo, Luisa; Angel Rodriguez-Girones, Miguel] Dept Ecol Func &amp; Evolut, Estn Expt Zonas Aridas, La Canada De San Urbano 04120, Almeria, Spain; [Barbosa, Andres] CSIC, Museo Nacl Ciencias Nat, Dept Ecol Evolut, E-28006 Madrid, Spain</t>
  </si>
  <si>
    <t>Consejo Superior de Investigaciones Cientificas (CSIC); CSIC - Estacion Experimental de Zonas Aridas (EEZA); Consejo Superior de Investigaciones Cientificas (CSIC); CSIC - Museo Nacional de Ciencias Naturales (MNCN)</t>
  </si>
  <si>
    <t>Amo, L (corresponding author), Dept Ecol Func &amp; Evolut, Estn Expt Zonas Aridas, Carretera Sacramento S-N, La Canada De San Urbano 04120, Almeria, Spain.</t>
  </si>
  <si>
    <t>luisa.amo@eeza.csic.es</t>
  </si>
  <si>
    <t>Rodriguez-Girones, Miguel A/H-1859-2015; Amo, Luisa/K-5960-2014; Barbosa, Andrés/C-3208-2008</t>
  </si>
  <si>
    <t>Amo, Luisa/0000-0003-4621-3493; Barbosa, Andrés/0000-0001-8434-3649</t>
  </si>
  <si>
    <t>Spanish Polar Committee; Accion Complementaria project of the Spanish Ministerio de Ciencia e Innovacion [CTM2009-08154-E]; Juan de la Cierva programme</t>
  </si>
  <si>
    <t>Spanish Polar Committee; Accion Complementaria project of the Spanish Ministerio de Ciencia e Innovacion; Juan de la Cierva programme</t>
  </si>
  <si>
    <t>We thank F. Bonadonna and 3 anonymous reviewers for their helpful comments. We are grateful to the Spanish Antarctic Base 'Gabriel de Castilla', the Spanish Polar Ship 'Las Palmas' and the Marine Technology Unit (CSIC) personnel for their hospitality and logistic support. Permission to work in the study area and for handling penguins was granted by the Spanish Polar Committee. This study was funded by the Accion Complementaria project [CTM2009-08154-E] of the Spanish Ministerio de Ciencia e Innovacion. L.A. was supported by the Juan de la Cierva programme.</t>
  </si>
  <si>
    <t>10.3354/meps10081</t>
  </si>
  <si>
    <t>WOS:000314368600021</t>
  </si>
  <si>
    <t>Scaling down the analysis of seabird-fishery interactions</t>
  </si>
  <si>
    <t>AT-SEA DISTRIBUTION; WANDERING ALBATROSSES; COMMERCIAL FISHERIES; LONGLINE FISHERIES; DIOMEDEA-EXULANS; GPS TRACKING; DISCARDS; OVERLAP; PETRELS; BYCATCH</t>
  </si>
  <si>
    <t>Seabird-fishery interactions are currently a major issue in marine conservation management. A common approach to quantifying the extent of interactions is to overlay density maps of seabird and fishing activities derived from point locations. Such large-scale evaluations of overlap can be misleading due to the static representation of birds and vessels that in reality are spatially and temporally dynamic. Additionally, overlap at large scales does not necessarily indicate interaction; overlapping distributions of seabirds and fisheries could reflect coincident use of habitat. Using 4 yr of distribution data, we conducted a fine-scale analysis of overlap between albatrosses and fishing vessels. Results were compared to those derived from large-scale density comparisons. Additionally, we compared overlap versus interaction rates by calculating the proportion of time that birds foraged in close association with a fishing vessel versus independently while within 10 km of a vessel. Results of our fine-scale analysis indicated generally low rates of overlap while foraging and high variability among sexes, years and types of fishery. Changes in overlap rates were attributed to shifts in both albatross and vessel distributions. Albatrosses foraged independently of fishing vessels half the time they were within 10 km of a vessel, indicating that 50% of overlap is due to coincident habitat use rather than vessel interaction. Overlaying of large-scale distribution maps failed to distinguish annual variation in the degree of bird-fishery overlap, and suggested overlap where none was identified at the finer scale. This study illustrates the increased insight derived from fine-scale analyses of seabird-fisheries interactions.</t>
  </si>
  <si>
    <t>[Torres, Leigh G.; Thompson, David R.] Natl Inst Water &amp; Atmospher Res, Wellington 6021, New Zealand; [Sagar, Paul M.] Natl Inst Water &amp; Atmospher Res, Christchurch 8011, New Zealand; [Phillips, Richard A.] British Antarctic Survey, NERC, Cambridge CB3 0ET, England</t>
  </si>
  <si>
    <t>Torres, LG (corresponding author), Natl Inst Water &amp; Atmospher Res, Wellington 6021, New Zealand.</t>
  </si>
  <si>
    <t>Conservation Services Programme of the New Zealand Department of Conservation; NIWA; NERC [bas0100025] Funding Source: UKRI; Natural Environment Research Council [bas0100025] Funding Source: researchfish</t>
  </si>
  <si>
    <t>Conservation Services Programme of the New Zealand Department of Conservation; NIWA; NERC(UK Research &amp; Innovation (UKRI)Natural Environment Research Council (NERC)); Natural Environment Research Council(UK Research &amp; Innovation (UKRI)Natural Environment Research Council (NERC))</t>
  </si>
  <si>
    <t>Funding for this study was provided by the Conservation Services Programme of the New Zealand Department of Conservation and NIWA. We are grateful to the New Zealand Ministry of Fisheries for supplying fishing vessel and CPUE data. This paper represents a contribution to the British Antarctic Survey Ecosystems Programme. We thank H. Haazen and the crew of the RV 'Tiama' for safely transporting our field crews to and from The Snares, and the Department of Conservation, Southland Conservancy for logistic support.</t>
  </si>
  <si>
    <t>10.3354/meps10071</t>
  </si>
  <si>
    <t>073YZ</t>
  </si>
  <si>
    <t>WOS:000313780300021</t>
  </si>
  <si>
    <t>Tranquilla, LAM; Montevecchi, WA; Hedd, A; Fifield, DA; Burke, CM; Smith, PA; Regular, PM; Robertson, GJ; Gaston, AJ; Phillips, RA</t>
  </si>
  <si>
    <t>Tranquilla, Laura A. McFarlane; Montevecchi, William A.; Hedd, April; Fifield, David A.; Burke, Chantelle M.; Smith, Paul A.; Regular, Paul M.; Robertson, Gregory J.; Gaston, Anthony J.; Phillips, Richard A.</t>
  </si>
  <si>
    <t>Multiple-colony winter habitat use by murres Uria spp. in the Northwest Atlantic Ocean: implications for marine risk assessment</t>
  </si>
  <si>
    <t>Ocean habitat; Tracking; Geolocators; North Atlantic; Murres; Seabirds; Anthropogenic; Risk</t>
  </si>
  <si>
    <t>TRANS-EQUATORIAL MIGRATION; SEA-SURFACE TEMPERATURE; EASTERN CANADA; ICE CONDITIONS; OIL POLLUTION; OFFSHORE OIL; GRAND BANK; SEABIRD; CLIMATE; BIRDS</t>
  </si>
  <si>
    <t>Limited knowledge of year-round seabird distributions hinders efforts to assess consequences of anthropogenic threats and climate-induced changes in the marine environment. In particular, there is urgent need to understand how populations from different breeding colonies share and partition ocean habitat. Using geolocators, we identified winter habitat use patterns of 115 adult murres Uria spp. from 7 colonies, spanning the eastern Canadian coast from the high Arctic to Newfoundland, during 2007 to 2010. Thick-billed murres U. lomvia dispersed throughout the region (Davis Strait, Labrador Sea, Orphan Basin, Grand Bank) with 0 to 45% overlap of core wintering areas (50% kernel home range) among breeding populations. Common murres U. aalge concentrated on the Grand Bank and Orphan Basin, with 50 to 67% overlap among breeding populations. For both species, most individuals (up to 70%) wintered offshore, in shelf (&lt;= 500 m deep) and oceanic zones (&gt;500 m); fewer than one-third (30%) of individuals used nearshore zones (&lt;= 50 km to shore). Tracked common murres representing &gt;80% of the eastern Canadian breeding population converged in winter in areas of high risk from hydrocarbon exploration and extraction activity. In contrast, tracked thick-billed murres, representing similar to 34% of the eastern Canadian population, dispersed over a larger area and displayed more variable wintering strategies. Thus population vulnerability to spatially constrained risks may be greater for common than thick-billed murres. Populations from several colonies of both species converged on the Grand Bank and Orphan Basin, with the implications for each breeding population depending on its particular dispersal pattern. We demonstrate the utility of tracking data for highlighting areas of risk, and improving the targeting of broad-scale marine conservation efforts.</t>
  </si>
  <si>
    <t>[Tranquilla, Laura A. McFarlane; Montevecchi, William A.; Hedd, April; Fifield, David A.; Burke, Chantelle M.; Regular, Paul M.] Mem Univ Newfoundland, Dept Psychol, St John, NF A1B 3X9, Canada; [Smith, Paul A.; Gaston, Anthony J.] Carleton Univ, Environm Canada, Natl Wildlife Res Ctr, Ottawa, ON K1A 0H3, Canada; [Robertson, Gregory J.] Environm Canada, Wildlife Res Div, Mt Pearl, NF A1N 4T3, Canada; [Phillips, Richard A.] British Antarctic Survey, Nat Environm Res Council, Cambridge CB3 0ET, England</t>
  </si>
  <si>
    <t>Memorial University Newfoundland; Environment &amp; Climate Change Canada; Canadian Wildlife Service; National Wildlife Research Centre - Canada; Carleton University; Environment &amp; Climate Change Canada; Canadian Wildlife Service; Wildlife Research Division - Environment Canada; UK Research &amp; Innovation (UKRI); Natural Environment Research Council (NERC); NERC British Antarctic Survey</t>
  </si>
  <si>
    <t>Tranquilla, LAM (corresponding author), Mem Univ Newfoundland, Dept Psychol, St John, NF A1B 3X9, Canada.</t>
  </si>
  <si>
    <t>lat@alumni.sfu.ca</t>
  </si>
  <si>
    <t>Robertson, Greg/AAI-5849-2020; Regular, Paul/AAY-5741-2021</t>
  </si>
  <si>
    <t>Robertson, Greg/0000-0001-8452-5506; Regular, Paul/0000-0003-0318-2615; Hedd, April/0000-0003-2222-2627</t>
  </si>
  <si>
    <t>National Sciences and Engineering Research Council (NSERC) Discovery Grant; Murre Fund of the Newfoundland and Labrador Legacy Nature Trust (WAM); Government of Canada's Program for International Polar Year; Polar Continental Shelf Project of Natural Resources Canada; NSERC; Environment Canada; Natural Environment Research Council [bas0100025] Funding Source: researchfish; NERC [bas0100025] Funding Source: UKRI</t>
  </si>
  <si>
    <t>National Sciences and Engineering Research Council (NSERC) Discovery Grant(Natural Sciences and Engineering Research Council of Canada (NSERC)); Murre Fund of the Newfoundland and Labrador Legacy Nature Trust (WAM); Government of Canada's Program for International Polar Year; Polar Continental Shelf Project of Natural Resources Canada; NSERC(Natural Sciences and Engineering Research Council of Canada (NSERC)); Environment Canada(CGIAR); Natural Environment Research Council(UK Research &amp; Innovation (UKRI)Natural Environment Research Council (NERC)); NERC(UK Research &amp; Innovation (UKRI)Natural Environment Research Council (NERC))</t>
  </si>
  <si>
    <t>This work would not have been possible without the collaborative efforts of excellent field crews at all colonies, including J. Akearok, G. Donaldson, K. Elliot, A. Granter, A-L. Kouwenberg, J. Nakoolak, N. Laite, A. Lu sig nan, M. Mallory, J. Provencher, S. Smith, J. Szucs, I. Storm and K. Woo, and Grant Gilchrist and the Qikiqtarjuaq HTO for assistance with logistics at Digges and The Mina rets respectively. This research was funded by National Sciences and Engineering Research Council (NSERC) Discovery Grant, the Murre Fund of the Newfoundland and Labrador Legacy Nature Trust (WAM), the Government of Canada's Program for International Polar Year (WAM, AJG), the Polar Continental Shelf Project of Natural Resources Canada (AJG), an NSERC PGS-D Scholarship (LMT), and by logistical and financial support from Environment Canada. Research was carried out under a Government of Nunavut Wildlife Research Permit, Canadian Wildlife Service Migratory Bird banding permits NUN-SCI-08-55 and WAM-10322, and Animal Care Committee Permits 0800AG01 (Environment Canada) and WM-01-11 (Memorial University). Rick Armstrong of Nunavut Re search Institute, and Christine Eberl and Sabina Wilhelm of Environment Canada provided communications and logistics support. Newfoundland and Labrador Parks Division granted access to the Provincial Seabird Ecological Reserves at the Gannet Islands, Funk Island, and Witless Bay Islands. This manuscript was greatly improved by helpful suggestions from Scott Hatch and 3 anonymous reviewers.</t>
  </si>
  <si>
    <t>10.3354/meps10053</t>
  </si>
  <si>
    <t>068DI</t>
  </si>
  <si>
    <t>WOS:000313344300021</t>
  </si>
  <si>
    <t>Debey, LB; Pyenson, ND</t>
  </si>
  <si>
    <t>Debey, Lauren B.; Pyenson, Nicholas D.</t>
  </si>
  <si>
    <t>Osteological correlates and phylogenetic analysis of deep diving in living and extinct pinnipeds: What good are big eyes?</t>
  </si>
  <si>
    <t>MARINE MAMMAL SCIENCE</t>
  </si>
  <si>
    <t>allometry; diving depth; evolution; morphology; phylogenetic independent contrasts; Pinnipedia; skull; vision</t>
  </si>
  <si>
    <t>ANTARCTIC FUR SEALS; NEW-ZEALAND; BODY-SIZE; STATE RECONSTRUCTION; MOLECULAR PHYLOGENY; CARNIVORA MAMMALIA; RESPONSE MECHANISM; BEHAVIOR; EVOLUTION; ORIGIN</t>
  </si>
  <si>
    <t>Marine tetrapods have evolved different sensory solutions to meet the ecological challenges of foraging at depth. It has been proposed that pinipeds, like ichthyosaurs, evolved large eyeballs for such demands. Here, we test this hypothesis using morphological and diving data from a comprehensive data set (n = 54 species; 435 individual specimens), including living and extinct pinnipeds and other select carnivorans as outgroup taxa. We used bony orbit size as a proxy for eyeball size, and recorded associated skull measurements to control for relative changes in orbit size; for diving depth, we used the deepest dive depth reported in the literature. Our analyses included both standard regressions and those corrected for phylogeny (i.e., independent contrasts). Standard regression statistics showed orbit size was a significantly good predictor of diving depth for phocids and for pinnipeds overall, although there was no correlation for otariids. In contrast, independent contrasts showed little support for a relationship between orbit size and diving depth for any group broader than family level, although this approach did demonstrate deep diving has evolved multiple times in crown Pinnipedia. Lastly, using select fossil taxa, we highlight the need to test adaptive hypotheses using comparative data in an evolutionary context.</t>
  </si>
  <si>
    <t>[Debey, Lauren B.] Univ Washington, Dept Biol, Seattle, WA 98195 USA; [Debey, Lauren B.; Pyenson, Nicholas D.] Univ Washington, Dept Paleontol, Burke Museum Nat Hist &amp; Culture, Seattle, WA 98195 USA; [Pyenson, Nicholas D.] Smithsonian Inst, Dept Paleobiol, Natl Museum Nat Hist, Washington, DC 20013 USA; [Pyenson, Nicholas D.] Univ Washington, Dept Mammal, Burke Museum Nat Hist &amp; Culture, Seattle, WA 98195 USA</t>
  </si>
  <si>
    <t>University of Washington; University of Washington Seattle; University of Washington; University of Washington Seattle; Smithsonian Institution; Smithsonian National Museum of Natural History; University of Washington; University of Washington Seattle</t>
  </si>
  <si>
    <t>Debey, LB (corresponding author), Univ Washington, Dept Biol, Box 351800, Seattle, WA 98195 USA.</t>
  </si>
  <si>
    <t>lbdebey@uw.edu</t>
  </si>
  <si>
    <t>Pyenson, Nicholas/0000-0003-4678-5782</t>
  </si>
  <si>
    <t>Biodiversity Synthesis Center at the Field Museum, Chicago; National Science Foundation; Natural Sciences and Engineering Research Council of Canada; Smithsonian Institution</t>
  </si>
  <si>
    <t>Biodiversity Synthesis Center at the Field Museum, Chicago; National Science Foundation(National Science Foundation (NSF)); Natural Sciences and Engineering Research Council of Canada(Natural Sciences and Engineering Research Council of Canada (NSERC)CGIAR); Smithsonian Institution(Smithsonian Institution)</t>
  </si>
  <si>
    <t>We thank S. Ingleby (AM), I. Westwig (AMNH), M. Flannery (CAS), N. Rybczynski (CMN), L. G. Barnes (LACM), C. Conroy (MVZ), T. A. Demere (SDNHM), P. A. Holroyd (UCMP), E. B. Davis (UOMNH), D. J. Bohaska, C. W. Potter and J. G. Mead (USNM), and J. Bradley and C. A. Sidor (UWBM) for their time and access to collections. We also especially thank A. Berta, E. B. Davis, T. A. Demere, E. M. G. Fitzgerald, J. Flynn, J. A. Goldbogen, A. Goswami, K. E. Jones, C. Kirk, I. Koretsky, D. R. Lindberg, J. F. Parham, L. Schmitz, C. A. Sidor, and G. P. Wilson for advice and discussion during the course of this study. For assistance with statistical analyses, we thank K. Ayres, M. Bryan, J. Hille Ris Lambers, D. Vilhena, and S. Yang. We thank M. Chen, G. P. Wilson, Editor D. Boness, Associate Editor D. P. Domning, and three anonymous reviewers for insightful comments on drafts of this paper. This study also benefited from valuable discussion at an Encyclopedia of Life synthesis meeting on the evolution and diversity of marine tetrapods funded by the Biodiversity Synthesis Center at the Field Museum, Chicago. This research was supported by National Science Foundation Graduate Research Fellowships to L. M. B. and N. D. P., and by funding from the Natural Sciences and Engineering Research Council of Canada and the Smithsonian Institution to N. D. P.</t>
  </si>
  <si>
    <t>0824-0469</t>
  </si>
  <si>
    <t>1748-7692</t>
  </si>
  <si>
    <t>MAR MAMMAL SCI</t>
  </si>
  <si>
    <t>Mar. Mamm. Sci.</t>
  </si>
  <si>
    <t>10.1111/j.1748-7692.2011.00545.x</t>
  </si>
  <si>
    <t>Marine &amp; Freshwater Biology; Zoology</t>
  </si>
  <si>
    <t>122AW</t>
  </si>
  <si>
    <t>WOS:000317288200004</t>
  </si>
  <si>
    <t>Small, C; Waugh, SM; Phillips, RA</t>
  </si>
  <si>
    <t>Small, Cleo; Waugh, Susan M.; Phillips, Richard A.</t>
  </si>
  <si>
    <t>The justification, design and implementation of Ecological Risk Assessments of the effects of fishing on seabirds</t>
  </si>
  <si>
    <t>MARINE POLICY</t>
  </si>
  <si>
    <t>Albatross; Fisheries management; Incidental mortality; Population decline; Productivity-susceptibility analysis; Seabird distribution</t>
  </si>
  <si>
    <t>PELAGIC LONGLINE FISHERY; ATLANTIC-OCEAN; BYCATCH; IMPACT; POPULATIONS; MORTALITY; CONSERVATION; ALBATROSSES; PETRELS</t>
  </si>
  <si>
    <t>Many marine species are threatened by high levels of incidental mortality in fisheries. This paper reviews the design of selected recent, detailed Ecological Risk Assessments (ERAs) of the effects of fishing on seabirds. Several aspects of ERA methodology for seabirds are still in development, including the most appropriate ways to: predict seabird distribution and fisheries overlap; handle data gaps; compare productivity and susceptibility among species; and incorporate data on bycatch. Nor is there consensus on rules for selecting species or populations for inclusion in assessments, the appropriate spatial and temporal resolution for the analyses, and the definition of risk. Despite these uncertainties, the clear benefits of undertaking quantitative or semi-quantitative ERAs include the identification of particularly vulnerable species or populations and of key areas and seasons in which bycatch may be occurring, and the highlighting of data gaps and priorities for future monitoring. ERAs are likely to be particularly effective where explicit links are established at the outset between the outcomes or conclusions of the ERA and management responses. A precautionary approach to bycatch mitigation can then be embedded in the broader fisheries management framework. However, this requires that the ERA process is not overly complex or is prolonged to the extent that it draws attention away from existing responsibilities and commitments to reduce bycatch per se. When selecting the best approach, it is vital to balance desired outputs against the availability of data for the assessment, and to deal with data gaps in a precautionary manner. (C) 2012 Elsevier Ltd. All rights reserved.</t>
  </si>
  <si>
    <t>[Phillips, Richard A.] British Antarctic Survey, Nat Environm Res Council, Cambridge CB3 0ET, England; [Small, Cleo] Royal Soc Protect Birds, BirdLife Global Seabird Programme, Sandy SG19 2DL, Beds, England; [Waugh, Susan M.] Museum New Zealand Te Papa Tongarewa, Wellington, New Zealand</t>
  </si>
  <si>
    <t>UK Research &amp; Innovation (UKRI); Natural Environment Research Council (NERC); NERC British Antarctic Survey; Royal Society for Protection of Birds</t>
  </si>
  <si>
    <t>Phillips, RA (corresponding author), British Antarctic Survey, Nat Environm Res Council, Madingley Rd, Cambridge CB3 0ET, England.</t>
  </si>
  <si>
    <t>cleo.small@rspb.org.uk; Susan.Waugh@tepapa.govt.nz; raphil@bas.ac.uk</t>
  </si>
  <si>
    <t>0308-597X</t>
  </si>
  <si>
    <t>MAR POLICY</t>
  </si>
  <si>
    <t>Mar. Pol.</t>
  </si>
  <si>
    <t>10.1016/j.marpol.2012.05.001</t>
  </si>
  <si>
    <t>Environmental Studies; International Relations</t>
  </si>
  <si>
    <t>Social Science Citation Index (SSCI)</t>
  </si>
  <si>
    <t>Environmental Sciences &amp; Ecology; International Relations</t>
  </si>
  <si>
    <t>035IO</t>
  </si>
  <si>
    <t>WOS:000310940200023</t>
  </si>
  <si>
    <t>Pichrtová, M; Remias, D; Lewis, LA; Holzinger, A</t>
  </si>
  <si>
    <t>Pichrtova, Martina; Remias, Daniel; Lewis, Louise A.; Holzinger, Andreas</t>
  </si>
  <si>
    <t>Changes in Phenolic Compounds and Cellular Ultrastructure of Arctic and Antarctic Strains of Zygnema (Zygnematophyceae, Streptophyta) after Exposure to Experimentally Enhanced UV to PAR Ratio</t>
  </si>
  <si>
    <t>MICROBIAL ECOLOGY</t>
  </si>
  <si>
    <t>ULTRAVIOLET-B RADIATION; WATER GREEN-ALGA; KAPPAPHYCUS-ALVAREZII RHODOPHYTA; FRESH-WATER; CHLOROPHYLL FLUORESCENCE; PHYLOGENETIC-RELATIONSHIPS; OZONE DEPLETION; AMINO-ACIDS; PHOTOSYNTHESIS; IRRADIATION</t>
  </si>
  <si>
    <t>Ultraviolet (UV) radiation has become an important stress factor in polar regions due to anthropogenically induced ozone depletion. Although extensive research has been conducted on adaptations of polar organisms to this stress factor, few studies have focused on semi-terrestrial algae so far, in spite of their apparent vulnerability. This study investigates the effect of UV on two semi-terrestrial arctic strains (B, G) and one Antarctic strain (E) of the green alga Zygnema, isolated from Arctic and Antarctic habitats. Isolates of Zygnema were exposed to experimentally enhanced UV A and B (predominant UV A) to photosynthetic active radiation (PAR) ratio. The pigment content, photosynthetic performance and ultrastructure were studied by means of high-performance liquid chromatography (HPLC), chlorophyll a fluorescence and transmission electron microscopy (TEM). In addition, phylogenetic relationships of the investigated strains were characterised using rbcL sequences, which determined that the Antarctic isolate (E) and one of the Arctic isolates (B) were closely related, while G is a distinct lineage. The production of protective phenolic compounds was confirmed in all of the tested strains by HPLC analysis for both controls and UV-exposed samples. Moreover, in strain E, the content of phenolics increased significantly (p = 0.001) after UV treatment. Simultaneously, the maximum quantum yield of photosystem II photochemistry significantly decreased in UV-exposed strains E and G (p &lt; 0.001), showing a clear stress response. The phenolics were most probably stored at the cell periphery in vacuoles and cytoplasmic bodies that appear as electron-dense particles when observed by TEM after high-pressure freeze fixation. While two strains reacted moderately on UV exposure in their ultrastructure, in strain G, damage was found in chloroplasts and mitochondria. Plastidal pigments and xanthophyll cycle pigments were investigated by HPLC analysis; UV A- and UV B-exposed samples had a higher deepoxidation state as controls, particularly evident in strain B. The results indicate that phenolics are involved in UV protection of Zygnema and also revealed different responses to UV stress across the three strains, suggesting that other protection mechanisms may be involved in these organisms.</t>
  </si>
  <si>
    <t>[Pichrtova, Martina] Charles Univ Prague, Fac Sci, Dept Bot, Prague 12801 2, Czech Republic; [Pichrtova, Martina] Acad Sci Czech Republ, Inst Bot, CS-37982 Trebon, Czech Republic; [Remias, Daniel] Univ Innsbruck, Inst Pharm, A-6020 Innsbruck, Austria; [Lewis, Louise A.] Univ Connecticut, Dept Ecol &amp; Evolutionary Biol, Storrs, CT 06269 USA; [Holzinger, Andreas] Univ Innsbruck, Inst Bot, A-6020 Innsbruck, Austria</t>
  </si>
  <si>
    <t>Charles University Prague; Czech Academy of Sciences; Institute of Botany of the Czech Academy of Sciences; University of Innsbruck; University of Connecticut; University of Innsbruck</t>
  </si>
  <si>
    <t>Holzinger, A (corresponding author), Univ Innsbruck, Inst Bot, Sternwartestr 15, A-6020 Innsbruck, Austria.</t>
  </si>
  <si>
    <t>Andreas.Holzinger@uibk.ac.at</t>
  </si>
  <si>
    <t>Remias, Daniel/A-1966-2010; Pichrtová, Martina/N-1298-2014; Holzinger, Andreas/Z-2659-2019</t>
  </si>
  <si>
    <t>Pichrtová, Martina/0000-0002-6003-9666; Holzinger, Andreas/0000-0002-7745-3978; Remias, Daniel/0000-0003-0896-435X; Lewis, Louise/0000-0003-0695-5134</t>
  </si>
  <si>
    <t>Osterreichischer Austauschdienst scholarship (program AKTION); Academy of Sciences of the Czech Republic [RVO 67985939]; Tyrolean Science Fund [AP 717029]; Austrian Science Fund (FWF) [24242]; USA National Aeronautics and Space Administration (NASA) Exobiology grant [NNX08AX20G]; Division Of Environmental Biology; Direct For Biological Sciences [1036448] Funding Source: National Science Foundation; NASA [93610, NNX08AX20G] Funding Source: Federal RePORTER; Austrian Science Fund (FWF) [P 24242] Funding Source: researchfish</t>
  </si>
  <si>
    <t>Osterreichischer Austauschdienst scholarship (program AKTION); Academy of Sciences of the Czech Republic(Czech Academy of Sciences); Tyrolean Science Fund; Austrian Science Fund (FWF)(Austrian Science Fund (FWF)); USA National Aeronautics and Space Administration (NASA) Exobiology grant; Division Of Environmental Biology; Direct For Biological Sciences(National Science Foundation (NSF)NSF - Directorate for Biological Sciences (BIO)); NASA(National Aeronautics &amp; Space Administration (NASA)); Austrian Science Fund (FWF)(Austrian Science Fund (FWF))</t>
  </si>
  <si>
    <t>We thank Prof. Ursula Lutz-Meindl, University of Salzburg, Austria, for access to her high-pressure freezing device and Mag. Ancuela Andosch for the technical help in the high-pressure and freeze substitution process. Then, we would like to thank MSc. Siegfried Aigner, University of Innsbruck, and Shelley Olm, University of Connecticut, for the technical assistance. Prof. Jeffrey G. Duckett and Dr. Silvia Pressel, Natural History Museum, London, are acknowledged for helpful discussions. We also thank Dr. Tomas Hajek, Academy of Sciences of the Czech Republic, for his advice on statistical analyses and valuable comments that improved the manuscript. The study was conducted during a research stay of M.P. at the University of Innsbruck funded by Osterreichischer Austauschdienst scholarship (program AKTION). Support was granted as a long-term research development project of the Academy of Sciences of the Czech Republic RVO 67985939. The study was supported by the Tyrolean Science Fund (Project AP 717029) and the Austrian Science Fund (FWF-Project 24242) to A.H. and in part by the USA National Aeronautics and Space Administration (NASA) Exobiology NNX08AX20G grant to L.A.L.</t>
  </si>
  <si>
    <t>0095-3628</t>
  </si>
  <si>
    <t>1432-184X</t>
  </si>
  <si>
    <t>MICROB ECOL</t>
  </si>
  <si>
    <t>Microb. Ecol.</t>
  </si>
  <si>
    <t>10.1007/s00248-012-0096-9</t>
  </si>
  <si>
    <t>068MD</t>
  </si>
  <si>
    <t>Green Published, hybrid</t>
  </si>
  <si>
    <t>WOS:000313369900008</t>
  </si>
  <si>
    <t>Kaplan, F; Lewis, LA; Herburger, K; Holzinger, A</t>
  </si>
  <si>
    <t>Kaplan, Franziska; Lewis, Louise A.; Herburger, Klaus; Holzinger, Andreas</t>
  </si>
  <si>
    <t>Osmotic stress in Arctic and Antarctic strains of the green alga Zygnema (Zygnematales, Streptophyta): Effects on photosynthesis and ultrastructure</t>
  </si>
  <si>
    <t>MICRON</t>
  </si>
  <si>
    <t>Electron microscopy; Green algae; Photosynthesis; Phylogeny; rbcL gene; Streptophyta; Zygnema</t>
  </si>
  <si>
    <t>ELECTRON-TRANSPORT RATES; ALPINE SOIL CRUST; FRESH-WATER; TERRESTRIAL ALGAE; CHLOROPHYLL FLUORESCENCE; LECTINS ZYGNEMATACEAE; CONJUGATION PROCESS; DESICCATION STRESS; DEPTH DISTRIBUTION; OXYGEN PRODUCTION</t>
  </si>
  <si>
    <t>The osmotic potential and effects of plasmolysis on photosynthetic oxygen evolution and chlorophyll fluorescence were studied in two Arctic Zygnema sp. (strain B, strain G) and two Antarctic Zygnema sp. (strain E, strain D). Antarctic strain D was newly characterized by rbcL sequence analysis in the present study. The two Antarctic strains, D and E, are most closely related and may represent different isolates of the same species, in contrast, strain B and G are separate lineages. Incipient plasmolysis in the cells was determined by light microscopy after incubating cells in sorbitol solutions ranging between 200 mM and 1000 mM sorbitol for 3,6 and 24 h. In Zygnema strain B and G incipient plasmolysis occurred at 600 mM sorbitol solution (720 mOsmol kg(-1),psi = -1.67 MPa) and in strains D and Eat similar to 300 mM (318 mOsmol kg(-1),psi =-0.8 MPa) sorbitol solution. Hechtian strands were visualized in all plasmolysed cells, which is particularly interesting, as these cells lack pores or plasmodesmata. Ultrastructural changes upon osmotic stress were a retraction of the condensed cytoplasm from the cell walls, damages to chloroplast and mitochondrial membranes, increasing numbers of plastoglobules in the chloroplasts and membrane enclosed particles in the extraplasmatic space. Maximum photosynthetic rates (P-max) in light saturated range were between 145.5 mu mol O-2 h(-1) mg(-1) Chl a in Zygnema G and 752.9 mu mol O-2 h(-1) mg(-1) Chl a in Zygnema E. After incubation in 800 mM sorbitol for 3 h P-max decreased to the following percentage of the initial values: B: 16.3%, D: 16.8%, E: 26.1% and G: 35.0%. Osmotic stress (800 mM sorbitol) decreased maximum photochemical quantum yield of photosystem II (F-v/F-m) when compared to controls. Maximum values of relative electron transport rates of photosystem II (rETR(max)) decreased after incubation in 400 mM sorbitol in Zygnema D and E, while they decreased in Zygnema B and G only after incubation in 800 mM sorbitol. The kinetics of the rETR curves were similar for the Arctic strains Zygnema B and G, but distinct from the Antarctic strains Zygnema D and E, which were similar when compared with each other. This suggests that the investigated Arctic Zygnema sp. strains might be better adapted to tolerate osmotic water stress than the investigated strains from the Antarctic. (c) 2012 Elsevier Ltd. All rights reserved.</t>
  </si>
  <si>
    <t>[Kaplan, Franziska; Herburger, Klaus; Holzinger, Andreas] Univ Innsbruck, Inst Bot, A-6020 Innsbruck, Austria; [Lewis, Louise A.] Univ Connecticut, Dept Ecol &amp; Evolutionary Biol, Storrs, CT 06269 USA</t>
  </si>
  <si>
    <t>University of Innsbruck; University of Connecticut</t>
  </si>
  <si>
    <t>Holzinger, Andreas/Z-2659-2019</t>
  </si>
  <si>
    <t>Holzinger, Andreas/0000-0002-7745-3978; Lewis, Louise/0000-0003-0695-5134</t>
  </si>
  <si>
    <t>U.S. NSF [DEB-1036448]; FWF project [P24242]; Austrian Science Fund (FWF) [P24242] Funding Source: Austrian Science Fund (FWF); Division Of Environmental Biology; Direct For Biological Sciences [1036448] Funding Source: National Science Foundation; Austrian Science Fund (FWF) [P 24242] Funding Source: researchfish</t>
  </si>
  <si>
    <t>U.S. NSF(National Science Foundation (NSF)); FWF project(Austrian Science Fund (FWF)); Austrian Science Fund (FWF)(Austrian Science Fund (FWF)); Division Of Environmental Biology; Direct For Biological Sciences(National Science Foundation (NSF)NSF - Directorate for Biological Sciences (BIO)); Austrian Science Fund (FWF)(Austrian Science Fund (FWF))</t>
  </si>
  <si>
    <t>We would like to thank Martina Pichrtova, Charles University Prague for providing the algal strains investigated in this study. Moreover, we are thankful to Lisa Huber, University of Innsbruck for preliminary data on osmotic stress of Zygnema and to Manuel Pramsohler, University of Innsbruck for help with the PSYPRO water potential measurements. The study was supported by U.S. NSF DEB-1036448 to L.L. and FWF project P24242 to A.H.</t>
  </si>
  <si>
    <t>0968-4328</t>
  </si>
  <si>
    <t>Micron</t>
  </si>
  <si>
    <t>10.1016/j.micron.2012.08.004</t>
  </si>
  <si>
    <t>Microscopy</t>
  </si>
  <si>
    <t>062NA</t>
  </si>
  <si>
    <t>WOS:000312925300035</t>
  </si>
  <si>
    <t>Finger, KL</t>
  </si>
  <si>
    <t>Finger, Kenneth L.</t>
  </si>
  <si>
    <t>Miocene foraminifera from the south-central coast of Chile</t>
  </si>
  <si>
    <t>MICROPALEONTOLOGY</t>
  </si>
  <si>
    <t>BENTHIC FORAMINIFERA; MIDDLE MIOCENE; DEPOSITIONAL-ENVIRONMENTS; MONTEREY FORMATION; NORTHWESTERN GULF; NAVIDAD FORMATION; PLIOCENE; ATLANTIC; GENERA; BIOSTRATIGRAPHY</t>
  </si>
  <si>
    <t>Foraminifera are abundant and diverse in the Neogene sedimentary units of south-central Chile (34-43 degrees S), but their age and depositional paleoenvironment have been points of contention for decades. The marine strata most often referred to the Navidad Formation have been a focal point of study in the region by geoscientists in academia as well as the Chilean oil industry. Most of the foraminiferal assemblages documented in this study are from three sedimentary basins isolated from each other by more than 400km. From north to south, they are (1) the Navidad Formation in the vicinity of the name-bearing town located southwest of Santiago, (2) the Ranquil Formation on the Arauco Peninsula southeast of Concepcion, and (3) the Lacui Formation on and near Chiloe Island. Also included in this study are two assemblages from deposits of uncertain affinity in San Sebastian (northeast of the Navidad area and just north of San Antonio), and one from the Santo Domingo Formation in the vicinity of Valdivia (about midway between Arauco and Chiloe Island). The 27 localities reported in this study span nearly 1000km of the south-central Chilean margin. Most of the samples are siltstones from coastal bluffs and wave-cut platforms in which bedding is nearly horizontal, but often massive or indistinct. Regional workers have disagreed on which subepochs these units represent. Suggested ages based on macro- and microfossils have ranged from Late Oligocene to Early Pliocene. The planktic foraminifera identified in this study suggest that most, if not all, are Miocene. Excluding the two San Sebastian assemblages, which are slightly younger, one assemblage devoid of planktic foraminifera, and three with only long-ranging planktic foraminifera, all of the remaining 21 concurrent ranges begin or end in the Early Miocene. Nineteen of those ranges are restricted to that subepoch and two range into the early Middle Miocene. Seventeen of 18 localities had an Sr-87/Sr-86 age ranging into or within the Early Miocene. The exception yielded an isotopic age within the latest Oligocene. The majority of the analytical data presented in this report suggest that most of the assemblages are of late Early Miocene (Burdigalian) age. The most abundant macrofossils in the Navidad, Ranquil, Lacui, and Santo Domingo formations (collectively and informally referred to in this study as the Navidad group) are gastropods typical of neritic habitats, but specimens tend to be widely scattered in the outcrops and they are associated with mixed-depth assemblages of foraminifera. I therefore concluded that there had been significant downslope displacement. The upper depth limits of the deepest-dwelling benthic foraminifera in each assemblage indicate that final deposition occurred at bathyal depths, well below the neritic zone. All of the 358 taxa (336 benthics + 22 planktics) identified in this study are presented systematically and illustrated. New species described are Astacolus novambiguus, Cornuspira libella, Cristellariopsis petersonae, Fissurina ambicarinata, Globocassidulina chileensis, Karreriella biglobata, Percultazonaria encinasi, Percultazonaria obliquispinata, Pseudolingulina nielseni, and Pseudononion ranquilensis. In addition, I propose one new (substitute) name, Lenticulina neopolita, to resolve a synonymy. The presence of Neogene cosmopolitan deep-water benthic foraminifera in all of the assemblages supports the hypothesis that deep water masses derived from the Antarctic Circumpolar Current have enabled many Neogene deep-water foraminifera to disperse widely in the global ocean. This compendium is a useful guide to identification of Neogene foraminifera in subtropical/temperate regions in and beyond south-central Chile, and it also provides a regional dataset that can be incorporated into future studies on benthic foraminiferal biostratigraphy and biogeography.</t>
  </si>
  <si>
    <t>Univ Calif Berkeley, Museum Paleontol, Berkeley, CA 94720 USA</t>
  </si>
  <si>
    <t>University of California System; University of California Berkeley</t>
  </si>
  <si>
    <t>Finger, KL (corresponding author), Univ Calif Berkeley, Museum Paleontol, 1101 Valley Life Sci Bldg, Berkeley, CA 94720 USA.</t>
  </si>
  <si>
    <t>kfinger@berkeley.edu</t>
  </si>
  <si>
    <t>UCMP</t>
  </si>
  <si>
    <t>I thank my colleagues Alfonso Encinas and Sven Nielsen for inviting me to join them on a collaborative, interdisciplinary project to study the geology and paleontology of south-central Chile. They were indispensable as field partners and sources of additional samples, regional literature, and pertinent data, and together we coauthored several publications on various aspects of the project. I also thank them for their comradeship and endless support throughout the entire project, and for pre-reviewing the manuscript. ENAP (Empresa Nacional del Petroleo) graciously loaned many slides of unsorted foraminifera from numerous wells drilled in the region. I am also very grateful to have had the assistance of the late Dawn E. Peterson in sample processing and scanning electron microscopy. Humberto Carvajal Chitty (BioStrat International, Venezuela) and Lee Hsiang Low (Centre for Ecological and Evolutionary Synthesis, University of Oslo) kindly provided some sought after advice on the statistical analyses. With my utmost appreciation, I acknowledge C. Wylie Poag (USGS, Reston) for taking on, and completing, the daunting task of reviewing the entire manuscript and providing many useful comments, suggestions, and annotations. The UCMP provided funds for my fieldwork in Chile and scanning electron microscopy at the Robert D. Ogg Electron Microscope Laboratory (EML), University of California, Berkeley.</t>
  </si>
  <si>
    <t>MICRO PRESS</t>
  </si>
  <si>
    <t>FLUSHING</t>
  </si>
  <si>
    <t>6530 KISSENA BLVD, FLUSHING, NY 11367 USA</t>
  </si>
  <si>
    <t>0026-2803</t>
  </si>
  <si>
    <t>1937-2795</t>
  </si>
  <si>
    <t>Micropaleontology</t>
  </si>
  <si>
    <t>4-5</t>
  </si>
  <si>
    <t>V35XY</t>
  </si>
  <si>
    <t>WOS:000209179600001</t>
  </si>
  <si>
    <t>Puckridge, M; Andreakis, N; Appleyard, SA; Ward, RD</t>
  </si>
  <si>
    <t>Puckridge, Melody; Andreakis, Nikos; Appleyard, Sharon A.; Ward, Robert D.</t>
  </si>
  <si>
    <t>Cryptic diversity in flathead fishes (Scorpaeniformes: Platycephalidae) across the Indo-West Pacific uncovered by DNA barcoding</t>
  </si>
  <si>
    <t>MOLECULAR ECOLOGY RESOURCES</t>
  </si>
  <si>
    <t>cryptic species; DNA barcoding; fish; flathead; Platycephalidae; Platycephalus indicus</t>
  </si>
  <si>
    <t>FRESH-WATER FISHES; TELEOSTEI; DIVERGENCE; UNIVERSAL; AUSTRALIA; VALIDITY</t>
  </si>
  <si>
    <t>Identification of taxonomical units underpins most biological endeavours ranging from accurate biodiversity estimates to the effective management of sustainably harvested, protected or endangered species. Successful species identification is now frequently based on a combination of approaches including morphometrics and DNA markers. Sequencing of the mitochondrial COI gene is an established methodology with an international campaign directed at barcoding all fishes. We employed COI sequencing alongside traditional taxonomic identification methods and uncovered instances of deep intraspecific genetic divergences among flathead species. Sixty-five operational taxonomic units (OTUs) were observed across the Indo-West Pacific from just 48 currently recognized species. The most comprehensively sampled taxon, Platycephalus indicus, exhibited the highest levels of genetic diversity with eight lineages separated by up to 16.37% genetic distance. Our results clearly indicate a thorough reappraisal of the current taxonomy of P. indicus (and its three junior synonyms) is warranted in conjunction with detailed taxonomic work on the other additional Platycephalidae OTUs detected by DNA barcoding.</t>
  </si>
  <si>
    <t>[Puckridge, Melody] Univ Tasmania, Inst Marine &amp; Antarctic Studies, Hobart, Tas 7001, Australia; [Puckridge, Melody; Appleyard, Sharon A.; Ward, Robert D.] CSIRO Marine &amp; Atmospher Res, Wealth Oceans Flagship, Hobart, Tas 7000, Australia; [Andreakis, Nikos] Australian Inst Marine Sci, Townsville, Qld 4810, Australia</t>
  </si>
  <si>
    <t>University of Tasmania; Commonwealth Scientific &amp; Industrial Research Organisation (CSIRO); Australian Institute of Marine Science</t>
  </si>
  <si>
    <t>Puckridge, M (corresponding author), Univ Tasmania, Inst Marine &amp; Antarctic Studies, Private Bag 129, Hobart, Tas 7001, Australia.</t>
  </si>
  <si>
    <t>melodyp@utas.edu.au</t>
  </si>
  <si>
    <t>Ward, Robert D/A-2319-2012; Appleyard, Sharon/AAJ-9942-2020; appleyard, sharon/D-6076-2012; Andreakis, Nikos/A-4010-2010</t>
  </si>
  <si>
    <t>Appleyard, Sharon/0000-0002-3105-1690; appleyard, sharon/0000-0002-3105-1690; Andreakis, Nikos/0000-0001-7120-4279</t>
  </si>
  <si>
    <t>University of Tasmania; Commonwealth Research and Environment Facilities (CERF); Australian Government initiative</t>
  </si>
  <si>
    <t>University of Tasmania; Commonwealth Research and Environment Facilities (CERF); Australian Government initiative(Australian Government)</t>
  </si>
  <si>
    <t>We recognize the University of Tasmania and the Commonwealth Research and Environment Facilities (CERF) program for financial support. The CERF program is an Australian Government initiative supporting world class, public good research. The CERF Marine Biodiversity Hub is a collaborative partnership between the University of Tasmania, CSIRO Wealth from Oceans Flagship, Geoscience Australia, Australian Institute of Marine Science and Museum Victoria. We are deeply grateful to the following staff of the Australian National Fish Collection (ANFC) and CSIRO Marine and Atmospheric Research (Hobart) for providing most of the samples and collection data: Daniel Gledhill, William White, Peter Last, Alastair Graham, John Pogonoski, Gordon Yearsley and Ross Daley. Ken Graham (formerly NSW Fisheries) and David Fairclough (Department of Fisheries Western Australia) provided some samples to ANFC. Permission to use other BOLD sequences was granted by Martin Gomon (Museum Victoria), Mark McGrouther (Australian Museum), Seinen Chow (Agriculture, Forestry and Fisheries Research Council, Japan), Junbin Zhang (Shanghai Ocean University), Allan Connell (South African Institute for Aquatic Biodiversity (SAIAB), a facility of the National Research Foundation (NRF) of South Africa) and Amy Driscoll, Les Knapp, Chris Meyer, Serge Planes and Jeff Williams (of the Moorea barcoding project). Finally, we used some samples from the Atimo Vatae expedition to South Madagascar (Principal Investigator, Philippe Bouchet). This was a joint initiative of Muse ' um National d'Histoire Naturelle (MNHN) and Pro Natura International (PNI) in partnership with Institut d'Halieutique et des Sciences Marines, University of Toliara (IH. SM) and the Madagascar bureau of Wildlife Conservation Society (WCS) supported by the Total, Prince Albert II and Niarchos Foundations: coastal fishes were collected in the Fort-Dauphin area by Phil and Elaine Heemstra (SAIAB), Thomas Razafinambinina, Pierre Laboute and Alain Barre` re. We would also like to thank John Pogonoski and Peter Smith for helpful comments on an earlier draft of this study as well as Patti Virtue for additional supervisory contributions.</t>
  </si>
  <si>
    <t>1755-098X</t>
  </si>
  <si>
    <t>1755-0998</t>
  </si>
  <si>
    <t>MOL ECOL RESOUR</t>
  </si>
  <si>
    <t>Mol. Ecol. Resour.</t>
  </si>
  <si>
    <t>10.1111/1755-0998.12022</t>
  </si>
  <si>
    <t>Biochemistry &amp; Molecular Biology; Ecology; Evolutionary Biology</t>
  </si>
  <si>
    <t>Biochemistry &amp; Molecular Biology; Environmental Sciences &amp; Ecology; Evolutionary Biology</t>
  </si>
  <si>
    <t>053XS</t>
  </si>
  <si>
    <t>WOS:000312309200005</t>
  </si>
  <si>
    <t>Warrior, C</t>
  </si>
  <si>
    <t>Warrior, Claire</t>
  </si>
  <si>
    <t>'On Thin Ice': The Polar Displays at the National Maritime Museum, Greenwich</t>
  </si>
  <si>
    <t>MUSEUM HISTORY JOURNAL</t>
  </si>
  <si>
    <t>Polar regions; Arctic; Antarctic; exploration; display; Empire; national identity; museum</t>
  </si>
  <si>
    <t>The National Maritime Museum (NMM) holds one of the most important historical collections relating to Polar exploration in the UK. It includes artefacts relating to the great 19th century voyages of exploration to locate the Northwest Passage, as well as to the 'heroic' early 20th century expeditions of Scott and Shackleton. Many of the artefacts have a long history of display, and Polar exploration has been a near constant presence in the Museum since the 1950s. Representations of the Polar regions may seem to have little connection to British identity and Empire. However, the Arctic in the mid-19th century and the Antarctic in the 20th century can be seen as important places in their own right and central to constructing senses of national identity. There is a close link between the history of exploration and the history of Empire; Polar explorers were represented as heroic figures, providing powerful foci for the imagination of the nation. Polar exploration, Empire, science and national identity were interwoven. The impact of the end of Empire upon British culture and identity has been subject to much debate by historians. Although Empire has diminished in importance Polar exploration remained on display in the NMM, albeit in a number of different guises. This article investigates this phenomenon, the role museums play in promulgating ideas about Empire and nation, and asks what, if anything, happens to displays when Empire declines.</t>
  </si>
  <si>
    <t>[Warrior, Claire] Natl Maritime Museum, London SE10 9NF, England</t>
  </si>
  <si>
    <t>Warrior, C (corresponding author), Natl Maritime Museum, London SE10 9NF, England.</t>
  </si>
  <si>
    <t>cwarrior@rmg.co.uk</t>
  </si>
  <si>
    <t>ROUTLEDGE JOURNALS, TAYLOR &amp; FRANCIS LTD</t>
  </si>
  <si>
    <t>2-4 PARK SQUARE, MILTON PARK, ABINGDON OX14 4RN, OXON, ENGLAND</t>
  </si>
  <si>
    <t>1936-9816</t>
  </si>
  <si>
    <t>1936-9824</t>
  </si>
  <si>
    <t>MUS HIST J</t>
  </si>
  <si>
    <t>Mus. Hist. J.</t>
  </si>
  <si>
    <t>10.1179/1936981612Z.0000000004</t>
  </si>
  <si>
    <t>History</t>
  </si>
  <si>
    <t>V18OB</t>
  </si>
  <si>
    <t>WOS:000214759600006</t>
  </si>
  <si>
    <t>Nissan, E; Zuckermann, G</t>
  </si>
  <si>
    <t>Felecan, O</t>
  </si>
  <si>
    <t>Nissan, Ephraim; Zuckermann, Ghil'ad</t>
  </si>
  <si>
    <t>HOW MENDELE MOKHER SFARIM GOT IT WRONG: ABRAMOWITSCH'S 1866 PHONO-SEMANTIC MATCHING OF ZOONYMS, &amp; WHY HE NAMED THE AUKS (ALCIDAE) THE WAY HE DID</t>
  </si>
  <si>
    <t>NAME AND NAMING: ONOMASTICS IN CONTEMPORARY PUBLIC SPACE</t>
  </si>
  <si>
    <t>International Conference on Onomastics Name and Naming</t>
  </si>
  <si>
    <t>2nd International Conference on Onomastics (ICONN)</t>
  </si>
  <si>
    <t>MAY 09-11, 2013</t>
  </si>
  <si>
    <t>ROMANIA</t>
  </si>
  <si>
    <t>motivation of bird names (for 'Great Auk' and 'razorbill'); language modernisation; Modern Hebrew; biblical hapax; Shalom Jacob Abramowitsch (Mendele Mokher Sfarim)</t>
  </si>
  <si>
    <t>A future famous novelist, in his Natural History Abramowitsch was the main moderniser of Hebrew zoonymy in the 19th century. We are concerned with his bird names from his volume on birds (1866), and in particular, with how he named the Auks (Alciformes) from the northern Atlantic. In a sense, we solve a mystery: it was the extinct Great Auk that was named (rather than e.g. the Razorbill) by phono-semantic matching to a hapax from the Hebrew Bible, alqum by interpreting that term as 'no rising up'. This is because the Great Auk could not fly, and even more to the point, on the evidence of Abramowitsch relating about the named bird's then apparent extinction, because that bird would never rise again. We also discuss how Abramowitsch named the Antarctic penguin, considering that originally, in European languages, the lexical type penguin used to be applied to a flightless alciform species that became extinct.</t>
  </si>
  <si>
    <t>[Nissan, Ephraim] Univ London Goldsmiths Coll, London SE14 6NW, England; [Nissan, Ephraim] Univ Manchester, Manchester M13 9PL, Lancs, England; [Zuckermann, Ghil'ad] Univ Adelaide, Chair Linguist &amp; Endangered Languages, Adelaide, SA 5005, Australia</t>
  </si>
  <si>
    <t>University of London; Goldsmiths University London; University of Manchester; University of Adelaide</t>
  </si>
  <si>
    <t>Nissan, E (corresponding author), Univ London Goldsmiths Coll, London SE14 6NW, England.</t>
  </si>
  <si>
    <t>EDITURA MEGA</t>
  </si>
  <si>
    <t>CLUJ-NAPOCA</t>
  </si>
  <si>
    <t>PIATA 1 MAI, NR 4-5, CLUJ-NAPOCA, 400141, ROMANIA</t>
  </si>
  <si>
    <t>2501-0727</t>
  </si>
  <si>
    <t>978-606-543-343-4</t>
  </si>
  <si>
    <t>INT CONF ONOMAST NAM</t>
  </si>
  <si>
    <t>Language &amp; Linguistics</t>
  </si>
  <si>
    <t>Linguistics</t>
  </si>
  <si>
    <t>BC4ND</t>
  </si>
  <si>
    <t>WOS:000352775000077</t>
  </si>
  <si>
    <t>Gutt, J; Barnes, DKA; Lockhart, SJ; van de Putte, A</t>
  </si>
  <si>
    <t>Gutt, Julian; Barnes, David K. A.; Lockhart, Susanne J.; van de Putte, Anton</t>
  </si>
  <si>
    <t>Antarctic macrobenthic communities: A compilation of circumpolar information</t>
  </si>
  <si>
    <t>NATURE CONSERVATION-BULGARIA</t>
  </si>
  <si>
    <t>Macrobenthic communities; trawls; dredges; grabs; corers; direct observations (scuba-diving, sea-bed, video, sea-bed photography)</t>
  </si>
  <si>
    <t>Comprehensive information on Antarctic macrobenthic community structure has been publicly available since the 1960s. It stems from trawl, dredge, grab, and corer samples as well as from direct and camera observations (Table 1-2). The quality of this information varies considerably; it consists of pure descriptions, figures for presence (absence) and abundance of some key taxa or proxies for such parameters, e.g. sea-floor cover. Some data sets even cover a defined and complete proportion of the macrobenthos with further analyses on diversity and zoogeography. As a consequence the acquisition of data from approximately 90 different campaigns assembled here was not standardised. Nevertheless, it was possible to classify this broad variety of known macrobenthic assemblages to the best of expert knowledge (Gutt 2007; Fig. 1). This overview does not replace statistically sound community and diversity analyses. However, it shows from where which kind of information is available and it acts as an example of the feasibility and power of such data collections. The data set provides unique georeferenced biological basic information for the planning of future coordinated research activities, e.g. under the umbrella of the biology program Antarctic Thresholds - Ecosystem Resilience and Adaptation (AnT-ERA) of the Scientific Committee on Antarctic Research (SCAR) and especially for actual conservation issues, e.g. the planning of Marine Protected Areas (MPAs) by the Commission for the Conservation of Antarctic Marine Living Resources (CCAMLR).</t>
  </si>
  <si>
    <t>[Gutt, Julian] Helmholtz Ctr Polar &amp; Marine Res, Alfred Wegener Inst, D-27568 Bremerhaven, Germany; [Barnes, David K. A.] British Antarctic Survey, Cambridge CB3 0ET, England; [Lockhart, Susanne J.] NOAA, Southwest Fisheries Sci Ctr, La Jolla, CA 92037 USA; [van de Putte, Anton] ANTA BIF, B-1000 Brussels, Belgium</t>
  </si>
  <si>
    <t>Helmholtz Association; Alfred Wegener Institute, Helmholtz Centre for Polar &amp; Marine Research; UK Research &amp; Innovation (UKRI); Natural Environment Research Council (NERC); NERC British Antarctic Survey; National Oceanic Atmospheric Admin (NOAA) - USA</t>
  </si>
  <si>
    <t>Gutt, J (corresponding author), Helmholtz Ctr Polar &amp; Marine Res, Alfred Wegener Inst, Columbusstr, D-27568 Bremerhaven, Germany.</t>
  </si>
  <si>
    <t>Van de Putte, Anton/S-3729-2019</t>
  </si>
  <si>
    <t>Van de Putte, Anton/0000-0003-1336-5554; Gutt, Julian/0000-0003-3773-9370</t>
  </si>
  <si>
    <t>Natural Environment Research Council [bas0100026] Funding Source: researchfish; NERC [bas0100026] Funding Source: UKRI</t>
  </si>
  <si>
    <t>1314-6947</t>
  </si>
  <si>
    <t>1314-3301</t>
  </si>
  <si>
    <t>NAT CONSERV-BULGARIA</t>
  </si>
  <si>
    <t>Nat. Conserv.-Bulgaria</t>
  </si>
  <si>
    <t>10.3897/natureconservation.4.4499</t>
  </si>
  <si>
    <t>V39TD</t>
  </si>
  <si>
    <t>WOS:000209432400001</t>
  </si>
  <si>
    <t>Nikurashin, M; Vallis, GK; Adcroft, A</t>
  </si>
  <si>
    <t>Nikurashin, Maxim; Vallis, Geoffrey K.; Adcroft, Alistair</t>
  </si>
  <si>
    <t>Routes to energy dissipation for geostrophic flows in the Southern Ocean</t>
  </si>
  <si>
    <t>AVAILABLE POTENTIAL-ENERGY; VARIABILITY; CIRCULATION; TOPOGRAPHY; MODEL</t>
  </si>
  <si>
    <t>The ocean circulation is forced at a global scale by winds and fluxes of heat and fresh water. Kinetic energy is dissipated at much smaller scales in the turbulent boundary layers and in the ocean interior(1,2), where turbulent mixing controls the transport and storage of tracers such as heat and carbon dioxide(3,4). The primary site of wind power input is the Southern Ocean, where the westerly winds are aligned with the Antarctic Circumpolar Current(5). The potential energy created here is converted into a vigorous geostrophic eddy field through baroclinic instabilities. The eddy energy can power mixing in the ocean interior(6-8), but the mechanisms governing energy transfer to the dissipation scale are poorly constrained. Here we present simulations that simultaneously resolve meso- and submeso-scale motions as well as internalwaves generated by topography in the Southern Ocean. In our simulations, more than 80% of the wind power input is converted from geostrophic eddies to smaller-scale motions in the abyssal ocean. The conversion is catalysed by rough, small-scale topography. The bulk of the energy is dissipated within the bottom 100m of the ocean, but about 20% is radiated and dissipated away from topography in the ocean interior, where it can sustain turbulent mixing. We conclude that in the absence of rough topography, the turbulent mixing in the ocean interiorwould be diminished.</t>
  </si>
  <si>
    <t>[Nikurashin, Maxim; Vallis, Geoffrey K.; Adcroft, Alistair] Princeton Univ, AOS Program, Princeton, NJ 08540 USA</t>
  </si>
  <si>
    <t>Princeton University</t>
  </si>
  <si>
    <t>Nikurashin, M (corresponding author), Univ Tasmania, Inst Marine &amp; Antarct Studies, Hobart, Tas 7001, Australia.</t>
  </si>
  <si>
    <t>man@alum.mit.edu</t>
  </si>
  <si>
    <t>Adcroft, Alistair/E-5949-2010; Nikurashin, Maxim/J-3506-2013; Nikurashin, Maxim/P-4018-2019</t>
  </si>
  <si>
    <t>Adcroft, Alistair/0000-0001-9413-1017; Nikurashin, Maxim/0000-0002-5714-8343</t>
  </si>
  <si>
    <t>NSF [OCE-1027603]; Directorate For Geosciences; Division Of Ocean Sciences [1027603] Funding Source: National Science Foundation</t>
  </si>
  <si>
    <t>NSF(National Science Foundation (NSF)); Directorate For Geosciences; Division Of Ocean Sciences(National Science Foundation (NSF)NSF - Directorate for Geosciences (GEO))</t>
  </si>
  <si>
    <t>The authors thank I. Held and A. Hogg for very useful comments on the manuscript. The work was financially supported by the NSF through award OCE-1027603. Simulations were performed using GFDL's supercomputer facility.</t>
  </si>
  <si>
    <t>75 VARICK ST, 9TH FLR, NEW YORK, NY 10013-1917 USA</t>
  </si>
  <si>
    <t>10.1038/NGEO1657</t>
  </si>
  <si>
    <t>058KQ</t>
  </si>
  <si>
    <t>WOS:000312633000027</t>
  </si>
  <si>
    <t>Van de Vijver, B; Kopalová, K; Zidarova, R; Cox, EJ</t>
  </si>
  <si>
    <t>Van de Vijver, Bart; Kopalova, Katerina; Zidarova, Ralitsa; Cox, Eileen J.</t>
  </si>
  <si>
    <t>New and interesting small-celled naviculoid diatoms (Bacillariophyta) from the Maritime Antarctic Region</t>
  </si>
  <si>
    <t>NOVA HEDWIGIA</t>
  </si>
  <si>
    <t>Bacillariophyta; Diatoms; Maritime Antarctic Region; morphology; new species; taxonomy</t>
  </si>
  <si>
    <t>SOUTH SHETLAND ISLANDS; LA POSSESSION CROZET; FRESH-WATER; DECEPTION ISLAND; SP NOV.; GENUS; TAXA; DISTANTES; REVISION; MAYAMAEA</t>
  </si>
  <si>
    <t>Four new small-celled naviculoid diatom species belonging to the genera Adlafia, Chamaepinnularia, Mayamaea, and Microcostatus were found during a survey of the non-marine diatom flora of the South Shetland Islands and James Ross Island (Maritime Antarctic Region). Following both light and scanning electron microscopy, the following species were described as new: Adlafia submuscora sp. nov., Mayamaea josefelsteri Kopalova, Nedbalova &amp; Van de Vijver sp. nov., Microcostatus australoshetlandicus sp. nov. and Chamaepinnularia antarctica sp. nov. The new species are compared to other morphologically similar species from Europe, South America and the (sub-)Antarctic region. Data on their ecology and biogeography are included. In addition, the morphology, biogeography and taxonomic position of two other small-celled naviculoid diatoms, Craticula glaberrima (W. &amp; G.S.West) nov. comb. and Sellaphora nana (Hustedt) Lange-Bertalot et al. are discussed.</t>
  </si>
  <si>
    <t>[Van de Vijver, Bart] Natl Bot Garden Belgium, Dept Bryophyta &amp; Thallophyta, B-1860 Domein Van Bouchout, Belgium; [Van de Vijver, Bart] Univ Antwerp, Dept Biol, ECOBE, B-2610 Antwerp, Belgium; [Kopalova, Katerina] Charles Univ Prague, Fac Sci, Dept Ecol, CZ-12844 Prague 2, Czech Republic; [Kopalova, Katerina] Acad Sci Czech Republ, Inst Bot, Sect Plant Ecol, CZ-37982 Trebon, Czech Republic; [Zidarova, Ralitsa] St Kliment Ohridski Univ Sofia, Fac Biol, Dept Bot, Sofia 1164, Bulgaria; [Cox, Eileen J.] Nat Hist Museum, London SW7 5BD, England</t>
  </si>
  <si>
    <t>University of Antwerp; Charles University Prague; Czech Academy of Sciences; Institute of Botany of the Czech Academy of Sciences; University of Sofia; Natural History Museum London</t>
  </si>
  <si>
    <t>Van de Vijver, B (corresponding author), Natl Bot Garden Belgium, Dept Bryophyta &amp; Thallophyta, B-1860 Domein Van Bouchout, Belgium.</t>
  </si>
  <si>
    <t>vandevijver@br.fgov.be; k.kopalova@hotmail.com; ralliez@abv.bg; E.Cox@nhm.ac.uk</t>
  </si>
  <si>
    <t>Zidarova, Ralitsa/I-3793-2017; Kopalová, Kateřina/H-1598-2014; Kopalova, Katerina/M-6207-2017</t>
  </si>
  <si>
    <t>Zidarova, Ralitsa/0000-0002-6451-0099; Kopalova, Katerina/0000-0002-7905-4268</t>
  </si>
  <si>
    <t>FWO [G.0533.07]; L'Oreal-UNESCO For Women in Science Program in Bulgaria; EU Synthesys grant; Erasmus grant; GA UK grant [394211]; [RVO 67985939]</t>
  </si>
  <si>
    <t>FWO(FWO); L'Oreal-UNESCO For Women in Science Program in Bulgaria(L'Oreal Group); EU Synthesys grant; Erasmus grant(Erasmus+); GA UK grant;</t>
  </si>
  <si>
    <t>The authors wish to thank the participants of the January 2009 Byers Peninsula expedition for their assistance during the fieldwork. Samples on Byers Peninsula were taken in the framework of the IPY-Limnopolar Project POL2006-06635 (Ministerio de Ciencia y Tecnologia, Spain). Sampling on Hurd Peninsula was made possible with the support of the Bulgarian Antarctic Institute and MOEW. Prof. Dr. Gabriela Mataloni is thanked for sampling on Deception Island. Part of this research was funded within the FWO project G.0533.07. Observations on Hurd Peninsula were done under a grant of the L'Oreal-UNESCO For Women in Science Program in Bulgaria. Dr. Alex Ball and the staff of the EMMA laboratory at the Natural History Museum are thanked for their help with the scanning electron microscopy. This study was supported by a EU Synthesys grant to BVDV to visit the National History Museum in London, UK and as a long-term research development project no. RVO 67985939. Mrs. K.Kopalova benefited from an Erasmus grant during her stay in Belgium and GA UK grant 394211.</t>
  </si>
  <si>
    <t>GEBRUDER BORNTRAEGER</t>
  </si>
  <si>
    <t>JOHANNESSTR 3A, D-70176 STUTTGART, GERMANY</t>
  </si>
  <si>
    <t>0029-5035</t>
  </si>
  <si>
    <t>2363-7188</t>
  </si>
  <si>
    <t>Nova Hedwigia</t>
  </si>
  <si>
    <t>10.1127/0029-5035/2013/0101</t>
  </si>
  <si>
    <t>204UY</t>
  </si>
  <si>
    <t>WOS:000323398000009</t>
  </si>
  <si>
    <t>Berggren, AM; Aldahan, A; Possnert, G; Hansson, M; Steen-Larsen, HC; Storm, AS; Mörth, CM; Murad, A</t>
  </si>
  <si>
    <t>Berggren, A. -M.; Aldahan, A.; Possnert, G.; Hansson, M.; Steen-Larsen, H. C.; Storm, A. Sturevik; Morth, C. -M.; Murad, A.</t>
  </si>
  <si>
    <t>Variability of 10Be and δ18O in snow pits from Greenland and a surface traverse from Antarctica</t>
  </si>
  <si>
    <t>Beryllium-10; Greenland; Snow pit; Neem; Jase</t>
  </si>
  <si>
    <t>TEMPORAL VARIABILITY; CIRCULATION</t>
  </si>
  <si>
    <t>To examine temporal variability of Be-10 in glacial ice, we sampled snow to a depth of 160 cm at the NEEM (North Greenland Eemian Ice Drilling) drilling site in Greenland. The samples span three years between the summers of 2006 and 2009. At the same time, spatial variability of Be-10 in glacial ice was explored through collection of the upper similar to 5 cm of surface snow in Antarctica during part of the Swedish-Japanese traverse from Svea to Syowa station during the austral summer in 2007-2008. The results of the Greenlandic 1 Be snow suggested variable concentrations that apparently do not clearly reflect the seasonal change as indicated by the delta O-18 data. The Be-10 concentration variability most likely reflects also effects of aerosol loading and deposition pathways, possibly in combination with post-depositional processes. The Antarctic traverse data expose a negative correlation between Be-10 and delta O-18, while there are weaker but still significant correlations to altitude and distance to the coast (approximated by the distance to the 70th latitude). These relationships indicate that geographical factors, mainly the proximity to the coast, may strongly affect 1 Be concentrations in snow in Queen Maud Land, Antarctica. (C) 2012 Elsevier B.V. All rights reserved.</t>
  </si>
  <si>
    <t>[Berggren, A. -M.; Aldahan, A.; Storm, A. Sturevik] Uppsala Univ, Dept Earth Sci, S-75236 Uppsala, Sweden; [Aldahan, A.; Murad, A.] United Arab Emirates Univ, Dept Geol, Al Ain, U Arab Emirates; [Possnert, G.] Uppsala Univ, Tandem Lab, S-75120 Uppsala, Sweden; [Hansson, M.] Stockholm Univ, Dept Phys Geog &amp; Quaternary Geol, S-10691 Stockholm, Sweden; [Steen-Larsen, H. C.] Univ Copenhagen, Niels Bohr Inst, Ctr Ice &amp; Climate, DK-2100 Copenhagen, Denmark; [Morth, C. -M.] Stockholm Univ, Dept Geol &amp; Geochem, S-10691 Stockholm, Sweden</t>
  </si>
  <si>
    <t>Uppsala University; United Arab Emirates University; Uppsala University; Stockholm University; University of Copenhagen; Niels Bohr Institute; Stockholm University</t>
  </si>
  <si>
    <t>Aldahan, A (corresponding author), Uppsala Univ, Dept Earth Sci, Villav 16, S-75236 Uppsala, Sweden.</t>
  </si>
  <si>
    <t>ala.aldahan@geo.uu.se</t>
  </si>
  <si>
    <t>Steen-Larsen, Hans Christian/F-9927-2013</t>
  </si>
  <si>
    <t>Steen-Larsen, Hans Christian/0000-0002-7202-5907</t>
  </si>
  <si>
    <t>10.1016/j.nimb.2012.05.041</t>
  </si>
  <si>
    <t>WOS:000313234300109</t>
  </si>
  <si>
    <t>Morozov, EG; Tarakanov, RY; van Haren, H</t>
  </si>
  <si>
    <t>Morozov, E. G.; Tarakanov, R. Y.; van Haren, H.</t>
  </si>
  <si>
    <t>Transport of Antarctic bottom water through the Kane Gap, tropical NE Atlantic Ocean</t>
  </si>
  <si>
    <t>FRACTURE-ZONE; BRAZIL BASIN; FLOW; ROMANCHE</t>
  </si>
  <si>
    <t>We study low-frequency properties of the Antarctic Bottom Water (AABW) flow through the Kane Gap (9 degrees N) in the Atlantic Ocean. The measurements in the Kane Gap include five visits with CTD (Conductivity-Temperature-Depth) sections in 2009-2012 and a year-long record of currents on a mooring using three AquaDopp current meters. We found an alternating regime of flow, which changes direction several times during a year. The seasonal signal seems to dominate. The maximum daily average values of southerly velocities reach 0.20 m s(-1), while the greatest north-northwesterly velocity is as high as 0.15 m s(-1). The velocity and transport at the bottom are aligned along the slope of a local hill near the southwestern side of the gap. The distribution of velocity directions at the upper boundary of AABW is wider. The transport of AABW (Theta &lt; 1.9 degrees C) based on the mooring and LADCP (Lowered Acoustic Doppler Current Profiler) data varies approximately within +/- 0.35 Sv in the northern and southern directions. The annual mean AABW transport through the Kane Gap is almost zero.</t>
  </si>
  <si>
    <t>[Morozov, E. G.; Tarakanov, R. Y.] Russian Acad Sci, Shirshov Inst Oceanol, Moscow 117997, Russia; [van Haren, H.] Royal Netherlands Inst Sea Res NIOZ, NL-1790 AB Den Burg, Netherlands</t>
  </si>
  <si>
    <t>Russian Academy of Sciences; Shirshov Institute of Oceanology; Utrecht University; Royal Netherlands Institute for Sea Research (NIOZ)</t>
  </si>
  <si>
    <t>Morozov, EG (corresponding author), Russian Acad Sci, Shirshov Inst Oceanol, Nakhimovsky Pr 36, Moscow 117997, Russia.</t>
  </si>
  <si>
    <t>egmorozov@mail.ru</t>
  </si>
  <si>
    <t>Morozov, Eugene G/L-3023-2018; Tarakanov, Roman/R-3325-2016</t>
  </si>
  <si>
    <t>Tarakanov, Roman/0000-0002-8711-1859; Morozov, Eugene/0000-0002-0251-3454</t>
  </si>
  <si>
    <t>Netherlands Organization for Scientific Research (NWO) in the Russian-Dutch exchange program; Russian Foundation for Basic Research [09-08-10000-k, 12-05-00277, 11-08-00076]; NWO-RFBR program [047.017.2006.003]</t>
  </si>
  <si>
    <t>Netherlands Organization for Scientific Research (NWO) in the Russian-Dutch exchange program(Netherlands Organization for Scientific Research (NWO)); Russian Foundation for Basic Research(Russian Foundation for Basic Research (RFBR)Spanish Government); NWO-RFBR program</t>
  </si>
  <si>
    <t>The mooring with current meters was supplied by the Royal Netherlands Institute for Sea Research. It was financially supported in part by the Netherlands Organization for Scientific Research (NWO) in the Russian-Dutch exchange program. The work was supported by the Russian Foundation for Basic Research (grants 09-08-10000-k, 12-05-00277, 11-08-00076) and the NWO-RFBR program (project No. 047.017.2006.003).</t>
  </si>
  <si>
    <t>10.5194/os-9-825-2013</t>
  </si>
  <si>
    <t>247PT</t>
  </si>
  <si>
    <t>WOS:000326631800005</t>
  </si>
  <si>
    <t>D'Cruze, N; Sawyer, J; De Vere, R; Benares, J; Farrance, D; Megson, S; Can, ÖE</t>
  </si>
  <si>
    <t>D'Cruze, Neil; Sawyer, James; De Vere, Ruth; Benares, James; Farrance, David; Megson, Steven; Can, Oezgun Emre</t>
  </si>
  <si>
    <t>First images of the Visayan spotted deer and Visayan warty pig</t>
  </si>
  <si>
    <t>ORYX</t>
  </si>
  <si>
    <t>[D'Cruze, Neil; Sawyer, James; De Vere, Ruth] World Soc Protect Anim, London, England; [Farrance, David] Derriford Hosp, British Antarctic Survey Med Unit, Plymouth PL6 8DH, Devon, England; [Megson, Steven] Univ Plymouth, Plymouth PL4 8AA, Devon, England; [Can, Oezgun Emre] Univ Oxford, Dept Zool, Wildlife Conservat Res Unit, Oxford OX1 3PS, England</t>
  </si>
  <si>
    <t>Derriford Hospital; University of Plymouth; University of Oxford</t>
  </si>
  <si>
    <t>D'Cruze, N (corresponding author), World Soc Protect Anim, London, England.</t>
  </si>
  <si>
    <t>neildcruze@wspa-international.org</t>
  </si>
  <si>
    <t>Can, Özgün Emre/ABE-7049-2020</t>
  </si>
  <si>
    <t>Can, Özgün Emre/0000-0001-6283-5386</t>
  </si>
  <si>
    <t>NERC [bas010011] Funding Source: UKRI; Natural Environment Research Council [bas010011] Funding Source: researchfish</t>
  </si>
  <si>
    <t>0030-6053</t>
  </si>
  <si>
    <t>Oryx</t>
  </si>
  <si>
    <t>10.1017/S0030605313000173</t>
  </si>
  <si>
    <t>155DR</t>
  </si>
  <si>
    <t>WOS:000319726600006</t>
  </si>
  <si>
    <t>Badger, MPS; Lear, CH; Pancost, RD; Foster, GL; Bailey, TR; Leng, MJ; Abels, HA</t>
  </si>
  <si>
    <t>Badger, Marcus P. S.; Lear, Caroline H.; Pancost, Richard D.; Foster, Gavin L.; Bailey, Trevor R.; Leng, Melanie J.; Abels, Hemmo A.</t>
  </si>
  <si>
    <t>CO2 drawdown following the middle Miocene expansion of the Antarctic Ice Sheet</t>
  </si>
  <si>
    <t>ATMOSPHERIC CARBON-DIOXIDE; BORON ISOTOPIC COMPOSITION; GROWTH-RATE; SEAWATER CHEMISTRY; MG/CA RATIO; EVOLUTION; CALCITE; CLIMATE; SEA; FRACTIONATION</t>
  </si>
  <si>
    <t>The development of a permanent, stable ice sheet in East Antarctica happened during the middle Miocene, about 14 million years (Myr) ago. The middle Miocene therefore represents one of the distinct phases of rapid change in the transition from the greenhouse of the early Eocene to the icehouse of the present day. Carbonate carbon isotope records of the period immediately following the main stage of ice sheet development reveal a major perturbation in the carbon system, represented by the positive delta C-13 excursion known as carbon maximum 6 (CM6), which has traditionally been interpreted as reflecting increased burial of organic matter and atmospheric pCO(2) drawdown. More recently, it has been suggested that the delta C-13 excursion records a negative feedback resulting from the reduction of silicate weathering and an increase in atmospheric pCO(2). Here we present high-resolution multi-proxy (alkenone carbon and foraminiferal boron isotope) records of atmospheric carbon dioxide and sea surface temperature across CM6. Similar to previously published records spanning this interval, our records document a world of generally low (similar to 300 ppm) atmospheric pCO(2) at a time generally accepted to be much warmer than today. Crucially, they also reveal a pCO(2) decrease with associated cooling, which demonstrates that the carbon burial hypothesis for CM6 is feasible and could have acted as a positive feedback on global cooling. Citation: Badger, M. P. S., C. H. Lear, R. D. Pancost, G. L. Foster, T. R. Bailey, M. J. Leng, and H. A. Abels (2013), CO2 drawdown following the middle Miocene expansion of the Antarctic Ice Sheet, Paleoceanography, 28, 42-53, doi:10.1002/palo.20015.</t>
  </si>
  <si>
    <t>[Badger, Marcus P. S.; Lear, Caroline H.] Cardiff Univ, Sch Earth &amp; Ocean Sci, Cardiff CF10 3AX, S Glam, Wales; [Badger, Marcus P. S.; Pancost, Richard D.] Univ Bristol, Sch Chem, Organ Geochem Unit, Cabot Inst, Bristol BS8 1RJ, Avon, England; [Badger, Marcus P. S.; Pancost, Richard D.] Univ Bristol, Sch Chem, Bristol Biogeochem Res Ctr, Bristol BS8 1RJ, Avon, England; [Badger, Marcus P. S.] Univ Bristol, Sch Earth Sci, Bristol BS8 1RJ, Avon, England; [Foster, Gavin L.] Univ Bristol, Sch Earth Sci, Bristol Isotope Grp, Bristol BS8 1RJ, Avon, England; [Bailey, Trevor R.] Amgueddfa Cymru Natl Museum Wales, Dept Geol, Cardiff, S Glam, Wales; [Leng, Melanie J.] Univ Leicester, Dept Geol, Leicester LE1 7RH, Leics, England; [Leng, Melanie J.] British Geol Survey, NERC Isotope Geosci Lab, Nottingham NG12 5GG, England; [Abels, Hemmo A.] Univ Utrecht, Dept Earth Sci, Utrecht, Netherlands</t>
  </si>
  <si>
    <t>Cardiff University; University of Bristol; University of Bristol; University of Bristol; University of Bristol; University of Leicester; UK Research &amp; Innovation (UKRI); Natural Environment Research Council (NERC); NERC British Geological Survey; Utrecht University</t>
  </si>
  <si>
    <t>Badger, MPS (corresponding author), Univ Bristol, Sch Earth Sci, Wills Mem Bldg,Queens Rd, Bristol BS8 1RJ, Avon, England.</t>
  </si>
  <si>
    <t>marcus.badger@bristol.ac.uk</t>
  </si>
  <si>
    <t>Lear, Caroline H/D-2582-2009; Foster, Gavin/W-5968-2019; Foster, Gavin/CAF-4654-2022; Badger, Marcus/A-3607-2014</t>
  </si>
  <si>
    <t>Foster, Gavin/0000-0003-3688-9668; Bailey, Trevor/0000-0001-6428-1794; Abels, Hemmo/0000-0001-7648-3369; Lear, Caroline/0000-0002-7533-4430; Pancost, Richard/0000-0003-0298-4026; Badger, Marcus/0000-0001-8195-5244</t>
  </si>
  <si>
    <t>NERC [NE/D008654/1, NE/D010241/1, NERC NE/D00876X/2]; National Museum Wales; NIGL [IP/920/1106]; Natural Environment Research Council [NE/D008654/1, nigl010001, NE/D010241/1, NE/D00876X/2] Funding Source: researchfish; NERC [NE/D00876X/2, NE/D008654/1, nigl010001, NE/D010241/1] Funding Source: UKRI</t>
  </si>
  <si>
    <t>NERC(UK Research &amp; Innovation (UKRI)Natural Environment Research Council (NERC)); National Museum Wales; NIGL; Natural Environment Research Council(UK Research &amp; Innovation (UKRI)Natural Environment Research Council (NERC)); NERC(UK Research &amp; Innovation (UKRI)Natural Environment Research Council (NERC))</t>
  </si>
  <si>
    <t>This manuscript is dedicated to the memory of Ben Flower, an inspirational paleoceanographer who will be missed by many. We thank F. J. Hilgen for introducing us to the section, A. A. Mourik for assistance in the field, G. Debono for arranging permissions to work on the section, F. Gill (OGU), J. Becker and J. Green for analytical assistance, P. Pearson for taxonomic assistance and S. Barker for modeling assistance. We also thank Ian D. Bull of the NERC Life Sciences Mass Spectrometry Facility for assistance with alkenone delta13C determinations. This manuscript was improved by the careful comments of two anonymous reviewers and the editor. This work was supported by NERC and the National Museum Wales in the form of a CASE studentship (M.P.S.B.), NERC grants NE/D008654/1 and NE/D010241/1 (C.H.L. and R.D.P.), a NERC Advanced Fellowship NERC NE/D00876X/2 (G.L.F.) and NIGL award IP/920/1106 (C.H.L. and R.D.P.).</t>
  </si>
  <si>
    <t>10.1002/palo.20015</t>
  </si>
  <si>
    <t>Green Published, Green Accepted, Bronze</t>
  </si>
  <si>
    <t>WOS:000317838200005</t>
  </si>
  <si>
    <t>Erhardt, AM; Pälike, H; Paytan, A</t>
  </si>
  <si>
    <t>Erhardt, Andrea M.; Paelike, Heiko; Paytan, Adina</t>
  </si>
  <si>
    <t>High-resolution record of export production in the eastern equatorial Pacific across the Eocene-Oligocene transition and relationships to global climatic records</t>
  </si>
  <si>
    <t>MAJOR GLACIATION CYCLES; SOUTHERN-OCEAN; ANTARCTIC GLACIATION; STABLE-ISOTOPE; CARBON-CYCLE; CALCITE COMPENSATION; CONTINENTAL-MARGIN; ORGANIC-CARBON; ICE-SHEET; DEEP</t>
  </si>
  <si>
    <t>Understanding changes in export production through time provides insight into the response of the biological pump to global climate change, particularly during periods of rapid climate change. In this study we consider what role changes in export production may have had on carbon sequestration and how this may have contributed to the onset of the Eocene-Oligocene transition (EOT). In addition, we consider if these export production variations are dominantly controlled by orbitally driven climate variability. To accomplish these objectives, we report changes in export production in the Eastern Equatorial Pacific (EEP) from Site U1333 across the EOT reconstructed from a high-resolution record of marine barite accumulation rates (BAR). BAR fluctuations suggest synchronous declines in export production associated with the two-step increases in oxygen isotopes that define the transition. The reduction in productivity across the EOT suggests that the biological pump did not contribute to carbon sequestration and the cooling over this transition. We also report a previously undocumented peak in EEP export productivity before the EOT onset. This peak is consistent with export production proxies from the Southern Ocean, potentially implying a global driver for this precursor event. We propose that this enhanced export production and the associated carbon sequestration in the late Eocene may have contributed to the pCO(2) drawdown at the onset of Antarctic glaciation. Citation: Erhardt, A. M., H. Palike, and A. Paytan (2013), High-resolution record of export production in the eastern equatorial Pacific across the Eocene-Oligocene transition and relationships to global climatic records, Paleoceanography, 28, 130-142, doi:10.1029/2012PA002347.</t>
  </si>
  <si>
    <t>[Erhardt, Andrea M.] Stanford Univ, Dept Geol &amp; Environm Sci, Stanford, CA 94305 USA; [Erhardt, Andrea M.; Paytan, Adina] Univ Calif Santa Cruz, Inst Marine Sci, Santa Cruz, CA 95064 USA; [Paelike, Heiko] Univ Southampton, Sch Ocean &amp; Earth Sci, Southampton, Hants, England</t>
  </si>
  <si>
    <t>Stanford University; University of California System; University of California Santa Cruz; University of Southampton; NERC National Oceanography Centre</t>
  </si>
  <si>
    <t>Erhardt, AM (corresponding author), Stanford Univ, Dept Geol &amp; Environm Sci, Stanford, CA 94305 USA.</t>
  </si>
  <si>
    <t>erhardt@stanford.edu</t>
  </si>
  <si>
    <t>Pälike, Heiko/A-6560-2008</t>
  </si>
  <si>
    <t>Pälike, Heiko/0000-0003-3386-0923; Erhardt, Andrea/0000-0002-5213-986X</t>
  </si>
  <si>
    <t>NSF [OCE-0449732]; Consortium for Ocean Leadership; Natural Environment Research Council [NE/G003270/1] Funding Source: researchfish; NERC [NE/G003270/1] Funding Source: UKRI</t>
  </si>
  <si>
    <t>NSF(National Science Foundation (NSF)); Consortium for Ocean Leadership; Natural Environment Research Council(UK Research &amp; Innovation (UKRI)Natural Environment Research Council (NERC)); NERC(UK Research &amp; Innovation (UKRI)Natural Environment Research Council (NERC))</t>
  </si>
  <si>
    <t>We would like to thank Ted Moore for constructive discussion of the results and insights into potential interpretations. Samples for this project were provided by the Integrated Ocean Drilling Program (IODP). This work was significantly advanced though discussion at the Leg 320/321 postcruise meeting attended with travel funding provided by the Consortium for Ocean Leadership. Laboratory work was supported by NSF CAREER grant OCE-0449732 to A. P.</t>
  </si>
  <si>
    <t>10.1029/2012PA002347</t>
  </si>
  <si>
    <t>WOS:000317838200012</t>
  </si>
  <si>
    <t>Gallagher, SJ; Villa, G; Drysdale, RN; Wade, BS; Scher, H; Li, QY; Wallace, MW; Holdgate, GR</t>
  </si>
  <si>
    <t>Gallagher, Stephen J.; Villa, Giuliana; Drysdale, Russell N.; Wade, Bridget S.; Scher, Howie; Li, Qianyu; Wallace, Malcolm W.; Holdgate, Guy R.</t>
  </si>
  <si>
    <t>A near-field sea level record of East Antarctic Ice Sheet instability from 32 to 27 Myr</t>
  </si>
  <si>
    <t>FORAMINIFERAL BIOFACIES; PALEOENVIRONMENTAL EVOLUTION; CARBONATE SEDIMENTS; OTWAY BASIN; NEW-JERSEY; OLIGOCENE; SHELF; GIPPSLAND; BIOSTRATIGRAPHY; STRATIGRAPHY</t>
  </si>
  <si>
    <t>Fossil, facies, and isotope analyses of an early high-paleolatitude (55 degrees S) section suggests a highly unstable East Antarctic Ice Sheet from 32 to 27 Myr. The waxing and waning of this ice sheet from 140% to 40% of its present volume caused sea level changes of +/- 25 m (ranging from -30 to +50 m) related to periodic glacial (100,000 to 200,000 years) and shorter interglacial events. The near-field Gippsland sea level (GSL) curve shares many similarities to the far-field New Jersey sea level (NJSL) estimates. However, there are possible resolution errors due to biochronology, taphonomy, and paleodepth estimates and the relative lack of lowstand deposits (in NJSL) that prevent detailed correlations with GSL. Nevertheless, the lateral variations in sea level between the GSL section and NJSL record that suggest ocean siphoning and antisiphoning may have propagated synchronous yet variable sea levels. Citation: Gallagher, S. J., G. Villa, R. N. Drysdale, B. S. Wade, H. Scher, Q. Li, M. W. Wallace, and G. R. Holdgate (2013), A near-field sea level record of East Antarctic Ice Sheet instability from 32 to 27 Myr, Paleoceanography, 28, 1-13, doi:10.1029/2012PA002326.</t>
  </si>
  <si>
    <t>[Gallagher, Stephen J.; Wallace, Malcolm W.; Holdgate, Guy R.] Univ Melbourne, Sch Earth Sci, Melbourne, Vic 3010, Australia; [Villa, Giuliana] Univ Parma, Dipartimento Sci Terra, I-43100 Parma, Italy; [Drysdale, Russell N.] Univ Melbourne, Dept Resource Management &amp; Geog, Melbourne, Vic 3010, Australia; [Wade, Bridget S.] Univ Leeds, Sch Earth &amp; Environm, Leeds, W Yorkshire, England; [Scher, Howie] Univ S Carolina, Dept Earth &amp; Ocean Sci, Columbia, SC 29208 USA; [Li, Qianyu] Tongji Univ, Sch Ocean &amp; Earth Sci, Shanghai 200092, Peoples R China</t>
  </si>
  <si>
    <t>University of Melbourne; Melbourne Bioinformatics; University of Parma; University of Melbourne; Melbourne Bioinformatics; University of Leeds; University of South Carolina System; University of South Carolina Columbia; Tongji University</t>
  </si>
  <si>
    <t>Gallagher, SJ (corresponding author), Univ Melbourne, Sch Earth Sci, Melbourne, Vic 3010, Australia.</t>
  </si>
  <si>
    <t>sjgall@unimelb.edu.au</t>
  </si>
  <si>
    <t>Gallagher, Stephen/AFL-9448-2022; Wade, Bridget S/F-4987-2014; Drysdale, Russell/AAH-9376-2019; Scher, Howie/C-4927-2013; li, qianyu/GXV-6594-2022</t>
  </si>
  <si>
    <t>Gallagher, Stephen/0000-0002-5593-2740; Wade, Bridget S/0000-0002-7245-8614; Drysdale, Russell/0000-0001-7867-031X; Wallace, Malcolm/0000-0003-3188-6409</t>
  </si>
  <si>
    <t>ARC [DP0558150]; Natural Environment Research Council [NE/G014817/1]; Australian Research Council [DP0558150] Funding Source: Australian Research Council; Natural Environment Research Council [NE/G014817/1, NE/G014817/2] Funding Source: researchfish; NERC [NE/G014817/1, NE/G014817/2] Funding Source: UKRI</t>
  </si>
  <si>
    <t>ARC(Australian Research Council); Natural Environment Research Council(UK Research &amp; Innovation (UKRI)Natural Environment Research Council (NERC)); Australian Research Council(Australian Research Council); Natural Environment Research Council(UK Research &amp; Innovation (UKRI)Natural Environment Research Council (NERC)); NERC(UK Research &amp; Innovation (UKRI)Natural Environment Research Council (NERC))</t>
  </si>
  <si>
    <t>We are grateful to Paul Pearson (Cardiff University), Michelle Kominz, and an anonymous reviewer for their constructive reviews of this paper. We thank Mike Wiltshire (Occam Technology), who donated the wireline log data. This research was partly supported by ARC DP0558150 (M.W. and S.G.). Wiltshire Geosciences donated the wireline log data. DPI Victoria (Terry Smith) and ESSO Australia (Adem Djakic) are to be thanked for allowing access to the Groper-1 core. We are grateful to Colin MacPherson and Joanne Peterkin for stable isotope analyses at Durham University, which were funded by a Natural Environment Research Council (NE/G014817/1) grant to B.W.</t>
  </si>
  <si>
    <t>10.1029/2012PA002326</t>
  </si>
  <si>
    <t>WOS:000317838200001</t>
  </si>
  <si>
    <t>Hodell, D; Crowhurst, S; Skinner, L; Tzedakis, PC; Margari, V; Channell, JET; Kamenov, G; Maclachlan, S; Rothwell, G</t>
  </si>
  <si>
    <t>Hodell, David; Crowhurst, Simon; Skinner, Luke; Tzedakis, Polychronis C.; Margari, Vasiliki; Channell, James E. T.; Kamenov, George; Maclachlan, Suzanne; Rothwell, Guy</t>
  </si>
  <si>
    <t>Response of Iberian Margin sediments to orbital and suborbital forcing over the past 420 ka</t>
  </si>
  <si>
    <t>MAJOR GLACIATION CYCLES; DEEP-SEA SEDIMENTS; GLACIAL/INTERGLACIAL TRANSITIONS; ATMOSPHERIC METHANE; CLIMATE VARIABILITY; DUST CONTRIBUTIONS; LATE PLEISTOCENE; ICE VOLUME; ORIGIN; TEMPERATURE</t>
  </si>
  <si>
    <t>Here we report 420 kyr long records of sediment geochemical and color variations from the southwestern Iberian Margin. We synchronized the Iberian Margin sediment record to Antarctic ice cores and speleothem records on millennial time scales and investigated the phase responses relative to orbital forcing of multiple proxy records available from these cores. Iberian Margin sediments contain strong precession power. Sediment redness (a* and 570-560 nm) and the ratio of long-chain alcohols to n-alkanes (C26OH/(C26OH+C-29)) are highly coherent and in-phase with precession. Redder layers and more oxidizing conditions (low alcohol ratio) occur near precession minima (summer insolation maxima). We suggest these proxies respond rapidly to low-latitude insolation forcing by wind-driven processes (e.g., dust transport, upwelling, precipitation). Most Iberian Margin sediment parameters lag obliquity maxima by 7-8 ka, indicating a consistent linear response to insolation forcing at obliquity frequencies driven mainly by high-latitude processes. Although the lengths of the time series are short (420 ka) for detecting 100 kyr eccentricity cycles, the phase relationships support those obtained by Shackleton [2000]. Antarctic temperature and the Iberian Margin alcohol ratios (C26OH/(C26OH+C-29)) lead eccentricity maxima by 6 kyr, with lower ratios (increased oxygenation) occurring at eccentricity maxima. CO2, CH4, and Iberian SST are nearly in phase with eccentricity, and minimum ice volume (as inferred from Pacific delta O-18(seawater)) lags eccentricity maxima by 10 kyr. The phase relationships derived in this study continue to support a potential role of the Earth's carbon cycle in contributing to the 100 kyr cycle. Citation: Hodell, D., S. Crowhurst, L. Skinner, P. C. Tzedakis, V. Margari, J. E. T. Channell, G. Kamenov, S. Maclachlan, and G. Rothwell (2013), Response of Iberian Margin sediments to orbital and suborbital forcing over the past 420 ka, Paleoceanography, 28, 185-199, doi:10.1002/palo.20017.</t>
  </si>
  <si>
    <t>[Hodell, David; Crowhurst, Simon; Skinner, Luke] Univ Cambridge, Dept Earth Sci, Godwin Lab Palaeoclimate Res, Cambridge CB2 3EQ, England; [Tzedakis, Polychronis C.; Margari, Vasiliki] UCL, Dept Geog, London, England; [Channell, James E. T.; Kamenov, George] Univ Florida, Dept Geol Sci, Gainesville, FL USA; [Maclachlan, Suzanne; Rothwell, Guy] Natl Oceanog Ctr, British Ocean Sediment Core Res Facil, Southampton, Hants, England</t>
  </si>
  <si>
    <t>University of Cambridge; University of London; University College London; State University System of Florida; University of Florida; NERC National Oceanography Centre</t>
  </si>
  <si>
    <t>Hodell, D (corresponding author), Univ Cambridge, Dept Earth Sci, Godwin Lab Palaeoclimate Res, Cambridge CB2 3EQ, England.</t>
  </si>
  <si>
    <t>dah73@cam.ac.uk</t>
  </si>
  <si>
    <t>Tzedakis, Polychronis C/J-1894-2012; Kamenov, George/AAE-6176-2020</t>
  </si>
  <si>
    <t>Kamenov, George/0000-0002-6041-6687; MacLachlan, Suzanne/0009-0001-5898-4140; Hodell, David/0000-0001-8537-1588; Tzedakis, Polychronis/0000-0001-6072-1166</t>
  </si>
  <si>
    <t>Natural Environmental Research Council; National Science Foundation [OCE-1014506]; NERC [NE/K005804/1, bosc01001, noc010011, NE/H009930/1] Funding Source: UKRI; Natural Environment Research Council [noc010011, bosc01001, NE/K005804/1, NE/H009930/1] Funding Source: researchfish</t>
  </si>
  <si>
    <t>Natural Environmental Research Council(UK Research &amp; Innovation (UKRI)Natural Environment Research Council (NERC)); National Science Foundation(National Science Foundation (NSF)); NERC(UK Research &amp; Innovation (UKRI)Natural Environment Research Council (NERC)); Natural Environment Research Council(UK Research &amp; Innovation (UKRI)Natural Environment Research Council (NERC))</t>
  </si>
  <si>
    <t>Mike Hall and James Rolfe are thanked for laboratory support. We thank M.-F. Sanchez Goni and two anonymous referees for their thoughtful reviews that significantly improved the paper. This work was supported by the Natural Environmental Research Council (DH) and National Science Foundation Grant OCE-1014506 (JC).</t>
  </si>
  <si>
    <t>10.1002/palo.20017</t>
  </si>
  <si>
    <t>WOS:000317838200017</t>
  </si>
  <si>
    <t>Kaufmann, RK; Juselius, K</t>
  </si>
  <si>
    <t>Kaufmann, Robert K.; Juselius, Katarina</t>
  </si>
  <si>
    <t>Testing hypotheses about glacial cycles against the observational record</t>
  </si>
  <si>
    <t>ANTARCTIC SEA-ICE; SOUTHERN-OCEAN; ATMOSPHERIC CO2; CARBON-DIOXIDE; CLIMATE-CHANGE; IRON FERTILIZATION; DOME-C; SEMIEMPIRICAL APPROACH; PHYTOPLANKTON BLOOM; TEMPERATURE</t>
  </si>
  <si>
    <t>We estimate an identified cointegrated vector autoregression model of the climate system to test hypotheses about the physical mechanisms that may drive glacial cycles during the late Pleistocene. Results indicate that a permanent doubling of CO2 generates a 11.1 degrees C rise in Antarctic temperature. Large variations in atmospheric CO2 over glacial cycles are driven by changes in sea ice and sea surface temperature in southern oceans and marine biological activity. The latter can be represented by a two-step process in which iron dust increases biological activity and the increase in biological activity reduces CO2 concentrations. Glacial variations in ice volume, as proxied by delta O-18 are driven by changes in CO2 concentrations, global and high latitude solar insolation, latitudinal gradients in solar insolation, and the atmospheric concentration of CO2. The model is able to quantify the effects of ice volume and temperature on sea level, such that in the long-run, sea level rises 14 m per 0.11 parts per thousand delta O-18 and about 17 m/degrees C of sea surface temperature in southern oceans. Beyond these specific results, the multivariate model suggests omitted variables may bias bivariate analyses of these mechanisms. Citation: Kaufmann, R. K., and K. Juselius (2013), Testing hypotheses about glacial cycles against the observational record, Paleoceanography, 28, 175-184, doi:10.1002/palo.20021.</t>
  </si>
  <si>
    <t>[Kaufmann, Robert K.] Boston Univ, Dept Earth &amp; Environm, Boston, MA 02215 USA; [Juselius, Katarina] Univ Copenhagen, Dept Econ, Copenhagen, Denmark</t>
  </si>
  <si>
    <t>Boston University; University of Copenhagen</t>
  </si>
  <si>
    <t>Kaufmann, RK (corresponding author), Boston Univ, Dept Earth &amp; Environm, Boston, MA 02215 USA.</t>
  </si>
  <si>
    <t>kaufmann@bu.edu</t>
  </si>
  <si>
    <t>Kaufmann, Robert/I-4962-2017</t>
  </si>
  <si>
    <t>Kaufmann, Robert/0000-0002-5670-7027</t>
  </si>
  <si>
    <t>10.1002/palo.20021</t>
  </si>
  <si>
    <t>WOS:000317838200016</t>
  </si>
  <si>
    <t>Bost, CA; Delord, K; Barbraud, C; Cherel, Y; Pütz, K; Cotté, C; Péron, C; Weimerskirch, H</t>
  </si>
  <si>
    <t>Bost, Charles-Andre; Delord, Karine; Barbraud, Christophe; Cherel, Yves; Puetz, Klemens; Cotte, Cedric; Peron, Clara; Weimerskirch, H.</t>
  </si>
  <si>
    <t>King Penguin (Aptenodytes patagonicus)</t>
  </si>
  <si>
    <t>FORAGING STRATEGIES; POPULATION-DYNAMICS; FALKLAND ISLANDS; DIVING BEHAVIOR; GIANT PETRELS; MARION ISLAND; DIET; SUMMER; FOOD; MACQUARIE</t>
  </si>
  <si>
    <t>[Bost, Charles-Andre; Delord, Karine; Barbraud, Christophe; Cherel, Yves; Cotte, Cedric; Peron, Clara; Weimerskirch, H.] CNRS, UPR 1934, Ctr Etud Biol Chize, F-79360 Villiers En Bois, France; [Puetz, Klemens] Antarctic Res Trust, D-27432 Bremervoerde, Germany</t>
  </si>
  <si>
    <t>Centre National de la Recherche Scientifique (CNRS)</t>
  </si>
  <si>
    <t>Bost, CA (corresponding author), CNRS, UPR 1934, Ctr Etud Biol Chize, F-79360 Villiers En Bois, France.</t>
  </si>
  <si>
    <t>bost@cebc.cnrs.fr; puetz@antarctic-research.de</t>
  </si>
  <si>
    <t>Cotté, Cédric/AAX-6120-2021; Barbraud, Christophe/A-5870-2012; Weimerskirch, Henri/K-7306-2019; Cotte, Cedric/C-3296-2013; Cotté, Cédric/Z-3243-2019; Weimerskirch, Henri/F-5562-2013; PERON, Clara/E-9840-2015</t>
  </si>
  <si>
    <t>Cotté, Cédric/0000-0002-8307-6435; Barbraud, Christophe/0000-0003-0146-212X; Weimerskirch, Henri/0000-0002-0457-586X; Cotté, Cédric/0000-0002-8307-6435;</t>
  </si>
  <si>
    <t>WOS:000318737300001</t>
  </si>
  <si>
    <t>Lynch, HJ</t>
  </si>
  <si>
    <t>Lynch, Heather J.</t>
  </si>
  <si>
    <t>Gentoo Penguin (Pygoscelis papua)</t>
  </si>
  <si>
    <t>KING-GEORGE-ISLAND; SEA-ICE EXTENT; ANTARCTIC PENINSULA; BREEDING SUCCESS; CLIMATE-CHANGE; OIL-SPILL; ECOLOGICAL SEGREGATION; EUDYPTES-CHRYSOLOPHUS; MAGELLANIC PENGUINS; ROCKHOPPER PENGUINS</t>
  </si>
  <si>
    <t>[Lynch, Heather J.] Univ Maryland, College Pk, MD 20742 USA; [Lynch, Heather J.] Oceanites Inc, Chevy Chase, MD 20825 USA; [Lynch, Heather J.] SUNY Stony Brook, Stony Brook, NY 11794 USA</t>
  </si>
  <si>
    <t>University System of Maryland; University of Maryland College Park; State University of New York (SUNY) System; State University of New York (SUNY) Stony Brook</t>
  </si>
  <si>
    <t>Lynch, HJ (corresponding author), Univ Maryland, College Pk, MD 20742 USA.</t>
  </si>
  <si>
    <t>WOS:000318737300005</t>
  </si>
  <si>
    <t>Pütz, K; Rey, AR; Otley, H</t>
  </si>
  <si>
    <t>Puetz, Klemens; Rey, Andrea Raya; Otley, Helen</t>
  </si>
  <si>
    <t>Southern Rockhopper Penguin (Eudyptes chrysocome)</t>
  </si>
  <si>
    <t>FALKLAND ISLANDS; C.-CHRYSOCOME; STATEN-ISLAND; INTERANNUAL VARIATION; HEALTH EVALUATION; BREEDING BIOLOGY; DIET COMPOSITION; RECENT TRENDS; EGG LOSS; MACARONI</t>
  </si>
  <si>
    <t>[Puetz, Klemens] Antarctic Res Trust, D-27432 Bremervoerde, Germany; [Rey, Andrea Raya] Consejo Nacl Invest Cient &amp; Tecn, Ctr Austral Invest Cient, RA-9410 Ushuaia, Tierra Del Fueg, Argentina; [Otley, Helen] West Coast Tai Poutini Conservancy, Dept Conservat, Hokitika, New Zealand</t>
  </si>
  <si>
    <t>Pütz, K (corresponding author), Antarctic Res Trust, Oste Hamme Kanal 10, D-27432 Bremervoerde, Germany.</t>
  </si>
  <si>
    <t>puetz@antarctic-research.de; arayarey@cadic-conicet.gob.ar</t>
  </si>
  <si>
    <t>WOS:000318737300007</t>
  </si>
  <si>
    <t>Crossin, GT; Trathan, PN; Crawford, RJM</t>
  </si>
  <si>
    <t>Crossin, Glenn T.; Trathan, Phil N.; Crawford, Robert J. M.</t>
  </si>
  <si>
    <t>Macaroni Penguin (Eudyptes chrysolophus) and Royal Penguin (Eudyptes schlegeli)</t>
  </si>
  <si>
    <t>ANTARCTIC MARION ISLAND; SOUTHERN-OCEAN; CLIMATE-CHANGE; SEA-ICE; MACQUARIE-ISLAND; EGG-SIZE; CHRYSOCOME PENGUINS; ROCKHOPPER PENGUINS; SEASONAL OCCURRENCE; POPULATION-CHANGES</t>
  </si>
  <si>
    <t>[Crossin, Glenn T.] Dalhousie Univ, Dept Biol, Halifax, NS B3H 4R2, Canada; [Trathan, Phil N.] British Antarctic Survey, Cambridge CB3 0ET, England; [Crawford, Robert J. M.] Oceans &amp; Coasts, Dept Environm Affairs, ZA-800O Cape Town, South Africa; [Crawford, Robert J. M.] Univ Cape Town, Anim Demog Unit, ZA-7700 Rondebosch, South Africa</t>
  </si>
  <si>
    <t>Dalhousie University; UK Research &amp; Innovation (UKRI); Natural Environment Research Council (NERC); NERC British Antarctic Survey; University of Cape Town</t>
  </si>
  <si>
    <t>Crossin, GT (corresponding author), Dalhousie Univ, Dept Biol, Halifax, NS B3H 4R2, Canada.</t>
  </si>
  <si>
    <t>gtc@dal.ca; p.trathan@bas.ac.uk; crawford@environment.gov.za</t>
  </si>
  <si>
    <t>WOS:000318737300012</t>
  </si>
  <si>
    <t>Boersma, PD; Frere, E; Kane, O; Pozzi, LM; Pütz, K; Rey, AR; Rebstock, GA; Simeone, A; Smith, J; Van Buren, A; Yorio, P; Borboroglu, PG</t>
  </si>
  <si>
    <t>Dee Boersma, P.; Frere, Esteban; Kane, Olivia; Pozzi, Luciana M.; Puetz, Klemens; Raya Rey, Andrea; Rebstock, Ginger A.; Simeone, Alejandro; Smith, Jeffrey; Van Buren, Amy; Yorio, Pablo; Garcia Borboroglu, Pablo</t>
  </si>
  <si>
    <t>Magellanic Penguin (Spheniscus magellanicus)</t>
  </si>
  <si>
    <t>MARINE PROTECTED AREAS; GOLFO SAN-JORGE; REPRODUCTIVE SUCCESS; SATELLITE TRACKING; FORAGING MOVEMENTS; WINTER MIGRATION; PREY CONSUMPTION; DIET COMPOSITION; POPULATION-SIZE; DIVING BEHAVIOR</t>
  </si>
  <si>
    <t>[Dee Boersma, P.; Kane, Olivia; Rebstock, Ginger A.; Smith, Jeffrey; Van Buren, Amy; Garcia Borboroglu, Pablo] Univ Washington, Dept Biol, Seattle, WA 98195 USA; [Dee Boersma, P.; Garcia Borboroglu, Pablo] Global Penguin Soc, Puerto Madryn, Argentina; [Dee Boersma, P.; Frere, Esteban; Yorio, Pablo] Wildlife Conservat Soc, Bronx, NY 10460 USA; [Frere, Esteban] Univ Nacl Patagonia Austral, CONICET, Ctr Invest Puerto Deseado, Buenos Aires, DF, Argentina; [Pozzi, Luciana M.; Garcia Borboroglu, Pablo] Consejo Nacl Invest Cient &amp; Tecn, Ctr Nacl Patagon, Puerto Madryn, Chubut, Argentina; [Puetz, Klemens] Antarctic Res Trust, D-27432 Bremervoerde, Germany; [Raya Rey, Andrea] Consejo Nacl Invest Cient &amp; Tecn, Ctr Austral Invest Cient, RA-9410 Ushuaia, Tierra Del Fueg, Argentina; [Simeone, Alejandro] Univ Andres Bello, Fac Ecol &amp; Recursos Nat, Dept Ecol &amp; Biodiversidad, Santiago, Chile</t>
  </si>
  <si>
    <t>University of Washington; University of Washington Seattle; Wildlife Conservation Society; Consejo Nacional de Investigaciones Cientificas y Tecnicas (CONICET); Consejo Nacional de Investigaciones Cientificas y Tecnicas (CONICET); Centro Nacional Patagonico (CENPAT); Consejo Nacional de Investigaciones Cientificas y Tecnicas (CONICET); Universidad Andres Bello</t>
  </si>
  <si>
    <t>Boersma, PD (corresponding author), Univ Washington, Dept Biol, Seattle, WA 98195 USA.</t>
  </si>
  <si>
    <t>boersma@u.washington.edu; puetz@antarctic-research.de; arayarey@cadic-conicet.gob.ar; pgborbor@cenpat.edu.ar</t>
  </si>
  <si>
    <t>WOS:000318737300014</t>
  </si>
  <si>
    <t>Cordero, RR; Damiani, A; Da Silva, L; Laroze, D; Labbe, F</t>
  </si>
  <si>
    <t>Cordero, R. R.; Damiani, A.; Da Silva, L.; Laroze, D.; Labbe, F.</t>
  </si>
  <si>
    <t>Spectral UV radiance measured at a coastal site: a case study</t>
  </si>
  <si>
    <t>PHOTOCHEMICAL &amp; PHOTOBIOLOGICAL SCIENCES</t>
  </si>
  <si>
    <t>SINGLE SCATTERING ALBEDO; SKY RADIANCE; IRRADIANCE; DISTRIBUTIONS; ULTRAVIOLET</t>
  </si>
  <si>
    <t>We have sampled the spatial distribution of the UV radiation (i.e. the UV radiance) at a station located on the southern pacific coastline (Valparaiso, Chile, 33.03 degrees S-71.58 degrees W). The site is characterized by the partial horizon obstruction (due to the surrounding topography). Our spectral measurements were carried out over the period January-March 2012 and were meant to weigh up the effects of the local cloudiness, the heterogeneous albedo, and the horizon obscuration. We found that a nearly translucent overcast sky affects the radiance distribution such that from its maximum (measured close to the solar zenith angle) the radiance is monotonically decreasing towards the horizon. Under cloudless conditions, the radiance distribution becomes less isotropic with the wavelength; we detected spatial variations in the distribution of radiation up to a factor of 5 at 320 nm, and up to a factor of 9 at 400 nm. We also observed that radiances measured at points over the sea are greater than those measured at the corresponding point over the land; we partially attributed this effect to the spatial variations in the albedo. Moreover, we found that the horizon obscuration leads to significant reductions in the radiance at points on the blocked horizon; these reductions range from 60% (at 400 nm) to 80% (at 300 nm). Methodological details are provided below.</t>
  </si>
  <si>
    <t>[Cordero, R. R.; Damiani, A.] Univ Santiago Chile, Santiago, Chile; [Da Silva, L.; Labbe, F.] Univ Tecn Federico Santa Maria, Valparaiso, Chile; [Laroze, D.] Univ Tarapaca, Inst Alta Invest, Arica, Chile; [Laroze, D.] Max Planck Inst, D-55021 Mainz, Germany</t>
  </si>
  <si>
    <t>Universidad de Santiago de Chile; Universidad Tecnica Federico Santa Maria; Universidad de Tarapaca; Max Planck Society</t>
  </si>
  <si>
    <t>Cordero, RR (corresponding author), Univ Santiago Chile, Ave Bernardo Ohiggins 3363, Santiago, Chile.</t>
  </si>
  <si>
    <t>Laroze, David/E-9134-2011; Cordero, Raul R/M-7979-2017; Damiani, Alessandro/X-4677-2019; Laroze, David/Z-2852-2019</t>
  </si>
  <si>
    <t>Laroze, David/0000-0002-6487-8096; Damiani, Alessandro/0000-0003-3014-6193; Laroze, David/0000-0002-6487-8096; Cordero, Raul R./0000-0001-7607-7993</t>
  </si>
  <si>
    <t>CONICYT-DAAD [Preis 257-2010]; CONICYT-BMBF [Preis 236-2010]; CONICYT-ANILLOS [Preis ACT98]; FONDECYT [Preis 1120639, Preis 3110159, Preis 1120764]; Chilean Antarctic Institute (INACH); Millennium Scientific Initiative [P10-061-F]; CEDENNA; UTA-Project [8750-12]; USACH-DICYT; UTFSM-DGIP</t>
  </si>
  <si>
    <t>CONICYT-DAAD(Comision Nacional de Investigacion Cientifica y Tecnologica (CONICYT)Deutscher Akademischer Austausch Dienst (DAAD)); CONICYT-BMBF(Federal Ministry of Education &amp; Research (BMBF)); CONICYT-ANILLOS(Comision Nacional de Investigacion Cientifica y Tecnologica (CONICYT)CONICYT PIA/ANILLOS); FONDECYT(Comision Nacional de Investigacion Cientifica y Tecnologica (CONICYT)CONICYT FONDECYT); Chilean Antarctic Institute (INACH); Millennium Scientific Initiative; CEDENNA; UTA-Project; USACH-DICYT; UTFSM-DGIP</t>
  </si>
  <si>
    <t>The support from CONICYT-DAAD (Preis 257-2010), CONICYT-BMBF (Preis 236-2010), CONICYT-ANILLOS (Preis ACT98), FONDECYT (Preis 1120639, Preis 3110159 and Preis 1120764), the Chilean Antarctic Institute (INACH), the Millennium Scientific Initiative (P10-061-F), CEDENNA, UTA-Project 8750-12, USACH-DICYT and UTFSM-DGIP is gratefully acknowledged.</t>
  </si>
  <si>
    <t>SPRINGERNATURE</t>
  </si>
  <si>
    <t>1474-905X</t>
  </si>
  <si>
    <t>1474-9092</t>
  </si>
  <si>
    <t>PHOTOCH PHOTOBIO SCI</t>
  </si>
  <si>
    <t>Photochem. Photobiol. Sci.</t>
  </si>
  <si>
    <t>10.1039/c3pp25440b</t>
  </si>
  <si>
    <t>Biochemistry &amp; Molecular Biology; Biophysics; Chemistry, Physical</t>
  </si>
  <si>
    <t>Biochemistry &amp; Molecular Biology; Biophysics; Chemistry</t>
  </si>
  <si>
    <t>166MD</t>
  </si>
  <si>
    <t>WOS:000320557800009</t>
  </si>
  <si>
    <t>Tikhonov, VV; Boyarskii, DA; Repina, IA; Raev, MD; Sharkov, EA; Alexeeva, TA</t>
  </si>
  <si>
    <t>Electromagnet Acad</t>
  </si>
  <si>
    <t>Tikhonov, V. V.; Boyarskii, D. A.; Repina, I. A.; Raev, M. D.; Sharkov, E. A.; Alexeeva, T. A.</t>
  </si>
  <si>
    <t>Snow Cover Effect on Brightness Temperature of Arctic Ice Fields Based on SSM/I Data</t>
  </si>
  <si>
    <t>PIERS 2013 STOCKHOLM: PROGRESS IN ELECTROMAGNETICS RESEARCH SYMPOSIUM</t>
  </si>
  <si>
    <t>Progress in Electromagnetics Research Symposium</t>
  </si>
  <si>
    <t>Progress In Electromagnetics Research Symposium</t>
  </si>
  <si>
    <t>AUG 12-15, 2013</t>
  </si>
  <si>
    <t>Stockholm, SWEDEN</t>
  </si>
  <si>
    <t>PERMITTIVITY</t>
  </si>
  <si>
    <t>The presence of snow on the surface of ice considerably influences the radiation characteristics of the water surface - ice cover - snow cover - atmosphere system. This work discusses the effect of snow cover on brightness temperature of Arctic ice fields.</t>
  </si>
  <si>
    <t>[Tikhonov, V. V.; Boyarskii, D. A.; Repina, I. A.; Raev, M. D.; Sharkov, E. A.] Russian Acad Sci, Inst Space Res, Remote Sensing Earth Dept, Moscow V71, Russia; [Repina, I. A.] Russian Acad Sci, AM Obukhov Inst Atmospher Phys, Moscow, Russia; [Alexeeva, T. A.] Arctic &amp; Antarctic Res Inst, Moscow, Russia</t>
  </si>
  <si>
    <t>Russian Academy of Sciences; Russian Academy of Sciences; Obukhov Institute of Atmospheric Physics of Russian Academy of Sciences; Arctic &amp; Antarctic Research Institute</t>
  </si>
  <si>
    <t>Tikhonov, VV (corresponding author), Russian Acad Sci, Inst Space Res, Remote Sensing Earth Dept, Moscow V71, Russia.</t>
  </si>
  <si>
    <t>Alekseeva, Tatiana/M-1972-2019; Repina, Irina A/H-3530-2016; Tikhonov, Vasiliy/R-9093-2017; Boyarskii, Dmitry/S-4386-2018</t>
  </si>
  <si>
    <t>Alekseeva, Tatiana/0000-0002-1575-8784; Tikhonov, Vasiliy/0000-0003-3656-1734; Repina, Irina/0000-0001-7341-0826</t>
  </si>
  <si>
    <t>ELECTROMAGNETICS ACAD</t>
  </si>
  <si>
    <t>777 CONCORD AVENUE, STE 207, CAMBRIDGE, MA 02138 USA</t>
  </si>
  <si>
    <t>1559-9450</t>
  </si>
  <si>
    <t>978-1-934142-26-4</t>
  </si>
  <si>
    <t>PR ELECTROMAGN RES S</t>
  </si>
  <si>
    <t>BD5FO</t>
  </si>
  <si>
    <t>WOS:000361384200107</t>
  </si>
  <si>
    <t>Reed, AJ; Thatje, S; Linse, K</t>
  </si>
  <si>
    <t>Reed, Adam J.; Thatje, Sven; Linse, Katrin</t>
  </si>
  <si>
    <t>An unusual hermaphrodite reproductive trait in the Antarctic brooding bivalve Lissarca miliaris (Philobryidae) from the Scotia Sea, Southern Ocean</t>
  </si>
  <si>
    <t>Antarctica; Invertebrate reproduction; Cold adaption; Hermaphrodite; Early ontogeny</t>
  </si>
  <si>
    <t>POTTER COVE; FUNCTIONAL-MORPHOLOGY; CRYPTIC SPECIATION; LARVAL DEVELOPMENT; ADULT SIZE; MARINE; GROWTH; DISPERSAL; EVOLUTION; GASTROPODS</t>
  </si>
  <si>
    <t>The Antarctic marine environment is extreme in its low temperatures and short periods of primary productivity. Invertebrates must therefore adapt to maximise reproductive output where low temperature and limited food slow larval development. Brooding is a common reproductive trait in Antarctic marine bivalves; larval development occurs within the mantle cavity, and larvae are released as fully developed young. Lissarca miliaris is a small, short-lived, shallow-water brooding bivalve of circum-Antarctic distribution and found most abundant in the sub-Antarctic Magellan Region and islands of the Scotia Arc. Here, an unusual hermaphrodite reproductive trait is described for L. miliaris from King George Island (62A degrees 14'S, 58A degrees 38'W) and Signy Island (60A degrees 42'S, 45A degrees 36'W), Antarctica, using histological and dissection techniques. Specimens demonstrate simultaneous and sequential hermaphrodite traits; male and female gonads develop simultaneously, but the production of oocytes is reduced while testes are ripe. Functional females are more abundant in specimens above 3 mm shell length, although male reproductive tissue persists and functional males are found in all size classes. The number of previtellogenic oocytes produced by far exceeds the number of oocytes extruded and brooded, which may indicate an ancestral link to a planktotrophic past. Hermaphroditism in L. miliaris maximises reproductive efficiency in a short-lived species, in which the female's capacity to brood its young is limited, and demonstrates a specialised adaptation to a cold stenothermal and food-limited environment prevailing in the Southern Ocean.</t>
  </si>
  <si>
    <t>[Reed, Adam J.; Thatje, Sven] Univ Southampton, Natl Oceanog Ctr, Southampton SO14 3ZH, Hants, England; [Linse, Katrin] British Antarctic Survey, Nat Environm Res Council, Cambridge CB3 0ET, England</t>
  </si>
  <si>
    <t>NERC National Oceanography Centre; University of Southampton; UK Research &amp; Innovation (UKRI); Natural Environment Research Council (NERC); NERC British Antarctic Survey</t>
  </si>
  <si>
    <t>Reed, AJ (corresponding author), Univ Southampton, Natl Oceanog Ctr, European Way, Southampton SO14 3ZH, Hants, England.</t>
  </si>
  <si>
    <t>ajr104@soton.ac.uk</t>
  </si>
  <si>
    <t>; Reed, Adam/Q-7276-2017</t>
  </si>
  <si>
    <t>Linse, Katrin/0000-0003-3477-3047; Reed, Adam/0000-0003-2200-5067</t>
  </si>
  <si>
    <t>NERC; NERC [bas0100026] Funding Source: UKRI; Natural Environment Research Council [bas0100026] Funding Source: researchfish</t>
  </si>
  <si>
    <t>Adam J. Reed was supported through an NERC PhD studentship. Thanks are due to captain and crew of R/V Polarstern for assistance at sea, Prof. Paul Tyler for helpful discussion and interpretation of the results and Huw Griffiths for help with maps. The authors would also like to thank the three anonymous reviewers for helping to improve this manuscript. This study is part of the British Antarctic Survey Polar Science for Planet Earth Programme.</t>
  </si>
  <si>
    <t>10.1007/s00300-012-1233-0</t>
  </si>
  <si>
    <t>WOS:000312729700001</t>
  </si>
  <si>
    <t>Martín-Ledo, R; Sands, CJ; López-González, PJ</t>
  </si>
  <si>
    <t>Martin-Ledo, Rafael; Sands, Chester J.; Lopez-Gonzalez, Pablo J.</t>
  </si>
  <si>
    <t>A new brooding species of brittle star (Echinodermata: Ophiuroidea) from Antarctic waters</t>
  </si>
  <si>
    <t>Antarctica; Shag Rocks; South Georgia Islands; Ophiacantha; Brooding; New species</t>
  </si>
  <si>
    <t>AMPHIPHOLIS-SQUAMATA ECHINODERMATA; MAXIMUM-LIKELIHOOD; INFERENCE; MRBAYES</t>
  </si>
  <si>
    <t>A new brittle star attributable to the genus Ophiacantha is described from Antarctic waters, in the diffuse limits of the Antarctic Polar Front at Shag Rocks, South Georgia. The new species can be differentiated from its Southern Ocean congeners by the striations on the arm plates. Several adult individuals were observed brooding their juveniles, as the arms of the juveniles were seen emerging from the genital slits of the parent. The present paper reports this discovery, providing a description and illustrations of Ophiacantha wolfarntzi n. sp., a comparison of the species with its closest congeners and an identification key for Ophiacantha species reported from sub-Antarctic and Antarctic waters.</t>
  </si>
  <si>
    <t>[Martin-Ledo, Rafael] Univ Extremadura, Area Zool, Fac Ciencias, Badajoz, Spain; [Sands, Chester J.] British Antarctic Survey, Nat Environm Res Council, Cambridge CB3 0ET, England; [Lopez-Gonzalez, Pablo J.] Univ Seville, Fac Biol, Dept Zool, Seville, Spain</t>
  </si>
  <si>
    <t>Universidad de Extremadura; UK Research &amp; Innovation (UKRI); Natural Environment Research Council (NERC); NERC British Antarctic Survey; University of Sevilla</t>
  </si>
  <si>
    <t>Martín-Ledo, R (corresponding author), Univ Extremadura, Area Zool, Fac Ciencias, Badajoz, Spain.</t>
  </si>
  <si>
    <t>rmartinledo@gmail.com; cjsan@bas.ac.uk; pjlopez@us.es</t>
  </si>
  <si>
    <t>Lopez-González, Pablo J./Y-6440-2018</t>
  </si>
  <si>
    <t>Lopez-González, Pablo J./0000-0002-7348-6270; Sands, Chester/0000-0003-1028-0328</t>
  </si>
  <si>
    <t>SynTax grant; Antarctic Science bursary; NERC [bas0100025] Funding Source: UKRI; Natural Environment Research Council [bas0100025] Funding Source: researchfish</t>
  </si>
  <si>
    <t>SynTax grant; Antarctic Science bursary; NERC(UK Research &amp; Innovation (UKRI)Natural Environment Research Council (NERC)); Natural Environment Research Council(UK Research &amp; Innovation (UKRI)Natural Environment Research Council (NERC))</t>
  </si>
  <si>
    <t>The authors would like to thank the officers and the crew of the RRS James Clark Ross (JRR144 cruise) and RV Polarstern (ANT XXVII/3 cruise) for their support and help. Special thanks to many colleagues on board and cruise leaders Katrin Linse (James Cark Ross) and Rainer Knust (Polarstern) for facilitating the work at sea. Thanks to Rachel Downey (BAS) for sorting and sampling specimens, Huw Griffiths (BAS) for data support, Dirk Steinke (University of Guelph) for providing the Barcoding service and Magdalena Biszczuk (BAS) for assistance with map figures. Thanks also for the assistance of Andrew Cabrinovic of the Natural History Museum, London for providing his time and resources to examine specimens. We are grateful to Sabine Stohr and Timothy O'Hara and an anonymous reviewer for their constructive comments, which helped to improve the manuscript. Special thanks to Elena Zaikina for providing assistance to RML and CJS. This study was partially supported by a SynTax grant and Antarctic Science bursary to CJS.</t>
  </si>
  <si>
    <t>10.1007/s00300-012-1242-z</t>
  </si>
  <si>
    <t>WOS:000312729700009</t>
  </si>
  <si>
    <t>Stampone, MD; Geiger, CA; Deliberty, TL; Bernstein, ER</t>
  </si>
  <si>
    <t>Stampone, Mary; Geiger, Cathleen; Deliberty, Tracy; Bernstein, E.</t>
  </si>
  <si>
    <t>Data-derived spatial-resolution errors of Antarctic sea-ice thickness</t>
  </si>
  <si>
    <t>POLAR GEOGRAPHY</t>
  </si>
  <si>
    <t>POLAR MM5 SIMULATIONS; CLIMATE; TRENDS; WINTER; MODEL</t>
  </si>
  <si>
    <t>Uncertainties due to spatial resolution (E-R) of gridded sea-ice thickness (z) distributions remain largely unquantified. We address this issue using remotely sensed and in situ observations of the Southern Ocean (south of -60 degrees) to determine appropriate data sources based on length scales for continental-scale sea-ice studies. Sea-ice thickness is not normally distributed such that the mean, median, and mode are distinct from each other. Averaging only retains the mean value, reducing bias and natural variability as z is aggregated to coarse resolutions. The rate of smoothing as a function of resolution influences the sea-ice thickness distribution represented by each product. Analysis of E-R for 1 degrees through 5 degrees resolutions shows absolute E-R increasing with grid-cell size and seaice extent in both datasets. The absolute E-R for gridded thickness distribution ranges from 0.02 to 0.40 m at 1 degrees and from 0.03 to 0.78 m at 5 degrees. The E-R value and slope (m) is lower (E-R &lt;= 0.20 m, m &lt; 0.05) for ice charts than the ship dataset (0.10 m &lt; E-R &lt; 0.80 m, m &lt; 0.17) with relative E-R between datasets remaining consistent. From these results, recommendations for dataset use and future seaice observation frequency and distribution schemes are discussed.</t>
  </si>
  <si>
    <t>[Stampone, Mary] Univ New Hampshire, Dept Geog, 102 Huddleston Hall,73 Main St, Durham, NH 03824 USA; [Geiger, Cathleen; Deliberty, Tracy; Bernstein, E.] Univ Delaware, Dept Geog, Newark, DE 19716 USA</t>
  </si>
  <si>
    <t>University System Of New Hampshire; University of New Hampshire; University of Delaware</t>
  </si>
  <si>
    <t>Stampone, MD (corresponding author), Univ New Hampshire, Dept Geog, 102 Huddleston Hall,73 Main St, Durham, NH 03824 USA.</t>
  </si>
  <si>
    <t>mary.stampone@unh.edu</t>
  </si>
  <si>
    <t>National Science Foundation [OPP0088040]; TLD [ANT-073682, ANT-0736030]; National Oceanic and Atmospheric Administration/National Ice Center [DG133E-03-SE-1055, DG133E-02SE-0699]; Delaware Space Grant Fellowship Program under NASA [NGT5-40024, NNX10AN63H]</t>
  </si>
  <si>
    <t>National Science Foundation(National Science Foundation (NSF)); TLD; National Oceanic and Atmospheric Administration/National Ice Center; Delaware Space Grant Fellowship Program under NASA</t>
  </si>
  <si>
    <t>This work was supported by the National Science Foundation under grants OPP0088040 to CAG and TLD, ANT-073682 and ANT-0736030 to CAG. Funding for digital ice chart analysis was provided by the National Oceanic and Atmospheric Administration/National Ice Center grants DG133E-03-SE-1055 and DG133E-02SE-0699 to CAG and TLD. Additional support was provided by the Delaware Space Grant Fellowship Program under NASA grant NGT5-40024 to MDS and NNX10AN63H to ERB. We thank members of the Scientific Committee on Antarctic Research (SCAR) for assistance in obtaining ship observations and the National Ice Center (NIC) for access to operational sea-ice charts.</t>
  </si>
  <si>
    <t>1088-937X</t>
  </si>
  <si>
    <t>1939-0513</t>
  </si>
  <si>
    <t>POLAR GEOGR</t>
  </si>
  <si>
    <t>Polar Geogr.</t>
  </si>
  <si>
    <t>10.1080/1088937X.2012.691120</t>
  </si>
  <si>
    <t>Geography, Physical</t>
  </si>
  <si>
    <t>Physical Geography</t>
  </si>
  <si>
    <t>V64PQ</t>
  </si>
  <si>
    <t>WOS:000211113300003</t>
  </si>
  <si>
    <t>Murthy, DN; Veeraswamy, K; Harinarayana, T; Singh, UK; Santosh, M</t>
  </si>
  <si>
    <t>Murthy, D. N.; Veeraswamy, K.; Harinarayana, T.; Singh, U. K.; Santosh, M.</t>
  </si>
  <si>
    <t>Electrical structure beneath Schirmacher Oasis, East Antarctica: a magnetotelluric study</t>
  </si>
  <si>
    <t>Magnetotellurics; Schirmacher Oasis crustal structure; East Antarctica; Mozambique Belt; electrical conductivity</t>
  </si>
  <si>
    <t>DRONNING-MAUD LAND; GRENVILLE-AGE METAMORPHISM; AFRICAN OROGEN; CRUSTAL; SUPERCONTINENT; CONDUCTIVITY; CONSTRAINTS; AUSTRALIA; LAURENTIA; BREAKUP</t>
  </si>
  <si>
    <t>Maitri Station (70.76 degrees S; 11.73 degrees E) is located in Schirmacher Oasis, a coastal nunatak in north-central Dronning Maud Land covering an area of 35 km(2). Here, we report results from the first magnetotelluric experiments and delineate the deep electrical conductivity structure under Schirmacher Oasis using the data acquired during the 24th Indian Antarctic Scientific Expedition. The magnetotelluric method has the advantage of shallow to deeper level coverage as the data acquisition covers a wide frequency band of 10(-3)-10(3) Hz, permitting different penetration depths depending on the frequency and conductivity of the layer under investigation. The modelling results indicate the presence of a highly resistive (8000-10 000 ohm m) upper crust, which shows a lateral variation in thickness from 20 km (below site 6) in the east to 10 km (between sites 1 and 2) in the west. It is underlain by a less resistive (500-600 ohm m) lower crust. The highly resistive upper crustal structure supports the existing notion that western Dronning Maud Land is a stable, cratonic platform. Results of free-air gravity, seismic, geomagnetic and surface wave dispersion investigations in East Antarctica also indicate a cratonic-type crust. The results of our study allow us to identify a westward thinning of the upper crust with a marked boundary between sites 1 and 2. We also find evidence for the continuity of the Mozambique mobile belt in East Antarctica on the western side of Schirmacher Oasis.</t>
  </si>
  <si>
    <t>[Murthy, D. N.; Veeraswamy, K.; Harinarayana, T.] CSIR, Natl Geophys Res Inst, Hyderabad 500007, Andhra Pradesh, India; [Harinarayana, T.] Gujarat Energy Res &amp; Management Inst, Raisan Village 382007, Gandhinagar, India; [Singh, U. K.] Indian Sch Mines, Dept Appl Geophys, Dhanbad 826004, Bihar, India; [Santosh, M.] China Univ Geosci, Sch Earth Sci &amp; Resources, Beijing 100083, Peoples R China</t>
  </si>
  <si>
    <t>Council of Scientific &amp; Industrial Research (CSIR) - India; CSIR - National Geophysical Research Institute (NGRI); Indian Institute of Technology System (IIT System); Indian Institute of Technology (Indian School of Mines) Dhanbad; China University of Geosciences</t>
  </si>
  <si>
    <t>Murthy, DN (corresponding author), CSIR, Natl Geophys Res Inst, Uppal Rd, Hyderabad 500007, Andhra Pradesh, India.</t>
  </si>
  <si>
    <t>murthy_dnm@yahoo.com</t>
  </si>
  <si>
    <t>Singh, Upendra K/AAF-9442-2021; Santosh, M/B-2563-2012; TIURMALACHETTY, HARINARAYANA/AAQ-1626-2021</t>
  </si>
  <si>
    <t>Santosh, M/0000-0002-1073-8477;</t>
  </si>
  <si>
    <t>grant INDEX [PSC0204]; Indian Council of Science and Industrial Research</t>
  </si>
  <si>
    <t>grant INDEX; Indian Council of Science and Industrial Research</t>
  </si>
  <si>
    <t>MT investigations in Schirmacher Oasis of Antarctica have been possible due to the keen interest and encouragement from the director of the National Geophysical Research Institute, Hyderabad. The authors are grateful to Dr Harsh K. Gupta, the then Secretary, Department of Ocean Development, and Sri Kapil Sibal, the then Minister for Science and Technology, for the encouragement given to us during their visit to Antarctica in January 2005. Thanks are due to the team leader and other members of the 24th Indian Antarctic Expedition for providing full logistic support. MT sites at far off places would have been only a dream but for the unstinted support from the expedition's helicopter services. The authors are very much thankful to the three anonymous reviewers for their constructive suggestions which have helped improve this article. This study has been partly supported by a grant entitled INDEX (PSC0204) funded by the Indian Council of Science and Industrial Research.</t>
  </si>
  <si>
    <t>10.3402/polar.v32i0.17309</t>
  </si>
  <si>
    <t>259QG</t>
  </si>
  <si>
    <t>WOS:000327540800001</t>
  </si>
  <si>
    <t>Victoria, FD; de Albuquerque, MP; Pereira, AB; Simas, FNB; Spielmann, AA; Schaefer, CEGR</t>
  </si>
  <si>
    <t>Victoria, Filipe de C.; de Albuquerque, Margeli P.; Pereira, Antonio B.; Simas, Felipe N. B.; Spielmann, Adriano A.; Schaefer, Carlos E. G. R.</t>
  </si>
  <si>
    <t>Characterization and mapping of plant communities at Hennequin Point, King George Island, Antarctica</t>
  </si>
  <si>
    <t>Plant communities mapping; lichens; mosses; flowering plants; Antarctic</t>
  </si>
  <si>
    <t>MARITIME ANTARCTICA; ADMIRALTY BAY; CRYOSOLS</t>
  </si>
  <si>
    <t>King George Island is the largest island and the principal area used for research bases in Antarctica. Argentina, Brazil, Chile, China, Poland, Russia, South Korea and Uruguay have permanent open bases on this island. Other countries have seasonal summer stations on different parts of this island, which demonstrates that human impact is strong on King George Island relative to other areas in the maritime and continental Antarctica. The objective of this work was to present a phytosociological approach for ice-free areas of Hennequin Point, eastern coast of Admiralty Bay, King George Island. The study started with the classification and description of the plant communities based primarily on phytosociological and biodiversity data. The area was mapped using an Astech Promark II (R) DGPS, yielding sub-metric precision after post-processing with software. The plant communities were described as follows: (1) lichen and moss cushion formation; (2) moss carpet formation; (3) fellfield formation; (4) grass and cushion chamaephyte formation; and (5) Deschampsia Antarctica-lichen formation. Characterizations and distributions of the plant communities are presented on a map at a scale of 1:5000. The plant communities found at Hennequin Point, in general, differ from those found in other areas of the Admiralty Bay region, probably because of the concentration of skua nests in the area and the relief singularities. We conclude by highlighting the importance of the study of plant species found in the ice-free areas of the Antarctic with respect to environmental monitoring and for evaluating global climate and environmental changes.</t>
  </si>
  <si>
    <t>[Victoria, Filipe de C.; de Albuquerque, Margeli P.; Pereira, Antonio B.] Fed Univ Pampa, Natl Inst Antarctic Sci &amp; Technol Environm Res, BR-97300 Sao Gabriel, RS, Brazil; [Simas, Felipe N. B.; Schaefer, Carlos E. G. R.] Univ Fed Vicosa, Soil Dept, BR-36570 Vicosa, MG, Brazil; [Spielmann, Adriano A.] Univ Fed Mato Grosso do Sul, Dept Biol, Bot Lab, BR-79070 Cuiaba, MS, Brazil</t>
  </si>
  <si>
    <t>Universidade Federal do Pampa; Universidade Federal de Vicosa; Universidade Federal de Mato Grosso do Sul</t>
  </si>
  <si>
    <t>Victoria, FD (corresponding author), Fed Univ Pampa, Antarctic Plant Studies Core, Antonio Trilha Ave 1847, BR-97300 Sao Gabriel, RS, Brazil.</t>
  </si>
  <si>
    <t>filipevictoria@unipampa.edu.br</t>
  </si>
  <si>
    <t>Victoria, Filipe C/E-1890-2012; Pereira, Antonio B/I-8201-2014; Schaefer, Carlos Ernesto/AAY-4977-2020; Spielmann, Adriano A/J-8176-2015; Pereira, Antonio/AAD-5703-2019; Victoria, Filipe/F-6066-2013</t>
  </si>
  <si>
    <t>Pereira, Antonio B/0000-0003-0368-4594; Victoria, Filipe/0000-0002-8580-1813; Ernesto Goncalves Reynaud Schaefer, Carlos/0000-0001-7060-1598; Ernesto Goncalves Reynaud Schaefer, Carlos/0000-0001-5735-3227</t>
  </si>
  <si>
    <t>National Council for Research and Development (CNPq) [574018/2008]; Research Foundation of the State of Rio de Janeiro (FAPERJ) [E-26/170.023/2008]; Ministry of the Environment (MMA); Ministry of Science and Technology (MCT); Interministerial Commission for Sea Resources (CIRM)</t>
  </si>
  <si>
    <t>National Council for Research and Development (CNPq)(Conselho Nacional de Desenvolvimento Cientifico e Tecnologico (CNPQ)); Research Foundation of the State of Rio de Janeiro (FAPERJ)(Fundacao Carlos Chagas Filho de Amparo a Pesquisa do Estado do Rio De Janeiro (FAPERJ)); Ministry of the Environment (MMA); Ministry of Science and Technology (MCT); Interministerial Commission for Sea Resources (CIRM)</t>
  </si>
  <si>
    <t>This work was supported by the Brazilian Antarctic Program through the National Council for Research and Development (CNPq; process no. 574018/2008), the Research Foundation of the State of Rio de Janeiro (FAPERJ; process E-26/170.023/2008), the Ministry of the Environment (MMA), the Ministry of Science and Technology (MCT) and the Interministerial Commission for Sea Resources (CIRM), where the authors appreciate the financial and logistic support that was needed to fulfil this work.</t>
  </si>
  <si>
    <t>10.3402/polar.v32i0.19261</t>
  </si>
  <si>
    <t>197YE</t>
  </si>
  <si>
    <t>WOS:000322887900001</t>
  </si>
  <si>
    <t>Ali, SH; Alias, SA; Siang, HY; Smykla, J; Pang, KL; Guo, SY; Convey, P</t>
  </si>
  <si>
    <t>Ali, Siti Hafizah; Alias, Siti Aisyah; Siang, Hii Yii; Smykla, Jerzy; Pang, Ka-Lai; Guo, Sheng-Yu; Convey, Peter</t>
  </si>
  <si>
    <t>Studies on diversity of soil microfungi in the Hornsund area, Spitsbergen</t>
  </si>
  <si>
    <t>Arctic; Svalbard; soil microbiology; microfungi.</t>
  </si>
  <si>
    <t>COMMUNITY STRUCTURE; FUNGI; MICROORGANISMS; NITROGEN; ADAPTATION; ASCOMYCETE; SVALBARD; REGION; PLANTS; LAND</t>
  </si>
  <si>
    <t>We assessed culturable soil microfungal diversity in various habitats around Hornsund, Spitsbergen in the High Arctic, using potato dextrose agar (PDA) medium. Thermal growth classification of the fungi obtained was determined by incubating them in 4 degrees C and 25 degrees C, permitting separation of those with psychrophilic, psychrotolerant and mesophilic characteristics. In total, 68 fungal isolates were obtained from 12 soil samples, and grouped into 38 mycelial morphotypes. Intergenic spacer regions of these morphotypes were sequenced, and they represented 25 distinct taxonomic units, of which 21 showed sufficient similarity with available sequence data in NCBI to be identified to species level. Soil under ornithogenic influence showed the highest species diversity, including sequences assigned to Mortierella macrocystis, M. elongata, Mortierella sp., Cudoniella sp., Varicosporium elodeae, Beauveria bassiana, Geomyces pannorum, Penicillium sp. and Atradidymella muscivora. Fourteen taxa were classified as psychrophilic, seven mesophilic, and four psychrotolerant.</t>
  </si>
  <si>
    <t>[Ali, Siti Hafizah; Alias, Siti Aisyah] Univ Malaya, Fac Sci, Inst Biol Sci, Kuala Lumpur 50603, Malaysia; [Ali, Siti Hafizah; Alias, Siti Aisyah; Convey, Peter] Univ Malaya, Natl Antarctic Res Ctr, Kuala Lumpur 50603, Malaysia; [Siang, Hii Yii] Univ Malaysia Terengganu, Inst Oceanog &amp; Environm, Kuala Terengganu 21030, Terengganu, Malaysia; [Smykla, Jerzy] Inst Ochrony Przyrody PAN, Zaklad Bioroznorodnosci, PL-31120 Krakow, Poland; [Pang, Ka-Lai; Guo, Sheng-Yu] Natl Taiwan Ocean Univ, Inst Marine Biol, Keelung 20224, Taiwan; [Pang, Ka-Lai; Guo, Sheng-Yu] Natl Taiwan Ocean Univ, Ctr Excellence Marine Bioenvironm &amp; Biotechnol, Keelung 20224, Taiwan; [Convey, Peter] British Antarctic Survey, Cambridge CB3 0ET, England</t>
  </si>
  <si>
    <t>Universiti Malaya; Universiti Malaya; Universiti Malaysia Terengganu; Polish Academy of Sciences; Institute of Nature Conservation - Polish Academy of Sciences; National Taiwan Ocean University; National Taiwan Ocean University; UK Research &amp; Innovation (UKRI); Natural Environment Research Council (NERC); NERC British Antarctic Survey</t>
  </si>
  <si>
    <t>Alias, SA (corresponding author), Univ Malaya, Fac Sci, Inst Biol Sci, Kuala Lumpur 50603, Malaysia.</t>
  </si>
  <si>
    <t>saa@um.edu.my</t>
  </si>
  <si>
    <t>FASc, SITI AISYAH A. HJ ALIAS/B-9785-2010; Pang, Ka-Lai/ABF-8500-2020; Convey, Peter/AAV-5728-2020; Guo, Sheng-Yu/AAZ-2685-2021; Smykla, Jerzy/N-3288-2014</t>
  </si>
  <si>
    <t>FASc, SITI AISYAH A. HJ ALIAS/0000-0002-6759-5745; Pang, Ka-Lai/0000-0003-4403-925X; Convey, Peter/0000-0001-8497-9903; Smykla, Jerzy/0000-0001-8228-6695</t>
  </si>
  <si>
    <t>Polish Ministry of Science and Higher Education [NN305376438]; Malaysia Antarctica Research Program (MARP); University of Malaya (UM) [A-55001-DA000-B21520]; Natural Environment Research Council [bas0100025] Funding Source: researchfish; NERC [bas0100025] Funding Source: UKRI</t>
  </si>
  <si>
    <t>Polish Ministry of Science and Higher Education(Ministry of Science and Higher Education, Poland); Malaysia Antarctica Research Program (MARP); University of Malaya (UM)(Universiti Malaya); Natural Environment Research Council(UK Research &amp; Innovation (UKRI)Natural Environment Research Council (NERC)); NERC(UK Research &amp; Innovation (UKRI)Natural Environment Research Council (NERC))</t>
  </si>
  <si>
    <t>We thank the Department of Polar Research, Institute of Geophysics of the Polish Academy of Sciences for providing logistical support during the fieldwork, and the team at the Polish Polar Station in Hornsund for their hospitality and assistance. Funding for this work was provided by the Polish Ministry of Science and Higher Education (within the program Supporting International Mobility of Scientists edition III, project no. 2 and grant no. NN305376438 to JS), the Malaysia Antarctica Research Program (MARP) and University of Malaya (UM) (OCAR TNC (P&amp;I) 2011 Account No. (A-55001-DA000-B21520). We also thank two anonymous referees for helpful comments.</t>
  </si>
  <si>
    <t>10.2478/popore-2013-0006</t>
  </si>
  <si>
    <t>WOS:000316170800003</t>
  </si>
  <si>
    <t>Mieczan, T; Górniak, D; Swiatecki, A; Zdanowski, M; Tarkowska-Kukuryk, M; Adamczuk, M</t>
  </si>
  <si>
    <t>Mieczan, Tomasz; Gorniak, Dorota; Swiatecki, Aleksander; Zdanowski, Marek; Tarkowska-Kukuryk, Monika; Adamczuk, Malgorzata</t>
  </si>
  <si>
    <t>Vertical microzonation of ciliates in cryoconite holes in Ecology Glacier, King George Island</t>
  </si>
  <si>
    <t>Antarctic; cryoconite holes; protozoa; biodiversity</t>
  </si>
  <si>
    <t>PROTOZOA; LAKES; COMMUNITIES; ANTARCTICA; CILIOPHORA</t>
  </si>
  <si>
    <t>There are hardly any data concerning the vertical micro-distribution of protozoa in water column in cryoconite holes on the glacier surface. Such comparisons can provide insights into the ecology of protozoa. The present research was made on Ecology Glacier (South Shetland Islands, Antarctic); vertical microzonation of ciliates in relation to physical and chemical parameters in cryoconite holes was studied. The density and biomass of protozoans significantly differed between the studied stations (cryoconite holes), with the lowest numbers in the surface water and the highest in the bottom water. The surface waters were dominated by mixotrophic and omnivorous taxa, whereas the deepest sampling level has shown the increase of the proportion of bacterivore species. Ordination analysis indicated that TN and P-PO4 can strongly regulate the abundance and species composition of protozoa. The redundancy analyses (RDA) showed that the ciliate communities can be separated into two groups. The first group included species associated with surface water: Halteria grandinella and Codonella sp. The second group included species that are associated with bottom water: Prorodon sp., Holosticha pullaster, Stylonychia mytilus-complex and small scuticociliates.</t>
  </si>
  <si>
    <t>[Mieczan, Tomasz; Tarkowska-Kukuryk, Monika; Adamczuk, Malgorzata] Uniwersytet Przyrodniczy, Katedra Hydrobiol, PL-20262 Lublin, Poland; [Gorniak, Dorota; Swiatecki, Aleksander] Uniwersytet Warminsko Mazurski, Katedra Mikrobiol, PL-10719 Olsztyn, Poland; [Zdanowski, Marek] Polish Acad Sci, Inst Biochem &amp; Biofizyki, Zaklad Biol Antarktyki, PL-02141 Warsaw, Poland</t>
  </si>
  <si>
    <t>Polish Academy of Sciences; Institute of Biochemistry &amp; Biophysics - Polish Academy of Sciences</t>
  </si>
  <si>
    <t>Mieczan, T (corresponding author), Uniwersytet Przyrodniczy, Katedra Hydrobiol, Ul Dobrzanskiego 37, PL-20262 Lublin, Poland.</t>
  </si>
  <si>
    <t>tomasz.mieczan@up.lublin.pl; gorniak@uwm.edu.pl; mzdanowski@arctowski.pl</t>
  </si>
  <si>
    <t>Adamczuk, Malgorzata/0000-0003-3599-2006; Swiatecki, Aleksander/0000-0002-5219-7795; Gorniak, Dorota/0000-0001-6567-1057; Mieczan, Tomasz/0000-0003-2839-1798; Tarkowska-Kukuryk, Monika/0000-0001-5328-6944</t>
  </si>
  <si>
    <t>10.2478/popore-2013-0008</t>
  </si>
  <si>
    <t>WOS:000320635500005</t>
  </si>
  <si>
    <t>Kejna, M; Arazny, A; Sobota, I</t>
  </si>
  <si>
    <t>Kejna, Marek; Arazny, Andrzej; Sobota, Ireneusz</t>
  </si>
  <si>
    <t>Climatic change on King George Island in the years 1948-2011</t>
  </si>
  <si>
    <t>Antarctic; South Shetland Islands; climate; air temperature; air pressure; precipitation; sea surface temperature; sea-ice</t>
  </si>
  <si>
    <t>WESTERN ANTARCTIC PENINSULA; SEA-ICE; ATMOSPHERIC CIRCULATION; SURFACE-TEMPERATURE; BELLINGSHAUSEN SEAS; AIR-TEMPERATURE; VARIABILITY; OSCILLATION; ANOMALIES; AMUNDSEN</t>
  </si>
  <si>
    <t>The climatic change on King George Island (KGI) in the South Shetland Islands, Antarctica, in the years of 1948-2011 are presented. In the reference period, a statistically significant increase in the air temperature (0.19 degrees C/10 years, 1.2 degrees C in the analysed period) occurred along with a decrease in atmospheric pressure (-0.36 hPa/10 years, 2.3 hPa). In wintertime, the warming up is more than twice as large as in summer. This leads to decrease in the amplitude of the annual cycle of air temperature. On KGI, there is also a warming trend of daily maximum and daily minimum air temperature. The evidently faster increase in daily minimum results in a decrease of the diurnal temperature range. The largest changes of air pressure took place in the summertime (-0.58 hPa/10 years) and winter (-0.34 hPa/10 years). The Semiannual Oscillation pattern of air pressure was disturbed. Climate changes on KGI are correlated with changing surface temperatures of the ocean and the concentration of sea ice. The precipitation on KGI is characterised by substantial variability year to year. In the analysed period, no statistically significant trend in atmospheric precipitation can be observed. The climate change on KGI results in substantial and rapid changes in the environment, which poses a great threat to the local ecosystem.</t>
  </si>
  <si>
    <t>[Kejna, Marek; Arazny, Andrzej] Uniwersytet Mikolaja Kopernika, Wydzial Nauk Ziemi, Katedra Klimatol, PL-87100 Torun, Poland; [Sobota, Ireneusz] Uniwersytet Mikolaja Kopernika, Wydzial Nauk Ziemi, Katedra Hydrol &amp; Gospodarki Wodnej, PL-87100 Torun, Poland</t>
  </si>
  <si>
    <t>Nicolaus Copernicus University; Nicolaus Copernicus University</t>
  </si>
  <si>
    <t>Kejna, M (corresponding author), Uniwersytet Mikolaja Kopernika, Wydzial Nauk Ziemi, Katedra Klimatol, Ul Lwowska 1, PL-87100 Torun, Poland.</t>
  </si>
  <si>
    <t>marek.kejna@umk.pl; andy@umk.pl; irso@umk.pl</t>
  </si>
  <si>
    <t>Sobota, Ireneusz/L-7768-2013; Sobota, Ireneusz/JCO-3029-2023; Arazny, Andrzej/J-8542-2014</t>
  </si>
  <si>
    <t>Sobota, Ireneusz/0000-0001-5983-7049; Kejna, Marek/0000-0003-4815-9312; Arazny, Andrzej/0000-0002-4277-9599</t>
  </si>
  <si>
    <t>National Science Centre [NN 306722540]</t>
  </si>
  <si>
    <t>National Science Centre(National Science Centre, Poland)</t>
  </si>
  <si>
    <t>This research was founded by the National Science Centre: grant NN 306722540 Climatological and glaciological interactions in the global warming conditions. Study on the SSSI No 8 (King George Island, West Antarctic). The constructive comments made by John C. King and another anonymous reviewer substantially improved the manuscript.</t>
  </si>
  <si>
    <t>10.2478/popore-2013-0004</t>
  </si>
  <si>
    <t>WOS:000320635500006</t>
  </si>
  <si>
    <t>Tropeano, M; Vázquez, S; Coria, S; Turjanski, A; Cicero, D; Bercovich, A; Mac Cormack, W</t>
  </si>
  <si>
    <t>Tropeano, Mauro; Vazquez, Susana; Coria, Silvia; Turjanski, Adrian; Cicero, Daniel; Bercovich, Andres; Mac Cormack, Walter</t>
  </si>
  <si>
    <t>Extracellular hydrolytic enzyme production by proteolytic bacteria from the Antarctic</t>
  </si>
  <si>
    <t>Antarctic; marine bacteria; cold enzymes; psychrophiles</t>
  </si>
  <si>
    <t>DEEP-SEA; ORGANIC-MATTER; COLD; SEDIMENTS; PROTEASES; DIVERSITY; XYLANASE; STRAINS; CLONING</t>
  </si>
  <si>
    <t>Cold-adapted marine bacteria producing extracellular hydrolytic enzymes are important for their industrial application and play a key role in degradation of particulate organic matter in their natural environment. In this work, members of a previously-obtained protease-producing bacterial collection isolated from different marine sources from Potter Cove (King George Island, South Shetlands) were taxonomically identified and screened for their ability to produce other economically relevant enzymes. Eighty-eight proteolytic bacterial isolates were grouped into 25 phylotypes based on their Amplified Ribosomal DNA Restriction Analysis profiles. The sequencing of the 16S rRNA genes from representative isolates of the phylotypes showed that the predominant culturable protease-producing bacteria belonged to the class Gammaproteobacteria and were affiliated to the genera Pseudomonas, Shewanella, Colwellia, and Pseudoalteromonas, the latter being the predominant group (64% of isolates). In addition, members of the classes Actinobacteria, Bacilli and Flavobacteria were found. Among the 88 isolates screened we detected producers of amylases (21), pectinases (67), cellulases (53), CM-cellulases (68), xylanases (55) and agarases (57). More than 85% of the isolates showed at least one of the extracellular enzymatic activities tested, with some of them producing up to six extracellular enzymes. Our results confirmed that using selective conditions to isolate producers of one extracellular enzyme activity increases the probability of recovering bacteria that will also produce additional extracellular enzymes. This finding establishes a starting point for future programs oriented to the prospecting for biomolecules in Antarctica.</t>
  </si>
  <si>
    <t>[Tropeano, Mauro; Bercovich, Andres] Biosidus SA, RA-1232 Buenos Aires, DF, Argentina; [Vazquez, Susana; Mac Cormack, Walter] Univ Buenos Aires, Fac Farm &amp; Bioquim, Catedra Microbiol Ind &amp; Biotecnol, RA-1113 Buenos Aires, DF, Argentina; [Vazquez, Susana] Consejo Nacl Invest Cient &amp; Tecn, RA-1033 Buenos Aires, DF, Argentina; [Coria, Silvia; Mac Cormack, Walter] Inst Antartico Argentino, RA-1026 Buenos Aires, DF, Argentina; [Turjanski, Adrian] Univ Buenos Aires, Fac Ciencias Exactas &amp; Nat, Dept Quim Inorgan Analit &amp; Quim Fis, INQUIMAE CONICET, RA-1428 Buenos Aires, DF, Argentina; [Turjanski, Adrian] Univ Buenos Aires, Fac Ciencias Exactas &amp; Nat, Dept Quim Biol, RA-1428 Buenos Aires, DF, Argentina; [Cicero, Daniel] Fdn Inst Leloir, RA-1405 Buenos Aires, DF, Argentina; [Cicero, Daniel] Univ Roma Tor Vergata, Dept Chem Sci &amp; Technol, I-00133 Rome, Italy</t>
  </si>
  <si>
    <t>University of Buenos Aires; Consejo Nacional de Investigaciones Cientificas y Tecnicas (CONICET); Instituto Antartico Argentino; University of Buenos Aires; Consejo Nacional de Investigaciones Cientificas y Tecnicas (CONICET); University of Buenos Aires; Leloir Institute; University of Rome Tor Vergata</t>
  </si>
  <si>
    <t>Vázquez, S (corresponding author), Univ Buenos Aires, Fac Farm &amp; Bioquim, Catedra Microbiol Ind &amp; Biotecnol, Junin 956, RA-1113 Buenos Aires, DF, Argentina.</t>
  </si>
  <si>
    <t>Vazquez, Susana/AEP-5214-2022; Cicero, Daniel/AAV-5203-2021</t>
  </si>
  <si>
    <t>Vazquez, Susana/0000-0002-0760-6254; Turjanski, Adrian/0000-0003-2190-137X; Mac Cormack, Walter/0000-0002-5280-5463</t>
  </si>
  <si>
    <t>Universidad de Buenos Aires [UBACyT 001, UBACyT 20020100100378]; PICTO [35778]; PID from the Agencia Nacional de Promocion de la Ciencia y la Tecnologia [0006]</t>
  </si>
  <si>
    <t>Universidad de Buenos Aires(University of Buenos Aires); PICTO; PID from the Agencia Nacional de Promocion de la Ciencia y la Tecnologia(ANPCyT)</t>
  </si>
  <si>
    <t>The authors thank Carlini Station's crew for the logistic support during sampling and bacterial isolation. This project was carried out under the frame of the Genoma Blanco project, subscribed between the Direccion Nacional del Antartico and Biosidus S. A. and was also supported in part by grants UBACyT 001 and UBACyT 20020100100378 from Universidad de Buenos Aires and PICTO No 35778 and PID-2010 No 0006 from the Agencia Nacional de Promocion de la Ciencia y la Tecnologia.</t>
  </si>
  <si>
    <t>10.2478/popore-2013-0014</t>
  </si>
  <si>
    <t>WOS:000325316600002</t>
  </si>
  <si>
    <t>Thomas, RJ; Roberts, NMW; Jacobs, J; Bushi, AM; Horstwood, MSA; Mruma, A</t>
  </si>
  <si>
    <t>Thomas, Robert J.; Roberts, Nick M. W.; Jacobs, Joachim; Bushi, Alphonce M.; Horstwood, Matthew S. A.; Mruma, Abdul</t>
  </si>
  <si>
    <t>Structural and geochronological constraints on the evolution of the eastern margin of the Tanzania Craton in the Mpwapwa area, central Tanzania</t>
  </si>
  <si>
    <t>PRECAMBRIAN RESEARCH</t>
  </si>
  <si>
    <t>Archaean; Tanzania; Craton; Palaeoproterozoic; Usagaran; Geochronology</t>
  </si>
  <si>
    <t>AFRICAN-ANTARCTIC OROGEN; MOZAMBIQUE BELT; USAGARAN OROGEN; ZIRCON GEOCHRONOLOGY; SOUTHERN TANZANIA; GONDWANA; METAMORPHISM; MAGMATISM; ECLOGITES; AGES</t>
  </si>
  <si>
    <t>A study of the position, nature and geochronology of the eastern margin of the Tanzania Craton near Mpwapwa yields new constraints on Archaean to Neoproterozoic orogenesis of central Tanzania. The eastern part of the craton comprises typical Neoarchaean grey granodioritic orthogneisses dated with the LA-ICP-MS method by U-Pb zircon at ca. 2.7 Ga. A gradual eastward increase in strain in these rocks culminates in a 1-2 km wide, locally imbricated, north-south-trending, ductile thrust/shear zone with an oblique top-to-the-NW sense of movement. East of the craton-edge shear zone, high-grade supracrustal rocks are termed the Mpwapwa Group in view of uncertain regional correlations. There is an apparent lithological zonation of the Mpwapwa Group parallel to the craton margin shear zone. In the west, the group consists of typical shelf facies metasedimentary rocks (marbles, calc-silicates, quartzites, etc.). U-Pb dating of detrital zircons from two quartzites reveal only Archaean detritus, constraining their maximum depositional age to ca. 2300 Ma) with a strong metamorphic overprint at ca. 1960 Ma (zircon), confirmed by a metamorphic titanite age of ca. 1990 Ma, again believed to date the initial phase of craton-margin shearing and juxtaposition of the Archaean crustal blocks. The role of the Neoproterozoic East African orogeny in the evolution of the craton margin is unclear, but the geometry of the shear zone, the presence of Neoproterozoic zircon rims in the Palaeoproterozoic granite and published studies from nearby, all suggest that the latest movements on the shear zone may be Neoproterozoic in age and that the structure may represent the local western front of the East African Orogeny. (c) 2012 Elsevier B.V. All rights reserved.</t>
  </si>
  <si>
    <t>[Thomas, Robert J.; Roberts, Nick M. W.; Horstwood, Matthew S. A.] British Geol Survey, NERC Isotope Geosci Lab, Keyworth NG12 5GG, Notts, England; [Jacobs, Joachim] Univ Bergen, Dept Earth Sci, N-5007 Bergen, Norway; [Bushi, Alphonce M.; Mruma, Abdul] Geol Survey Tanzania, Dodoma, Tanzania</t>
  </si>
  <si>
    <t>UK Research &amp; Innovation (UKRI); Natural Environment Research Council (NERC); NERC British Geological Survey; University of Bergen</t>
  </si>
  <si>
    <t>Thomas, RJ (corresponding author), British Geol Survey, NERC Isotope Geosci Lab, Nicker Hill, Keyworth NG12 5GG, Notts, England.</t>
  </si>
  <si>
    <t>bthomas@bgs.ac.uk</t>
  </si>
  <si>
    <t>Roberts, Nick M W/C-2694-2008</t>
  </si>
  <si>
    <t>Roberts, Nick M W/0000-0001-8272-5432; Horstwood, Matthew/0000-0003-4200-8193</t>
  </si>
  <si>
    <t>NERC [bgs010024] Funding Source: UKRI; Natural Environment Research Council [bgs010024] Funding Source: researchfish</t>
  </si>
  <si>
    <t>0301-9268</t>
  </si>
  <si>
    <t>PRECAMBRIAN RES</t>
  </si>
  <si>
    <t>Precambrian Res.</t>
  </si>
  <si>
    <t>10.1016/j.precamres.2012.11.010</t>
  </si>
  <si>
    <t>073TO</t>
  </si>
  <si>
    <t>WOS:000313765800038</t>
  </si>
  <si>
    <t>Gerginova, MG; Peneva, NM; Krumova, ET; Alexieva, ZA</t>
  </si>
  <si>
    <t>Lekkas, TD</t>
  </si>
  <si>
    <t>Gerginova, M. G.; Peneva, N. M.; Krumova, E. T.; Alexieva, Z. A.</t>
  </si>
  <si>
    <t>BIODEGRADATION ABILITY OF FUNGAL STRAINS ISOLATED FROM ANTARCTICA TOWARDS PAH</t>
  </si>
  <si>
    <t>PROCEEDINGS OF THE 13TH INTERNATIONAL CONFERENCE ON ENVIRONMENTAL SCIENCE AND TECHNOLOGY</t>
  </si>
  <si>
    <t>Proceedings of the International Conference on Environmental Science and Technology</t>
  </si>
  <si>
    <t>13th International Conference on Environmental Science and Technology (CEST)</t>
  </si>
  <si>
    <t>SEP 05-07, 2013</t>
  </si>
  <si>
    <t>Athens, GREECE</t>
  </si>
  <si>
    <t>Antarctic fungi; biodegradation; anthracene; naphthalene; phenanthrene</t>
  </si>
  <si>
    <t>POLYCYCLIC AROMATIC-HYDROCARBONS; LOW-TEMPERATURE; DEGRADATION; DIVERSITY; BIOREMEDIATION; ADAPTATION; ANTHRACENE; SOILS</t>
  </si>
  <si>
    <t>The capability of Antarctic microorganisms, including filamentous fungi to exist in some of the most severe climatic conditions known to Earth is the reason of the increasing interest to their metabolic characteristics. The study of species diversity characteristic of this region, and their metabolic capabilities can be useful when searching for new solutions in the industry and the environment. The aim of this study was to test the possible ability of new isolated Antarctic fungal strains to grow and develop on phenanthrene, anthracene, and naphthalene as sole carbon and energy sources in the medium. Sixteen fungal strains isolated from Livingston Island Antarctica were studied for their ability to degrade phenanthrene, naphthalene and anthracene. Cultures were stored on beer agar medium, pH 6.3 in glass vials with screw caps at 4 degrees C. The strains were grown in a solid or liquid mineral medium Czapek Dox containing 10 g/l glucose and/or various concentrations of the investigated polycyclic aromatics. The temperature of cultivation was 23 degrees C. In the solid medium experiments a spray-plate technique was applied. PAH were distributed evenly as a thin visible overlay by pipetting 0.6 ml of a filter-sterilized acetone solution (0.5%) and stirred up on the agar surface. Plates were dried overnight at 30 degrees C to allow the acetone evaporation. In experiments in liquid media PAH were ultra sounded ex tempore to a fine dispersion in small aliquots of liquid medium and then inoculated in the corresponding cultivating media. Although there were found five representatives of Penicillium and Aspergillus which did not show any development in the presence of such compounds most of the investigated strains demonstrated good tolerance to the presence of anthracene and naphthalene. A good tolerance to phenanthrene in the culture medium was obtained only for Altemaria maritima strain AL10. Two other strains: Aspergillus glaucus AL1 and Penicillium waksmanii AL14 showed slight growth in phenanthrene presence. The degradation experiments carried out in a media containing each one of the tested compounds as a single source of carbon and energy demonstrated the ability of Penicillium rugolosum AL7 and Penicillium waksmanii AL14 to degrade 0.3 g/l anthracene. Strains Altemaria maritima AL10 and Penicillium waksmanii AL14 showed capacity to utilize 0.3 g/l phenanthrene. Aspergillus fumigatus AL9, Penicillium chtysogenum AL12 and Mucor sp. AL13 degraded 0.3 g/l naphthalene. As a result of the research it could be concluded that the most toxic effect was exerted by phenanthrene followed by anthracene, and naphthalene. We see also that different species of fungi genera show different abilities to adapt and to utilize each one of the polycyclic aromatic compounds used in this study.</t>
  </si>
  <si>
    <t>[Gerginova, M. G.; Peneva, N. M.; Krumova, E. T.; Alexieva, Z. A.] Bulgarian Acad Sci, Inst Microbiol, BU-1113 Sofia, Bulgaria</t>
  </si>
  <si>
    <t>Medical University Sofia; Bulgarian Academy of Sciences</t>
  </si>
  <si>
    <t>Gerginova, MG (corresponding author), Bulgarian Acad Sci, Inst Microbiol, Acad G Bontchev Str,Bl 26, BU-1113 Sofia, Bulgaria.</t>
  </si>
  <si>
    <t>zlatkama@yahoo.com</t>
  </si>
  <si>
    <t>Gerginova, Maria Gerginova/K-7815-2016; Alexieva, Zlatka M/K-7822-2016</t>
  </si>
  <si>
    <t>GLOBAL NEST, SECRETARIAT</t>
  </si>
  <si>
    <t>ATHENS</t>
  </si>
  <si>
    <t>UNIV, AEGEAN, 30, VOULGAROKTONOU STR, ATHENS, GR 114 72, GREECE</t>
  </si>
  <si>
    <t>1106-5516</t>
  </si>
  <si>
    <t>978-960-7475-51-0</t>
  </si>
  <si>
    <t>PROC INT CONF ENV SC</t>
  </si>
  <si>
    <t>Engineering, Environmental; Environmental Sciences</t>
  </si>
  <si>
    <t>Engineering; Environmental Sciences &amp; Ecology</t>
  </si>
  <si>
    <t>BB7WL</t>
  </si>
  <si>
    <t>WOS:000346067900328</t>
  </si>
  <si>
    <t>Hong, S; Han, CH; Hwang, HJ; Soyol-Erdene, TO; Kang, JH; Hur, SD; Burn-Nunes, LJ; Gabrielli, P; Barbante, C; Boutron, CF</t>
  </si>
  <si>
    <t>Hong, S.; Han, C. H.; Hwang, H. J.; Soyol-Erdene, T-O.; Kang, J. H.; Hur, S. D.; Burn-Nunes, L. J.; Gabrielli, P.; Barbante, C.; Boutron, C. F.</t>
  </si>
  <si>
    <t>Trace elements and Pb isotope records in Dome C (East Antarctica) ice over the past 800,000 years</t>
  </si>
  <si>
    <t>Trace elements; Pb isotopes; Antarctic ice; Climate change; Mid-Brunhes Event</t>
  </si>
  <si>
    <t>CLIMATE-RELATED VARIATIONS; CYCLES; CORE</t>
  </si>
  <si>
    <t>Trace elements (V, Cr, Mn, Fe, Co, Cu, Zn, As, Rb, Sr, Mo, Cd, Sb, Ba, Tl, Pb, Bi, Th and U) and Pb isotopic compositions from the EPICA (European Project for Ice Coring in Antarctica) Dome C ice core have been determined using inductively coupled plasma sector field mass spectrometry (ICP-SFMS) and thermal ionization mass spectrometry (TIMS), covering the period from similar to 533 kyr BP to similar to 800 kyr BP, respectively. Our data have enabled us to extend the previous EDC records of trace elements and Pb isotopes from the Holocene back to the Marine Isotopic Stage 20.2, similar to 800 kyr BP. We here discuss the EDC records of Ba, Rb, Mo, Sb, Cd, Tl, Bi and Pb isotopes. Crustal elements such as Ba and Rb show well defined variations in concentrations in relation to climatic conditions with lower values during the interglacial periods and much higher values during the coldest periods of the last eight climatic cycles. Volcanogenic Cd, Tl and Bi show a less pronounced relationship between concentrations and climatic conditions. The isotopic signatures of Pb suggest that changes in the provenance of dust reaching the East Antarctic Plateau from Potential Source Areas occurred during the interglacial periods before the MBE. Our data suggest that the main factors affecting deposition fluxes and sources of natural trace elements over Antarctica are most likely linked to a progressive coupling of the climates of Antarctica and lower latitudes over the past 800 kyr.</t>
  </si>
  <si>
    <t>[Hong, S.; Han, C. H.] Inha Univ, Dept Ocean Sci, 253 Yonghyun Dong, Inchon 402751, South Korea; [Hwang, H. J.; Soyol-Erdene, T-O.; Kang, J. H.; Hur, S. D.] Korea Polar Res Inst, Incheon 406840, South Korea; [Burn-Nunes, L. J.] Curtin Univ Technol, Dept Imaging &amp; App Phys, Perth, WA 6845, Australia; [Gabrielli, P.] Ohio State Univ, Sch Earth Sci, Columbus, OH 43210 USA; [Gabrielli, P.] Ohio State Univ, Byrd Polar Res, Columbus, OH 43210 USA; [Barbante, C.] Univ Venice, Dept Environm Sci, I-30123 Venice, Italy; [Boutron, C. F.] CNRS, UMR, Lab Glaciol &amp; Geophys Environm, F-38402 St Martin Dheres, France</t>
  </si>
  <si>
    <t>Inha University; Korea Polar Research Institute (KOPRI); Curtin University; University System of Ohio; Ohio State University; University System of Ohio; Ohio State University; Universita Ca Foscari Venezia; Centre National de la Recherche Scientifique (CNRS)</t>
  </si>
  <si>
    <t>Hong, S (corresponding author), Inha Univ, Dept Ocean Sci, 253 Yonghyun Dong, Inchon 402751, South Korea.</t>
  </si>
  <si>
    <t>smhong@inha.ac.kr; hanmusic83@naver.com; heejin@kopri.re.kr; soyoloo@kopri.re.kr; jhkang@kopri.re.kr; sdhur@kopri.re.kr; L.Burn-Nunes@curtin.edu.au; gabrielli1@osu.edu; barbante@unive.it; boutron@lgge.obs.ujf-grenoble.fr</t>
  </si>
  <si>
    <t>Tseren-Ochir, Soyol-Erdene/P-9364-2015; Barbante, Carlo/B-3195-2011</t>
  </si>
  <si>
    <t>Tseren-Ochir, Soyol-Erdene/0000-0002-6356-1361; Barbante, Carlo/0000-0003-4177-2288</t>
  </si>
  <si>
    <t>KOPRI research [PE11090]; INHA University [INHA-43829-01]</t>
  </si>
  <si>
    <t>KOPRI research(Korea Polar Research Institute of Marine Research Placement (KOPRI)); INHA University</t>
  </si>
  <si>
    <t>This work is a contribution to the Polar Academic Program (PAP), KOPRI and is supported by the KOPRI research grant (PE11090) and the INHA University research grant (INHA-43829-01).</t>
  </si>
  <si>
    <t>10.1051/e3sconf/20130123001</t>
  </si>
  <si>
    <t>WOS:000326475400180</t>
  </si>
  <si>
    <t>Lafkih, A; Machtelinckx, L; Segers, B; Vandenhove, C; Van Osselaer, C; de Schrijver, E</t>
  </si>
  <si>
    <t>Ouwehand, L</t>
  </si>
  <si>
    <t>Lafkih, Anas; Machtelinckx, Lisa; Segers, Brian; Vandenhove, Chloe; Van Osselaer, Cedric; de Schrijver, Erik</t>
  </si>
  <si>
    <t>SP ACE 2011-2013: EXPLORING NEW APPROACHES IN HANDS-ON SPACE EDUCATION FOR SECONDARY SCHOOLS INCLUDING BALLOON, UAV AND ANTARCTIC SCIENCE PROJECTS</t>
  </si>
  <si>
    <t>PROCEEDINGS OF THE 21ST ESA SYMPOSIUM ON EUROPEAN ROCKET &amp; BALLOON PROGRAMMES AND RESEARCH</t>
  </si>
  <si>
    <t>21st ESA Symposium on European Rocket and Balloon Programmes and Related Research</t>
  </si>
  <si>
    <t>JUN 09-13, 2013</t>
  </si>
  <si>
    <t>Thun, SWITZERLAND</t>
  </si>
  <si>
    <t>Secondary school students at Sint-Pieterscollege Jette have been engaged in space education projects since 2004 [1,2,3,4,5]. The developments in the 2011-2013 timeframe saw a significant growth in the range of science projects executed, though far less in the competence and know how levels required to carry out these projects. An overview is given of the opportunities that were offered to and used by the students to build their research competence and their motivation for science and technology.</t>
  </si>
  <si>
    <t>[Lafkih, Anas; Machtelinckx, Lisa; Segers, Brian; Vandenhove, Chloe; Van Osselaer, Cedric; de Schrijver, Erik] Sint Pieterscoll Jette, L Theodorstr 167, B-1090 Brussels, Belgium</t>
  </si>
  <si>
    <t>Lafkih, A (corresponding author), Sint Pieterscoll Jette, L Theodorstr 167, B-1090 Brussels, Belgium.</t>
  </si>
  <si>
    <t>anas.lafkih@hotmail.fr; lisa_machtelinckx@telenet.be; brian-segers@live.com; cvdh95@hotmail.com; cedric.van.osselaer@gmail.com; eds@sint-pieterscollege.be</t>
  </si>
  <si>
    <t>Community of Jette; BELSPO (the Belgian Federal Ministry for Science Policy); Vlaamse Gemeenschapscommissie (Flemish Community Council in Brussels)</t>
  </si>
  <si>
    <t>For financial support, the authors wish to thank the Community of Jette, the Vlaamse Gemeenschapscommissie (Flemish Community Council in Brussels) and BELSPO (the Belgian Federal Ministry for Science Policy).</t>
  </si>
  <si>
    <t>978-92-9092-285-8</t>
  </si>
  <si>
    <t>BI2AB</t>
  </si>
  <si>
    <t>WOS:000407525000090</t>
  </si>
  <si>
    <t>Chen, J; Chung, CH</t>
  </si>
  <si>
    <t>Zhaoyin, W; Lee, JHW; Jizhang, G; Shuyou, C</t>
  </si>
  <si>
    <t>Chen, Ji; Chung, Chi Hang</t>
  </si>
  <si>
    <t>Representation of Global Precipitation Anomaly Using four Major Climate Patterns</t>
  </si>
  <si>
    <t>PROCEEDINGS OF THE 35TH IAHR WORLD CONGRESS, VOLS III AND IV</t>
  </si>
  <si>
    <t>35th World Congress of the International-Association-for-Hydro-Environment-Engineering-and-Research (IAHR)</t>
  </si>
  <si>
    <t>SEP 08-13, 2013</t>
  </si>
  <si>
    <t>Int Assoc Hydro Environm Engn &amp; Res, Chengdu, PEOPLES R CHINA</t>
  </si>
  <si>
    <t>Int Assoc Hydro Environm Engn &amp; Res</t>
  </si>
  <si>
    <t>PACIFIC DECADAL OSCILLATION; MODE; ENSO</t>
  </si>
  <si>
    <t>The precipitation around the globe is influenced by different climate patterns. This study aims at representing the precipitation over the globe by using major climate patterns like the El Nino-Southern Oscillation (ENSO), Indian Ocean Dipole (IOD), Arctic Oscillation (AO) and Antarctic Oscillation (AAO). The anomalous precipitation in the north hemisphere is modeled by the anomalous NINO3.4 (index representing ENSO), DMI (index representing IOD) and AO index, while the anomalous precipitation in the South hemisphere is modeled by the anomalous NINO3.4, DMI and AAO index. The selected climate pattern indexes show significant relation with the precipitation in many areas, indicating that it is reasonable to use the four climate pattern indexes to model the precipitation around the globe. Then, a four index model is proposed to represent the impact of the general global circulation on the regional precipitation because it reflects the condition of the global climate patterns which have great impact on the global circulation. This study also aims at finding the dominant climate pattern influencing the precipitation in different regions in the world. The amount of influence brought by each climate pattern is found by studying the magnitude of the regression coefficient of the corresponding predictors and compare it with other predictors. In the study, the precipitation in Northern part of South America and Southeast Asia (Northwest part) is mainly controlled by ENSO, Precipitation in East Africa and Southeast Asia (Southwest part) is mainly controlled by IOD, precipitation in Europe and west coast of North America is mainly controlled by AO and precipitation in East part and South part of South America, South Part of Africa and Northeast Australia is mainly controlled by AAO. These findings strengthen our understanding over the teleconnection of the climate patterns. The proportion of the contribution of each climate pattern gives some directions on which climate pattern to be focused when doing prediction of the precipitation over each region. This can help us to make seasonal forecast and warning can be announced if the dominant climate pattern is anomalously high or low.</t>
  </si>
  <si>
    <t>[Chen, Ji; Chung, Chi Hang] Univ Hong Kong, Dept Civil Engn, Pokfulam, Hong Kong, Peoples R China</t>
  </si>
  <si>
    <t>University of Hong Kong</t>
  </si>
  <si>
    <t>Chen, J (corresponding author), Univ Hong Kong, Dept Civil Engn, Pokfulam, Hong Kong, Peoples R China.</t>
  </si>
  <si>
    <t>jichen@hku.hk; h08hang@hku.hk</t>
  </si>
  <si>
    <t>RGC GRF [HKU 710712E, 7109010E]</t>
  </si>
  <si>
    <t>RGC GRF(Hong Kong Research Grants Council)</t>
  </si>
  <si>
    <t>This study was supported by two RGC GRF projects (HKU 710712E and 7109010E).</t>
  </si>
  <si>
    <t>TSINGHUA UNIV</t>
  </si>
  <si>
    <t>DEPT BUILDING SCI, SCH ARCHITECTURE, SECRETARIAT ISHVAC07, BEIJING, 100084, PEOPLES R CHINA</t>
  </si>
  <si>
    <t>978-7-302-33544-3</t>
  </si>
  <si>
    <t>Engineering, Civil; Water Resources</t>
  </si>
  <si>
    <t>Engineering; Water Resources</t>
  </si>
  <si>
    <t>BH5QO</t>
  </si>
  <si>
    <t>WOS:000401410900014</t>
  </si>
  <si>
    <t>Chung, CH; Chen, J</t>
  </si>
  <si>
    <t>Chung, Chi Hang; Chen, Ji</t>
  </si>
  <si>
    <t>Monthly Features of Teleconnection between Four Key Climate Patterns and Global Precipitation Anomaly</t>
  </si>
  <si>
    <t>Climate patterns like the El Nino-Southern Oscillation (ENSO), Indian Ocean Dipole (IOD), Arctic Oscillation (AO) and Antarctic Oscillation (AAO) have great influence on the global precipitation, and the relationships between the climate patterns and the precipitation can vary significantly throughout the year. The global precipitation data used are from the Global Precipitation Climatology Project (GPCP), and the study period is from 1979 to 2011. In order to have a more detailed understanding of such relationships, this study focuses on exploration of monthly features of teleconnection between four key climate patterns (i.e., ENSO, IOD, AO and AAO) and precipitation anomaly over the globe. Further, this study also investigates the variation of the influence of the climate patterns and the change in the dominating climate patterns. This study develops a multiple linear regression method to simulate the global precipitation anomaly for each month in a year through using four key climate pattern indexes (namely, NINO3.4, DMI, AO and AAO index). The change of the regression coefficients throughout the year can be regarded as the variation of the impact of the corresponding climate pattern on the related precipitation anomaly. By examining the regression coefficients of each predictor, the variation of the impact of each climate pattern on the precipitation at every grid can be found. Further, we analyze the dominant climate pattern which has the largest regression coefficient. Since the influences of the climate patterns are varying, the dominant climate patterns at each grid also vary. This variation in the dominating climate pattern indicates that the precipitations in different regions are affected by different global climate patterns in different seasons. This study also analyzes the mechanisms of the monthly teleconnections of these four key climate patterns. The study results are valuable for predication of monthly regional extreme precipitations through using the governing climate patterns as preliminary indicators.</t>
  </si>
  <si>
    <t>[Chung, Chi Hang; Chen, Ji] Univ Hong Kong, Dept Civil Engn, Pokfulam, Hong Kong, Peoples R China</t>
  </si>
  <si>
    <t>Chung, CH (corresponding author), Univ Hong Kong, Dept Civil Engn, Pokfulam, Hong Kong, Peoples R China.</t>
  </si>
  <si>
    <t>h08hang@hku.hk; jichen@hku.hk</t>
  </si>
  <si>
    <t>BE3AJ</t>
  </si>
  <si>
    <t>WOS:000370410302093</t>
  </si>
  <si>
    <t>Skjoldal, HR; Wiebe, PH; Postel, L; Knutsen, T; Kaartvedt, S; Sameoto, DD</t>
  </si>
  <si>
    <t>Skjoldal, Hein Rune; Wiebe, Peter H.; Postel, Lutz; Knutsen, Tor; Kaartvedt, Stein; Sameoto, Douglas D.</t>
  </si>
  <si>
    <t>Intercomparison of zooplankton (net) sampling systems: Results from the ICES/GLOBEC sea-going workshop</t>
  </si>
  <si>
    <t>PROGRESS IN OCEANOGRAPHY</t>
  </si>
  <si>
    <t>OPTICAL PLANKTON COUNTER; CAPELIN MALLOTUS-VILLOSUS; CALANUS-FINMARCHICUS; GEORGES BANK; BARENTS SEA; FILTRATION EFFICIENCY; ANTARCTIC KRILL; MESH SELECTION; SOUTHERN-OCEAN; NORTH-ATLANTIC</t>
  </si>
  <si>
    <t>An inter-comparison and evaluation of methods for sampling and determination of zooplankton distribution and biomass was conducted in a fjord environment (Storfjorden at More, Norway) from 2 to 13 June 1993. The inter-comparison was carried out with the German R/V A. v. Humboldt and the Norwegian R/V Johan Hjort and involved a total number of 38 scientific personnel from 8 countries. The inter-comparisons included the MOCNESS, BIONESS, MultiNet, LHPR, OPC, CPR, Gulf-V, CalCOFI 1-m Ring Net, and WP-2 net. In addition, acoustics data were collected with a Simrad EK500 echosounder operating on 4 frequencies (18, 38, 120, 200 kHz) and hydrographic, nutrient, phytoplankton, and meteorological data were collected to characterize the environment in which the comparisons were made; environmental changes were minor during the study. The results of this study corroborate the results of earlier studies. Mesh size of the net had a major influence on the biomass and species composition of the zooplankton community. There is a consistent relationship between retention (or escapement through the mesh) and the width of the organisms; about 50% of the organisms escape through the mesh at a width equal to the mesh size. The effect of towing speed on the extrusion of smaller organisms through the net can be substantial and adds to the loss due to escapement. Active avoidance of the sampler is only important for the larger macrozooplankton and not a significant problem for the mesozooplankton. Different vertical, oblique, and multiple opening/closing net systems produced similar estimates of zooplankton when operated with comparable mesh-sized nets and a sufficiently high mesh open area to mouth opening ratio. The choice of mesh size is important and 150 pm mesh is possibly an optimal mesh size for use in coastal waters with neritic zooplankton communities. Replicate tow variability was also consistent with earlier studies and reflects the need to understand the interplay between the underlying patchiness of the zooplankton distributions and the method of sampling. No single net is suitable to sample across the wide size range of zooplankton from small mesozooplankton to macrozooplankton. Recent large interdisciplinary programs to assess marine ecosystem structure and dynamics have recognized this through the use of nets designed to sample particular size fractions in combination with video and acoustic remote sensing techniques. (C) 2012 Elsevier Ltd. All rights reserved.</t>
  </si>
  <si>
    <t>[Skjoldal, Hein Rune; Knutsen, Tor] Inst Marine Res, N-5017 Bergen, Norway; [Wiebe, Peter H.] Woods Hole Oceanog Inst, Woods Hole, MA 02543 USA; [Postel, Lutz] Leibniz Inst Balt Sea Res, Warnemunde, Germany; [Kaartvedt, Stein] Univ Oslo, Dept Biol, N-0316 Oslo, Norway; [Sameoto, Douglas D.] Bedford Inst Oceanog, Bedford, NS, Canada</t>
  </si>
  <si>
    <t>Institute of Marine Research - Norway; Woods Hole Oceanographic Institution; Leibniz Institut fur Ostseeforschung Warnemunde; University of Oslo; Bedford Institute of Oceanography</t>
  </si>
  <si>
    <t>Wiebe, PH (corresponding author), Woods Hole Oceanog Inst, Woods Hole, MA 02543 USA.</t>
  </si>
  <si>
    <t>pwiebe@whoi.edu</t>
  </si>
  <si>
    <t>Knutsen, Tor/0000-0003-3531-5611; Wiebe, Peter/0000-0002-6059-4651</t>
  </si>
  <si>
    <t>0079-6611</t>
  </si>
  <si>
    <t>PROG OCEANOGR</t>
  </si>
  <si>
    <t>Prog. Oceanogr.</t>
  </si>
  <si>
    <t>10.1016/j.pocean.2012.10.006</t>
  </si>
  <si>
    <t>077EN</t>
  </si>
  <si>
    <t>WOS:000314010800001</t>
  </si>
  <si>
    <t>Souffreau, C; Vanormelingen, P; Van de Vijver, B; Isheva, T; Verleyen, E; Sabbe, K; Vyverman, W</t>
  </si>
  <si>
    <t>Souffreau, Caroline; Vanormelingen, Pieter; Van de Vijver, Bart; Isheva, Tsvetelina; Verleyen, Elie; Sabbe, Koen; Vyverman, Wim</t>
  </si>
  <si>
    <t>Molecular Evidence for Distinct Antarctic Lineages in the Cosmopolitan Terrestrial Diatoms Pinnularia borealis and Hantzschia amphioxys</t>
  </si>
  <si>
    <t>PROTIST</t>
  </si>
  <si>
    <t>Cryptic diversity; diatoms; LSU rDNA; molecular time-calibration; rbcL; thermal niche</t>
  </si>
  <si>
    <t>FRESH-WATER; SYMPATRIC SPECIATION; SPECIES DELIMITATION; DIVERSITY; ALGAE; BACILLARIOPHYTA; TEMPERATURE; LIFE; ISLANDS; HISTORY</t>
  </si>
  <si>
    <t>Recent morphology-based studies indicate that freshwater diatom floras in the Antarctic comprise a significant share of endemics among a majority of apparently cosmopolitan species. Given the widespread (pseudo) cryptic species diversity in diatoms, we assessed the molecular divergence and temperature-dependent growth characteristics between Antarctic and non-Antarctic strains for two presumed species with a cosmopolitan distribution, namely Pinnularia borealis and Hantzschia amphioxys. Molecular phylogenies based on the plastid gene rbcL and the nuclear 28S rDNA (D1-D3 region) revealed that both taxa consist of multiple lineages, each including a distinct Antarctic lineage. A molecular clock estimates the origin of P. borealis at 35.8 (30-47) million years (Ma) ago, making this the oldest known diatom species complex. The Antarctic P. borealis lineage is estimated to have diverged 7.8 (2-15) Ma ago, after the geographical and thermal isolation of the Antarctic continent. Despite not being psychrophilic, the Antarctic lineages of P. borealis and H. amphioxys have a lower optimal growth temperature and upper lethal temperature than most lineages from more temperate regions, indicating niche differentiation. Together, this suggests that many presumed cosmopolitan Antarctic diatom species are in fact species complexes, possibly containing Antarctic endemics with low temperature preferences. (C) 2012 Elsevier GmbH. All rights reserved.</t>
  </si>
  <si>
    <t>[Souffreau, Caroline; Vanormelingen, Pieter; Isheva, Tsvetelina; Verleyen, Elie; Sabbe, Koen; Vyverman, Wim] Univ Ghent, Lab Protistol &amp; Aquat Ecol, B-9000 Ghent, Belgium; [Van de Vijver, Bart] Natl Bot Garden Belgium, Dept Cryptogamy, B-1860 Domein Van Bouchout, Meise, Belgium</t>
  </si>
  <si>
    <t>Ghent University</t>
  </si>
  <si>
    <t>Vyverman, W (corresponding author), Univ Ghent, Lab Protistol &amp; Aquat Ecol, Krijgslaan 281-S8, B-9000 Ghent, Belgium.</t>
  </si>
  <si>
    <t>wim.vyverman@ugent.be</t>
  </si>
  <si>
    <t>Isheva, Tsvetelina/L-9900-2017</t>
  </si>
  <si>
    <t>Souffreau, Caroline/0000-0003-0997-9190</t>
  </si>
  <si>
    <t>Fund for Scientific Research - Flanders (FWO-Flanders, Belgium); FWO [3G-0533-07, 3G-0419-08]; BeISPO; InBev-Baillet-Latour Fund project DELAQUA</t>
  </si>
  <si>
    <t>Fund for Scientific Research - Flanders (FWO-Flanders, Belgium)(FWO); FWO(FWO); BeISPO(Belgian Federal Science Policy Office); InBev-Baillet-Latour Fund project DELAQUA</t>
  </si>
  <si>
    <t>We thank Dr. Aloisie Poulickova for providing P. borealis cultures from Czech Republic. We are grateful to Tine Verstraete for performing the DNA extractions and PCR reactions of the Antarctic strains, and Andy Vierstraete for the sequencing. This research was financially supported by the Fund for Scientific Research - Flanders (FWO-Flanders, Belgium, funding of CS, PV and EV), the FWO-projects 3G-0533-07 and 3G-0419-08, and the BeISPO project AMBIO. Sampling in the Antarctic was financially supported by the InBev-Baillet-Latour Fund project DELAQUA and the BeISPO Project Beldiva. Dr. Valery V. Lukin, Dr. Victor M. Vendrovich and the members of the 54th Russian Antarctic Expedition provided logistic support.</t>
  </si>
  <si>
    <t>1434-4610</t>
  </si>
  <si>
    <t>1618-0941</t>
  </si>
  <si>
    <t>Protist</t>
  </si>
  <si>
    <t>10.1016/j.protis.2012.04.001</t>
  </si>
  <si>
    <t>052HM</t>
  </si>
  <si>
    <t>WOS:000312188500010</t>
  </si>
  <si>
    <t>Bortoli, D; Ravegnani, F; Giovanelli, G; Kulkarni, PS; Anton, M; Costa, MJ; Silva, AM</t>
  </si>
  <si>
    <t>Bortoli, D.; Ravegnani, F.; Giovanelli, G.; Kulkarni, P. S.; Anton, M.; Costa, M. J.; Silva, A. M.</t>
  </si>
  <si>
    <t>Fifteen Years of Stratospheric Nitrogen Dioxide and Ozone Measurements in Antarctica</t>
  </si>
  <si>
    <t>Ground based spectrometer; Ozone; Nitrogen dioxide; Total column; Vertical profiles; Satellite data comparison</t>
  </si>
  <si>
    <t>SPECTROMETER</t>
  </si>
  <si>
    <t>The stratospheric NO2 and O-3 total columns and vertical profiles retrieved from the measurements performed the last 15 years by the GASCOD spectrometer installed at the Mario Zucchelli Antarctic Station (MZS) -74.69S, 164.12E, are presented here and briefly discussed. The full dataset of the spectral data obtained with GASCOD during the period 1996-2009, was re-analyzed with a modified version of the software tool previously utilized. The uncertainties range from 4% up to 8% for O-3 and from 3% tup o 6% for NO2. The peculiar features of the seasonal variation of O-3 (i.e. during the 'Ozone Hole' periods (mid-August to mid-October) and NO2 total columns (i.e. the normal decreasing during the austral fall and the irregular growing towards the spring months) are clearly identified. For the first time, the NO2 total columns values, obtained with the GASCOD installed at MZS, are compared with the data obtained with satellite borne equipments (SCIAMACHY, GOME and OMI).</t>
  </si>
  <si>
    <t>[Bortoli, D.; Kulkarni, P. S.; Costa, M. J.; Silva, A. M.] Univ Evora, Evora Geophys Ctr, Rua Romao Ramalho 59, P-7000 Evora, Portugal; [Costa, M. J.; Silva, A. M.] Univ Evora, Dept Phys, Rua Romao Ramalho 59, P-7000 Evora, Portugal; [Bortoli, D.; Ravegnani, F.; Giovanelli, G.] Inst Atmospher Sci &amp; Climate ISAC CNR, Via Gobetti 101, I-40129 Bologna, Italy; [Anton, M.] Univ Extremadura, Dept Fis, Badajoz, Spain</t>
  </si>
  <si>
    <t>University of Evora; University of Evora; Consiglio Nazionale delle Ricerche (CNR); Istituto di Scienze dell'Atmosfera e del Clima (ISAC-CNR); Universidad de Extremadura</t>
  </si>
  <si>
    <t>Bortoli, D (corresponding author), Univ Evora, Evora Geophys Ctr, Rua Romao Ramalho 59, P-7000 Evora, Portugal.</t>
  </si>
  <si>
    <t>Antón, Manuel/A-8477-2010; Bortoli, Daniele/A-5489-2009; Ravegnani, Fabrizio/A-7800-2009; Costa, Maria João/M-4119-2013; Ravegnani, Fabrizio/AAM-5467-2021; Kulkarni, Pavan/A-3804-2010</t>
  </si>
  <si>
    <t>Bortoli, Daniele/0000-0002-2334-4055; Ravegnani, Fabrizio/0000-0003-0735-9297; Costa, Maria João/0000-0003-2981-2232; Ravegnani, Fabrizio/0000-0003-0735-9297; Anton, Manuel/0000-0002-0816-3758; Kulkarni, Pavan/0000-0002-3305-7471; Silva, Ana Maria/0000-0003-2002-4774</t>
  </si>
  <si>
    <t>10.1063/1.4804766</t>
  </si>
  <si>
    <t>WOS:000320763100072</t>
  </si>
  <si>
    <t>Bortoli, D; Ravegnani, F; Costa, MJ; Genco, S; Kulkarni, PK; Mendes, R; Domingues, AF; Anton, M; Giovanelli, G; Silva, AM</t>
  </si>
  <si>
    <t>Bortoli, Daniele; Ravegnani, Fabrizio; Costa, Maria Joao; Genco, Silvia; Kulkarni, Pavan K.; Mendes, Rui; Domingues, Ana Filipa; Anton, Manuel; Giovanelli, Giorgio; Silva, Ana Maria</t>
  </si>
  <si>
    <t>Monitoring of nitrogen dioxide, ozone and halogens radicals in Antarctica</t>
  </si>
  <si>
    <t>Ozone hole; denitrification; spectrometric equipment; DOAS</t>
  </si>
  <si>
    <t>STRATOSPHERIC OZONE; SPECTROMETER</t>
  </si>
  <si>
    <t>Monitoring of atmospheric compounds at high latitudes is a key factor for a better understanding of the processes driving the chemical cycles of ozone and related chemical species. In this frame, the GASCOD (Gas Analizer Spectrometer Correlating Optical Differences) equipment is installed at the Mario Zucchelli Station (MZS -74.69S, 164.12E) since December 1995, carrying out observations of nitrogen dioxide (NO2) and ozone (O-3). The recent advances in sensor technologies and processor capabilities, suggested the setup of a new equipment, based on the same optical layout of the 'old' GASCOD, with enhanced performances and improved capabilities for the measurements of solar radiation in the UV-visible spectral range (300-700nm). The efforts accomplished, allowed for the increase of the investigated tracers. Actually, mainly due to the enlargement of the covered spectral range and to the adoption of a CCD sensor, in addition to the NO2 and O-3 compounds, others species can be monitored with the new instrumental setup such as bromine, chlorine and iodine oxides (BrO, OClO and IO). The innovative equipment called GASCODNG (GASCOD New Generation) was installed at MZS during the 2012/2013 Italian Antarctic expedition, in the framework of the research projects SAMOA (Automatic Station Monitoring Antarctic Ozonosphere) and MATAGRO (Monitoring Atmospheric Tracers in Antarctica with Ground Based Observations) funded by the Italian and Portuguese Antarctic programs respectively. In this paper a brief description of the new equipment is provided, highlighting the main improvements with regard to the ' old' one. Furthermore the full dataset (1996 - 2012) of NO2 total columns, obtained with the GASCOD installed at MZS, is compared with the data obtained with satellite borne equipments (GOME, SCIAMACHY, OMI and GOME2) and the main statistical parameters are analyzed and discussed in detail.</t>
  </si>
  <si>
    <t>[Bortoli, Daniele; Costa, Maria Joao; Kulkarni, Pavan K.; Mendes, Rui; Domingues, Ana Filipa; Silva, Ana Maria] Univ Evora, Rua Romao Ramalho 59, P-7000 Evora, Portugal; [Bortoli, Daniele; Ravegnani, Fabrizio; Genco, Silvia; Giovanelli, Giorgio] Inst Atmospher Sci &amp; Climate, I-40129 Bologna, Italy; [Anton, Manuel] Univ Extremadura, Badajoz, Spain</t>
  </si>
  <si>
    <t>University of Evora; Consiglio Nazionale delle Ricerche (CNR); Istituto di Scienze dell'Atmosfera e del Clima (ISAC-CNR); Universidad de Extremadura</t>
  </si>
  <si>
    <t>Bortoli, D (corresponding author), Univ Evora, Rua Romao Ramalho 59, P-7000 Evora, Portugal.</t>
  </si>
  <si>
    <t>db@uevora.pt</t>
  </si>
  <si>
    <t>kulkarni, P K/AAY-9944-2020; Bortoli, Daniele/A-5489-2009; Ravegnani, Fabrizio/A-7800-2009; Costa, Maria João/M-4119-2013; Antón, Manuel/A-8477-2010; Ravegnani, Fabrizio/AAM-5467-2021</t>
  </si>
  <si>
    <t>Bortoli, Daniele/0000-0002-2334-4055; Ravegnani, Fabrizio/0000-0003-0735-9297; Costa, Maria João/0000-0003-2981-2232; Ravegnani, Fabrizio/0000-0003-0735-9297; Silva, Ana Maria/0000-0003-2002-4774; Mendes, Rui/0000-0003-4542-5160</t>
  </si>
  <si>
    <t>FEDER (Programa Operacional Factores de Competitividade COMPETE); National funding through Fundacao para a Ciencia e a Tecnologia [FCOMP-01-0124-FEDER-014024, FCT PTDC/AAC-I/114031/2009]; SAMOA [2010/A3.04]; Italian Program for Antarctic Researches (PNRA); Fundacao para a Ciencia e a Tecnologia (FCT) [SFRH/BPD/82033/2011]; Fundação para a Ciência e a Tecnologia [SFRH/BPD/82033/2011] Funding Source: FCT</t>
  </si>
  <si>
    <t>FEDER (Programa Operacional Factores de Competitividade COMPETE); National funding through Fundacao para a Ciencia e a Tecnologia; SAMOA; Italian Program for Antarctic Researches (PNRA); Fundacao para a Ciencia e a Tecnologia (FCT)(Fundacao para a Ciencia e a Tecnologia (FCT)); Fundação para a Ciência e a Tecnologia(Fundacao para a Ciencia e a Tecnologia (FCT))</t>
  </si>
  <si>
    <t>The work is partially financed through FEDER (Programa Operacional Factores de Competitividade COMPETE) and National funding through Fundacao para a Ciencia e a Tecnologia in the framework of project FCOMP-01-0124-FEDER-014024 (Ref. FCT PTDC/AAC-I/114031/2009). The research is also supported thanks to the project SAMOA (2010/A3.04) funded by the Italian Program for Antarctic Researches (PNRA). P. S. K. is thankful to Fundacao para a Ciencia e a Tecnologia (FCT) for the grant SFRH/BPD/82033/2011. The authors are grateful to Franco Evangelisti, Francescopiero Calzolari, Giuliano Trivellone and Riccardi Bono for their support in Italy and during the Antarctic expeditions. Many thanks to Andreas Richter for the CIAMACHY, GOME and GOME2 data at the site http://www.iup.uni-bremen.de and to the OMI team to provide the data through the site http://avdc.gsfc.nasa.gov.</t>
  </si>
  <si>
    <t>10.1117/12.2029277</t>
  </si>
  <si>
    <t>WOS:000327077500003</t>
  </si>
  <si>
    <t>Wiebe, H; Heygster, G; Zege, E; Aoki, T; Hori, M</t>
  </si>
  <si>
    <t>Wiebe, Heidrun; Heygster, Georg; Zege, Eleonora; Aoki, Teruo; Hori, Masahiro</t>
  </si>
  <si>
    <t>Snow grain size retrieval SGSP from optical satellite data: Validation with ground measurements and detection of snow fall events</t>
  </si>
  <si>
    <t>REMOTE SENSING OF ENVIRONMENT</t>
  </si>
  <si>
    <t>Snow grain size; Retrieval; Satellite; MODIS; Validation</t>
  </si>
  <si>
    <t>SPECTRAL ALBEDO; SURFACE-AREA; PHYSICAL PARAMETERS; POLLUTION AMOUNT; IN-SITU; ALGORITHM; PRODUCTS; REFLECTANCE; ADSORPTION</t>
  </si>
  <si>
    <t>The size of snow grains plays an important role for modeling the snow albedo in polar regions. The Snow Grain Size and Pollution (SGSP) retrieval computes the snow grain size using spectral reflectances from the Moderate Imaging Spectrometer (MODIS): the channels at 0.47 mu m, 0.86 mu m, and 1.24 mu m. The unique feature of the SGSP retrieval is that it does not require a-priori information on the snow grain shape. In this paper, the SGSP-retrieved snow grain size is validated with six data sets from ground measurement campaigns in the Arctic, the Antarctic, Greenland, and Japan. Almost half of the comparison cases have a difference below 15%; the correlation coefficient is 0.86. The application of the SGSP retrieval on the Antarctic Ross ice shelf demonstrates the potential to detect snow fall events by analyzing the snow grain size time series for sudden grain size decreases. (C) 2012 Elsevier Inc. All rights reserved.</t>
  </si>
  <si>
    <t>[Wiebe, Heidrun; Heygster, Georg] Univ Bremen, Inst Environm Phys, D-28359 Bremen, Germany; [Zege, Eleonora] Natl Acad Sci, Inst Phys, Minsk, BELARUS; [Aoki, Teruo] Meteorol Res Inst, Tsukuba, Ibaraki 305, Japan; [Hori, Masahiro] Japan Aerosp Explorat Agcy JAXA, EORC, Tsukuba, Ibaraki, Japan</t>
  </si>
  <si>
    <t>University of Bremen; National Academy of Sciences of Belarus (NASB); B.I. Stepanov Institute of Physics of the National Academy of Sciences of Belarus; Meteorological Research Institute - Japan; Japan Aerospace Exploration Agency (JAXA)</t>
  </si>
  <si>
    <t>Wiebe, H (corresponding author), Univ Bremen, Inst Environm Phys, D-28359 Bremen, Germany.</t>
  </si>
  <si>
    <t>hwiebe@uni-bremen.de; heygster@uni-bremen.de</t>
  </si>
  <si>
    <t>Heygster, Georg C./B-4928-2014</t>
  </si>
  <si>
    <t>Heygster, Georg/0000-0003-2232-7429; , Masahiro/0000-0002-9729-7909</t>
  </si>
  <si>
    <t>EU; Earth System Science Research School (ESSReS), an initiative of the Helmholtz Association of German research centres (HGF) at the Alfred Wegener Institute for Polar and Marine Research; Grants-in-Aid for Scientific Research [23221004] Funding Source: KAKEN</t>
  </si>
  <si>
    <t>EU(European Union (EU)); Earth System Science Research School (ESSReS), an initiative of the Helmholtz Association of German research centres (HGF) at the Alfred Wegener Institute for Polar and Marine Research; Grants-in-Aid for Scientific Research(Ministry of Education, Culture, Sports, Science and Technology, Japan (MEXT)Japan Society for the Promotion of ScienceGrants-in-Aid for Scientific Research (KAKENHI))</t>
  </si>
  <si>
    <t>Funding by the EU project DAMOCLES (Developing Arctic Modeling and Observing Capabilities for Long-term Environmental Studies) and the Earth System Science Research School (ESSReS), an initiative of the Helmholtz Association of German research centres (HGF) at the Alfred Wegener Institute for Polar and Marine Research, is gratefully acknowledged.</t>
  </si>
  <si>
    <t>STE 800, 230 PARK AVE, NEW YORK, NY 10169 USA</t>
  </si>
  <si>
    <t>0034-4257</t>
  </si>
  <si>
    <t>1879-0704</t>
  </si>
  <si>
    <t>REMOTE SENS ENVIRON</t>
  </si>
  <si>
    <t>Remote Sens. Environ.</t>
  </si>
  <si>
    <t>10.1016/j.rse.2012.09.007</t>
  </si>
  <si>
    <t>Environmental Sciences; Remote Sensing; Imaging Science &amp; Photographic Technology</t>
  </si>
  <si>
    <t>Environmental Sciences &amp; Ecology; Remote Sensing; Imaging Science &amp; Photographic Technology</t>
  </si>
  <si>
    <t>060DV</t>
  </si>
  <si>
    <t>WOS:000312757600002</t>
  </si>
  <si>
    <t>Guyot, S</t>
  </si>
  <si>
    <t>Guyot, Sylvain</t>
  </si>
  <si>
    <t>The territorial making of rival Antarctic gateways: Ushuaia (Argentina) and Punta Arenas (Chile)</t>
  </si>
  <si>
    <t>REVISTA DE TRANSPORTE Y TERRITORIO</t>
  </si>
  <si>
    <t>Gateway; Bridgehead; Ushuaia; Punta Arenas; Antarctica</t>
  </si>
  <si>
    <t>Ushuaia and Punta Arenas are the southernmost cities in their belonging countries, Argentina and Chile. They have played the role of frontier towns in the process of consolidation and legitimation of these austral national territories located in the periphery of South America. During the last fifty years, these two port cities have emerged as the two main international gateways to Antarctica, and especially to Antarctic Peninsula. They participate in the structuring of a multifaceted Antarctic frontier conquest: military, scientific, ecological and tourist The bridgehead is a key concept to rethink the territorial structuring and control of conquest frontier. If we recall proximity and connection as minimal criteria to define a gateway, political control and territorial reference tend to reinforce the gateway as the main bridgehead place of the conquest frontier. Are then Ushuaia and Punta Arenas becoming Antarctic -driven cities? How are they used in the antarctic national policies of Argentina and Chile?</t>
  </si>
  <si>
    <t>[Guyot, Sylvain] Univ Limoges, Ctr Natl Rech Sci, GEOLAB, Limoges, France</t>
  </si>
  <si>
    <t>Universite de Limoges; Centre National de la Recherche Scientifique (CNRS)</t>
  </si>
  <si>
    <t>Guyot, S (corresponding author), Univ Limoges, Ctr Natl Rech Sci, GEOLAB, Limoges, France.</t>
  </si>
  <si>
    <t>sylvain.guyot@unilim.fr</t>
  </si>
  <si>
    <t>UNIV BUENOS AIRES, INST GEOGRAFIA</t>
  </si>
  <si>
    <t>PUAN 480 PISO 4, BUENOS AIRES, 1406, ARGENTINA</t>
  </si>
  <si>
    <t>1852-7175</t>
  </si>
  <si>
    <t>REV TRANSP TERRIT</t>
  </si>
  <si>
    <t>Rev. Transp. Territ.</t>
  </si>
  <si>
    <t>Transportation</t>
  </si>
  <si>
    <t>V7B2Y</t>
  </si>
  <si>
    <t>WOS:000420803100002</t>
  </si>
  <si>
    <t>Steele, A; Warny, S</t>
  </si>
  <si>
    <t>Steele, Adrienne; Warny, Sophie</t>
  </si>
  <si>
    <t>Reconstructing Earth's Past Climates: The Hidden Secrets of Pollen</t>
  </si>
  <si>
    <t>SCIENCE ACTIVITIES</t>
  </si>
  <si>
    <t>biology; climate; data analysis; Eocene; geology; Miocene; Oligocene; pollen</t>
  </si>
  <si>
    <t>Palynology is the study of fossil pollen and spores, and these tiny grains can provide fundamental information about past climates on Earth. Among their many unique and useful properties, pollen and spores are composed of some of the most chemically resistant organic compounds found in nature. They are also produced in vast quantities and are unique to the specific plant from which they originate. All these features make them ideal to reconstruct past climates from both recent history as well as from the ancient past. The purpose of this activity is to get students familiar with palynology and how scientists study climate change. It is based on real palynological data acquired from Antarctic cores obtained recently from the ANDRILL and SHALDRIL drilling campaigns. In order for students to understand this research and its importance, they will separate and identify pollen and spores from a simulated core sample in which different species of plants are represented as different colors of glitter. Students will compare the types and abundance of pollen and spores found in each layer of the core sample and research the climate preferences of the types of plants recovered in order to reconstruct the past climates of Antarctica.</t>
  </si>
  <si>
    <t>[Steele, Adrienne; Warny, Sophie] Louisiana State Univ, Coll Sci, 336 Hatcher Hall, Baton Rouge, LA 70803 USA</t>
  </si>
  <si>
    <t>Louisiana State University System; Louisiana State University</t>
  </si>
  <si>
    <t>Steele, A (corresponding author), Louisiana State Univ, Coll Sci, 336 Hatcher Hall, Baton Rouge, LA 70803 USA.</t>
  </si>
  <si>
    <t>alopez@lsu.edu</t>
  </si>
  <si>
    <t>Warny, Sophie A/A-8226-2013</t>
  </si>
  <si>
    <t>Directorate For Geosciences; Office of Polar Programs (OPP) [1048343] Funding Source: National Science Foundation</t>
  </si>
  <si>
    <t>Directorate For Geosciences; Office of Polar Programs (OPP)(National Science Foundation (NSF)NSF - Directorate for Geosciences (GEO))</t>
  </si>
  <si>
    <t>0036-8121</t>
  </si>
  <si>
    <t>1940-1302</t>
  </si>
  <si>
    <t>SCI ACT</t>
  </si>
  <si>
    <t>Sci. Act.</t>
  </si>
  <si>
    <t>10.1080/00368121.2013.792763</t>
  </si>
  <si>
    <t>V3M6L</t>
  </si>
  <si>
    <t>WOS:000218394200004</t>
  </si>
  <si>
    <t>Stone, P; Faithfull, J</t>
  </si>
  <si>
    <t>Stone, P.; Faithfull, J.</t>
  </si>
  <si>
    <t>The mineral prospecting expeditions to the South Atlantic islands and Antarctic Peninsula region made by the Scottish geologist David Ferguson, 1912-1914</t>
  </si>
  <si>
    <t>SCOTTISH JOURNAL OF GEOLOGY</t>
  </si>
  <si>
    <t>SCOTIA RIDGE</t>
  </si>
  <si>
    <t>David Ferguson's mineral prospecting expeditions to South Georgia (1912), the Falkland Islands and the South Shetland Islands (1913-1914), on behalf of the Christian Salvesen whaling company of Leith and now largely forgotten, were early examples of commercially motivated terrestrial exploration in the South Atlantic region. Prior geological knowledge was very limited and Ferguson complemented his unsuccessful prospecting work with attempts to understand the regional geology of the areas that he visited. These interpretations were based on relatively cursory fieldwork undertaken in an arduous environment, and did not prove robust; but the well-documented specimen collections that Ferguson accumulated provided the basis for excellent and much-cited petrographical accounts by G. W. Tyrrell of Glasgow University. Ferguson had studied geology at the university and the influence of his mentor there, Professor J. W. Gregory, is apparent. In turn, Gregory utilized Ferguson's observations in support of a subsided 'South Atlantic continent', opposing the `displacement hypothesis' for that region formalized by Alfred Wegener from 1912 onwards. Ferguson's field notebooks and most of his rock specimens are now held by Glasgow University (Archive Services and Hunterian Museum, respectively) but he distributed representative specimen collections widely, and these are extant in several other British museums. Specimens were also supplied to, and discussed with, William Speirs Bruce who, following the 1902-1904 Scottish National Antarctic Expedition, took a keen interest in Ferguson's discoveries.</t>
  </si>
  <si>
    <t>[Stone, P.] British Geol Survey, Edinburgh EH9 3LA, Midlothian, Scotland; [Faithfull, J.] Univ Glasgow, Hunterian Museum, Glasgow G12 8QQ, Lanark, Scotland</t>
  </si>
  <si>
    <t>UK Research &amp; Innovation (UKRI); Natural Environment Research Council (NERC); NERC British Geological Survey; University of Glasgow</t>
  </si>
  <si>
    <t>Stone, P (corresponding author), British Geol Survey, Murchison House,West Mains Rd, Edinburgh EH9 3LA, Midlothian, Scotland.</t>
  </si>
  <si>
    <t>psto@bgs.ac.uk</t>
  </si>
  <si>
    <t>Faithfull, John/0000-0001-7861-3542</t>
  </si>
  <si>
    <t>Natural Environment Research Council [bgs05001] Funding Source: researchfish; NERC [bgs05001] Funding Source: UKRI</t>
  </si>
  <si>
    <t>0036-9276</t>
  </si>
  <si>
    <t>SCOT J GEOL</t>
  </si>
  <si>
    <t>Scott. J. Geol.</t>
  </si>
  <si>
    <t>10.1144/sjg2013-004</t>
  </si>
  <si>
    <t>183OJ</t>
  </si>
  <si>
    <t>WOS:000321825900006</t>
  </si>
  <si>
    <t>Füllekrug, M; Diver, D; Pinçon, JL; Phelps, ADR; Bourdon, A; Helling, C; Blanc, E; Honary, F; Harrison, RG; Sauvaud, JA; Renard, JB; Lester, M; Rycroft, M; Kosch, M; Horne, RB; Soula, S; Gaffet, S</t>
  </si>
  <si>
    <t>Fuellekrug, Martin; Diver, Declan; Pincon, Jean-Louis; Phelps, Alan D. R.; Bourdon, Anne; Helling, Christiane; Blanc, Elisabeth; Honary, Farideh; Harrison, R. Giles; Sauvaud, Jean-Andre; Renard, Jean-Baptiste; Lester, Mark; Rycroft, Michael; Kosch, Mike; Horne, Richard B.; Soula, Serge; Gaffet, Stephane</t>
  </si>
  <si>
    <t>Energetic Charged Particles Above Thunderclouds</t>
  </si>
  <si>
    <t>SURVEYS IN GEOPHYSICS</t>
  </si>
  <si>
    <t>Relativistic; Atmospheric; Electrodynamics</t>
  </si>
  <si>
    <t>GAMMA-RAY FLASHES; SPRITES94 AIRCRAFT CAMPAIGN; RADIATION BELT ELECTRONS; BROWN DWARFS; ELECTRICAL-DISCHARGE; OPTICAL-EMISSIONS; RUNAWAY BREAKDOWN; RADIO-EMISSION; GRAVITY-WAVES; HIGH-ALTITUDE</t>
  </si>
  <si>
    <t>The French government has committed to launch the satellite TARANIS to study transient coupling processes between the Earth's atmosphere and near-Earth space. The prime objective of TARANIS is to detect energetic charged particles and hard radiation emanating from thunderclouds. The British Nobel prize winner C.T.R. Wilson predicted lightning discharges from the top of thunderclouds into space almost a century ago. However, new experiments have only recently confirmed energetic discharge processes which transfer energy from the top of thunderclouds into the upper atmosphere and near-Earth space; they are now denoted as transient luminous events, terrestrial gamma-ray flashes and relativistic electron beams. This meeting report builds on the current state of scientific knowledge on the physics of plasmas in the laboratory and naturally occurring plasmas in the Earth's atmosphere to propose areas of future research. The report specifically reflects presentations delivered by the members of a novel Franco-British collaboration during a meeting at the French Embassy in London held in November 2011. The scientific subjects of the report tackle ionization processes leading to electrical discharge processes, observations of transient luminous events, electromagnetic emissions, energetic charged particles and their impact on the Earth's atmosphere. The importance of future research in this area for science and society, and towards spacecraft protection, is emphasized.</t>
  </si>
  <si>
    <t>[Fuellekrug, Martin] Univ Bath, Dept Elect &amp; Elect Engn, Bath BA2 7AY, Avon, England; [Diver, Declan] Univ Glasgow, Sch Phys &amp; Astron, Glasgow G12 8QQ, Lanark, Scotland; [Pincon, Jean-Louis; Renard, Jean-Baptiste] Lab Phys &amp; Chim Environm &amp; Espace, F-45071 Orleans 2, France; [Phelps, Alan D. R.] Univ Strathclyde, Dept Phys, Glasgow G4 0NG, Lanark, Scotland; [Bourdon, Anne] CNRS, Lab Energet Mol &amp; Macroscop, UPR 288, F-92295 Chatenay Malabry, France; [Helling, Christiane] Univ St Andrews, Sch Phys &amp; Astron N Haugh, St Andrews KY16 9SS, Fife, Scotland; [Blanc, Elisabeth] Commissariat Energie Atom, Geophys Lab, F-91680 Bruyeres Le Chatel, France; [Honary, Farideh; Kosch, Mike] Univ Lancaster, Dept Phys, Lancaster LA1 4YB, England; [Harrison, R. Giles] Univ Reading, Dept Meteorol, Reading RG6 6BB, Berks, England; [Sauvaud, Jean-Andre] Ctr Etud Spatiale Rayonnements IRAP, F-31028 Toulouse 4, France; [Lester, Mark] Univ Leicester, Dept Phys &amp; Astron, Leicester LE1 7RH, Leics, England; [Rycroft, Michael] CAESAR Consultancy, Cambridge CB3 9HW, England; [Kosch, Mike] Univ KwaZulu Natal, Sch Phys, ZA-4000 Durban, South Africa; [Horne, Richard B.] British Antarctic Survey, Cambridge CB3 0ET, England; [Soula, Serge] Univ Toulouse, CNRS, Lab Aerol, F-31400 Toulouse, France; [Gaffet, Stephane] Univ Avignon, UMS Univ Nice 3238, LSBB, CNRS, F-84400 La Grande Combe, Rustrel, France</t>
  </si>
  <si>
    <t>University of Bath; University of Glasgow; University of Strathclyde; Centre National de la Recherche Scientifique (CNRS); Universite Paris Saclay; University of St Andrews; CEA; Communaute Universite Grenoble Alpes; Universite Grenoble Alpes (UGA); Lancaster University; University of Reading; University of Leicester; University of Kwazulu Natal; UK Research &amp; Innovation (UKRI); Natural Environment Research Council (NERC); NERC British Antarctic Survey; Universite de Toulouse; Universite Toulouse III - Paul Sabatier; Centre National de la Recherche Scientifique (CNRS); Universite Cote d'Azur; Observatoire de la Cote d'Azur; Centre National de la Recherche Scientifique (CNRS); Avignon Universite</t>
  </si>
  <si>
    <t>Füllekrug, M (corresponding author), Univ Bath, Dept Elect &amp; Elect Engn, Bath BA2 7AY, Avon, England.</t>
  </si>
  <si>
    <t>eesmf@bath.ac.uk; serge.soula@aero.obs-mip.fr; gaffet@geoazur.unice.fr</t>
  </si>
  <si>
    <t>Blanc, Elisabeth/D-3890-2009; Harrison, RG/GWQ-8421-2022; Lester, Mark/C-9657-2016; Horne, Richard B/U-3764-2019; Diver, Declan A/E-6672-2010; Phelps, Alan D R/B-4437-2010; Bourdon, Anne/O-9869-2014; Helling, Christiane/T-9497-2018</t>
  </si>
  <si>
    <t>Harrison, RG/0000-0003-0693-347X; Horne, Richard B/0000-0002-0412-6407; Diver, Declan A/0000-0001-6478-6020; Phelps, Alan D R/0000-0002-1100-1012; Bourdon, Anne/0000-0003-3662-4651; Helling, Christiane/0000-0002-8275-1371; Honary, Farideh/0000-0002-7998-5628; Kosch, Michael Jurgen/0000-0003-2846-3915; GAFFET, Stephane/0000-0003-4726-2764</t>
  </si>
  <si>
    <t>French Embassy; Natural Environment Research Council (NERC) [NE/H024921/1]; EPSRC [EP/G04239X/1]; European Union; Engineering and Physical Sciences Research Council [EP/E009409/1, EP/G011087/1, EP/G04239X/1] Funding Source: researchfish; Natural Environment Research Council [NE/H024921/1, bas0100023] Funding Source: researchfish; Science and Technology Facilities Council [ST/H002480/1, ST/F002149/1, ST/F003005/1, ST/J001651/1, ST/K002961/1, PP/E007929/1] Funding Source: researchfish; EPSRC [EP/G04239X/1, EP/G011087/1, EP/E009409/1] Funding Source: UKRI; NERC [bas0100023, NE/H024921/1] Funding Source: UKRI; STFC [ST/J001651/1, ST/H002480/1, ST/F002149/1, ST/F003005/1, PP/E007929/1, ST/K002961/1] Funding Source: UKRI</t>
  </si>
  <si>
    <t>French Embassy; Natural Environment Research Council (NERC)(UK Research &amp; Innovation (UKRI)Natural Environment Research Council (NERC)); EPSRC(UK Research &amp; Innovation (UKRI)Engineering &amp; Physical Sciences Research Council (EPSRC)); European Union(European Union (EU)); Engineering and Physical Sciences Research Council(UK Research &amp; Innovation (UKRI)Engineering &amp; Physical Sciences Research Council (EPSRC)); Natural Environment Research Council(UK Research &amp; Innovation (UKRI)Natural Environment Research Council (NERC)); Science and Technology Facilities Council(UK Research &amp; Innovation (UKRI)Science &amp; Technology Facilities Council (STFC)); EPSRC(UK Research &amp; Innovation (UKRI)Engineering &amp; Physical Sciences Research Council (EPSRC)); NERC(UK Research &amp; Innovation (UKRI)Natural Environment Research Council (NERC)); STFC(UK Research &amp; Innovation (UKRI)Science &amp; Technology Facilities Council (STFC))</t>
  </si>
  <si>
    <t>This review was prepared for a meeting at the French Embassy in London, November 17-18, 2011, to establish a novel Franco-British collaboration centred on the satellite TARANIS. The invitees are grateful to the French Embassy for sponsoring and hosting this meeting in the most professional way. MF is supported by the Natural Environment Research Council (NERC) under grant NE/H024921/1, ADRP is supported by the EPSRC under grant EP/G04239X/1. ChH acknowledges an ERC starting grant from the European Union.</t>
  </si>
  <si>
    <t>0169-3298</t>
  </si>
  <si>
    <t>1573-0956</t>
  </si>
  <si>
    <t>SURV GEOPHYS</t>
  </si>
  <si>
    <t>Surv. Geophys.</t>
  </si>
  <si>
    <t>10.1007/s10712-012-9205-z</t>
  </si>
  <si>
    <t>059UM</t>
  </si>
  <si>
    <t>Green Submitted, Green Accepted</t>
  </si>
  <si>
    <t>WOS:000312731000001</t>
  </si>
  <si>
    <t>Moore, GWK; Renfrew, IA; Cassano, JJ</t>
  </si>
  <si>
    <t>Moore, George William Kent; Renfrew, Ian Alasdair; Cassano, John Joseph</t>
  </si>
  <si>
    <t>Greenland plateau jets</t>
  </si>
  <si>
    <t>Greenland; three dimensional wind field; katabatic flow; barrier winds; low-level jets</t>
  </si>
  <si>
    <t>KATABATIC FLOW; BARRIER WINDS; ICE-SHEET; SURFACE CLIMATOLOGY; ANTARCTIC PENINSULA; COATS LAND; DYNAMICS; WINTER; LAYER; CIRCULATION</t>
  </si>
  <si>
    <t>The high ice-covered topography of Greenland represents a significant barrier to atmospheric flow and, as a direct and indirect result, it plays a crucial role in the coupled climate system. The wind field over Greenland is important in diagnosing regional weather and climate, thereby providing information on the mass balance of the ice sheet as well as assisting in the interpretation of ice core data. Here, we identify a number of hitherto unrecognised features of the three-dimensional wind field over Greenland; including a 2500-km-long jet along the central ice sheet's western margin that extends from the surface into the middle-troposphere, as well as a similar but smaller scale and less intense feature along its eastern margin. We refer to these features as Greenland Plateau Jets. The jets are coupled to the downslope katabatic flow and we argue that they are maintained by the zonal temperature gradients associated with the strong temperature inversion over the central ice sheet. Their importance for Greenland's regional climate is discussed.</t>
  </si>
  <si>
    <t>[Moore, George William Kent] Univ Toronto, Dept Phys, Toronto, ON, Canada; [Renfrew, Ian Alasdair] Univ E Anglia, Sch Environm Sci, Norwich NR4 7TJ, Norfolk, England; [Cassano, John Joseph] Univ Colorado, Dept Atmospher &amp; Ocean Sci, Cooperat Inst Res Environm Sci, Boulder, CO 80309 USA</t>
  </si>
  <si>
    <t>University of Toronto; University of East Anglia; University of Colorado System; University of Colorado Boulder</t>
  </si>
  <si>
    <t>Moore, GWK (corresponding author), Univ Toronto, Dept Phys, Toronto, ON, Canada.</t>
  </si>
  <si>
    <t>gwk.moore@utoronto.ca</t>
  </si>
  <si>
    <t>Cassano, John/HKW-8817-2023; Moore, George Kent/D-8518-2011; Renfrew, Ian A/E-4057-2010</t>
  </si>
  <si>
    <t>Moore, George Kent/0000-0002-3986-5605; Renfrew, Ian/0000-0001-9379-8215</t>
  </si>
  <si>
    <t>Natural Sciences and Engineering Research Council of Canada; NERC [NE/C003365/1, NE/I028297/1]; United States Department of Energy [DE-SC0006178]; Natural Environment Research Council [NE/I028297/1, NE/C003365/1] Funding Source: researchfish; NERC [NE/I028297/1] Funding Source: UKRI; U.S. Department of Energy (DOE) [DE-SC0006178] Funding Source: U.S. Department of Energy (DOE)</t>
  </si>
  <si>
    <t>Natural Sciences and Engineering Research Council of Canada(Natural Sciences and Engineering Research Council of Canada (NSERC)CGIAR); NERC(UK Research &amp; Innovation (UKRI)Natural Environment Research Council (NERC)); United States Department of Energy(United States Department of Energy (DOE)); Natural Environment Research Council(UK Research &amp; Innovation (UKRI)Natural Environment Research Council (NERC)); NERC(UK Research &amp; Innovation (UKRI)Natural Environment Research Council (NERC)); U.S. Department of Energy (DOE)(United States Department of Energy (DOE))</t>
  </si>
  <si>
    <t>The authors thank the ECMWF for access to the ERA-I and the GC-Net for access to the AWS data. They also thank M. Van den Broeke and the anonymous reviewers for useful discussions regarding this paper. G. W. K. M. was supported by the Natural Sciences and Engineering Research Council of Canada. I. A. R.'s contributions to this work were supported NERC grants NE/C003365/1 and NE/I028297/1. J. J. C.'s contributions to this work were supported by the United States Department of Energy grant DE-SC0006178.</t>
  </si>
  <si>
    <t>10.3402/tellusa.v65i0.17468</t>
  </si>
  <si>
    <t>196HF</t>
  </si>
  <si>
    <t>WOS:000322763900001</t>
  </si>
  <si>
    <t>Ranjha, R; Svensson, G; Tjernström, M; Semedo, A</t>
  </si>
  <si>
    <t>Ranjha, Raza; Svensson, Gunilla; Tjernstrom, Michael; Semedo, Alvaro</t>
  </si>
  <si>
    <t>Global distribution and seasonal variability of coastal low-level jets derived from ERA-Interim reanalysis</t>
  </si>
  <si>
    <t>coastal jets; low-level jets; ECMWF; ERA Interim; low-level coastal jets; global climatology</t>
  </si>
  <si>
    <t>MARINE BOUNDARY-LAYER; ANTARCTIC PENINSULA; NORTHERN CALIFORNIA; WARM-SEASON; WEST-COAST; CLIMATOLOGY; DYNAMICS; OCEAN; WINDS; SIMULATIONS</t>
  </si>
  <si>
    <t>A low-level wind maximum is often found over the oceans near many coasts around the world. These Coastal Low-Level Jets (CLLJs) play an important role in the coastal weather and have significant impacts on regional climate and ecology as well as on a number of human activities. The presence of CLLJs is related to various local circumstances such as land-sea temperature contrasts, upwelling, coastal terrain, orientation of the coast, and so on, but also to the large-scale atmospheric dynamics. This makes studies of CLLJs not only interesting but also challenging. In this study, based on ERA-Interim reanalysis data, the global distribution, spatio-temporal structure and the seasonal variability of CLLJs are documented. Seasonal data from 1980 to 2011 are used to identify areas where CLLJs are frequently found in the lowest 2 km, following criteria based on the vertical profiles of wind speed and temperature. The results are analysed to highlight the fundamental aspects and distinctive features of the CLLJs across the globe, including their occurrence rate, jet height, maximum wind speed and horizontal extent. Global maps of CLLJs are constructed for the summer and winter seasons. The west coasts of North America, the Iberian Peninsula, north-western Africa and the south-eastern coast of the Arabian Peninsula make up the Northern Hemispheric CLLJ regions, while the west coasts of South America, Australia, and southern Africa comprise the South Hemispheric equivalents. The existence and characteristics of CLLJs along the southern coast of Oman and the western coast of the Iberian Peninsula regions are also discussed, not fully envisaged before in the context of CLLJs. The highest occurrence of CLLJs is found during the summer in both hemispheres, and the coast of Oman has the globally highest CLLJ frequency, with also the highest maximum wind speeds. The most commonly found CLLJ has a maximum wind speed between 9 and 15 m s(-1), and occurs at heights between 500 and 700 m a.s.l.</t>
  </si>
  <si>
    <t>[Ranjha, Raza; Svensson, Gunilla; Tjernstrom, Michael] Stockholm Univ, Dept Meteorol, S-10691 Stockholm, Sweden; [Ranjha, Raza; Svensson, Gunilla; Tjernstrom, Michael] Stockholm Univ, Bolin Ctr Climate Res, S-10691 Stockholm, Sweden; [Semedo, Alvaro] CINAV Escola Naval, Lisbon, Portugal; [Semedo, Alvaro] Uppsala Univ, Dept Earth Sci, Uppsala, Sweden</t>
  </si>
  <si>
    <t>Stockholm University; Stockholm University; Uppsala University</t>
  </si>
  <si>
    <t>Ranjha, R (corresponding author), Stockholm Univ, Dept Meteorol, S-10691 Stockholm, Sweden.</t>
  </si>
  <si>
    <t>ranjha@misu.su.se</t>
  </si>
  <si>
    <t>Tjernström, Michael/AAF-3481-2020; Semedo, Alvaro/B-1615-2016</t>
  </si>
  <si>
    <t>Tjernstrom, Michael/0000-0002-6908-7410; Semedo, Alvaro/0000-0002-2434-8517</t>
  </si>
  <si>
    <t>Higher Education Commission of Pakistan</t>
  </si>
  <si>
    <t>Higher Education Commission of Pakistan(Higher Education Commission of Pakistan)</t>
  </si>
  <si>
    <t>Raza Ranjha gratefully acknowledges support from the Higher Education Commission of Pakistan. The ERA-Interim data was obtained from the ECMWF data server. The authors are grateful to Dick Dee and Anton Beljaars at the ECMWF for help interpreting the ERA-Interim results. The authors are also thankful to the two anonymous reviewers for their constructive comments and suggestions and are further grateful to Peter Lundberg for valuable comments on a previous version of the article.</t>
  </si>
  <si>
    <t>10.3402/tellusa.v65i0.20412</t>
  </si>
  <si>
    <t>196HI</t>
  </si>
  <si>
    <t>WOS:000322764200001</t>
  </si>
  <si>
    <t>Iizuka, Y; Delmonte, B; Oyabu, I; Karlin, T; Maggi, V; Albani, S; Fukui, M; Hondoh, T; Hansson, M</t>
  </si>
  <si>
    <t>Iizuka, Yoshinori; Delmonte, Barbara; Oyabu, Ikumi; Karlin, Torbjorn; Maggi, Valter; Albani, Samuel; Fukui, Manabu; Hondoh, Takeo; Hansson, Margareta</t>
  </si>
  <si>
    <t>Sulphate and chloride aerosols during Holocene and last glacial periods preserved in the Talos Dome Ice Core, a peripheral region of Antarctica</t>
  </si>
  <si>
    <t>aerosol compounds; ice sublimation method; marine aerosol; paleo-environmental reconstruction; sea-salt sulphatisation</t>
  </si>
  <si>
    <t>EAST ANTARCTICA; AEOLIAN DUST; AGE SCALE; CLIMATE; FUJI; CYCLES; EPICA; PROVENANCE; RECORDS; SNOW</t>
  </si>
  <si>
    <t>Antarctic ice cores preserve the record of past aerosols, an important proxy of past atmospheric chemistry. Here we present the aerosol compositions of sulphate and chloride particles in the Talos Dome (TD) ice core from the Holocene and Last Glacial Period. We find that the main salt types of both periods are NaCl, Na2SO4 and CaSO4, indicating that TD ice contains relatively abundant sea salt (NaCl) from marine primary particles. By evaluating the molar ratio of NaCl to Na2SO4, we show that about half of the sea salt does not undergo sulphatisation during late Holocene. Compared to in inland Antarctica, the lower sulphatisation rate at TD is probably due to relatively little contact between sea salt and sulphuric acid. This low contact rate can be related to a reduced time of reaction for marine-sourced aerosol before reaching TD and/or to a reduced post-depositional effect from the higher accumulation rate at TD. Many sulphate and chloride salts are adhered to silicate minerals. The ratio of sulphate-adhered mineral to particle mass and the corresponding ratio of chloride-adhered mineral both increase with increasing dust concentration. Also, the TD ice appears to contain Ca(NO3)(2) or CaCO3 particles, thus differing from aerosol compositions in inland Antarctica, and indicating the proximity of peripheral regions to marine aerosols.</t>
  </si>
  <si>
    <t>[Iizuka, Yoshinori; Oyabu, Ikumi; Fukui, Manabu; Hondoh, Takeo] Hokkaido Univ, Inst Low Temp Sci, Sapporo, Hokkaido 060, Japan; [Delmonte, Barbara; Maggi, Valter; Albani, Samuel] Univ Milano Bicocca, Dept Earth &amp; Environm Sci, Milan, Italy; [Karlin, Torbjorn; Hansson, Margareta] Stockholm Univ, Dept Phys Geog &amp; Quaternary Geol, S-10691 Stockholm, Sweden</t>
  </si>
  <si>
    <t>Hokkaido University; University of Milano-Bicocca; Stockholm University</t>
  </si>
  <si>
    <t>Iizuka, Y (corresponding author), Hokkaido Univ, Inst Low Temp Sci, Sapporo, Hokkaido 060, Japan.</t>
  </si>
  <si>
    <t>iizuka@lowtem.hokudai.ac.jp</t>
  </si>
  <si>
    <t>Albani, Samuel/AAC-5604-2020; Karlin, Torbjörn A/H-7839-2012; Fukui, Manabu/E-1323-2012; Oyabu, Ikumi/AGE-1164-2022; HONDOH, TAKEO/E-7551-2011; Albani, Samuel/G-5329-2015; Maggi, Valter/AAX-5728-2020; Delmonte, Barbara/L-2555-2015; Maggi, Valter/E-1878-2014; Iizuka, Yoshinori/D-9112-2012</t>
  </si>
  <si>
    <t>Albani, Samuel/0000-0001-9736-5134; Oyabu, Ikumi/0000-0001-8017-1085; Albani, Samuel/0000-0001-9736-5134; Maggi, Valter/0000-0001-6287-1213; Delmonte, Barbara/0000-0002-9074-2061; Iizuka, Yoshinori/0000-0001-7241-6062</t>
  </si>
  <si>
    <t>Ministry of Education, Culture, Sports, Science and Technology (MEXT) [23680001]; Japan's Society for the Promotion of Science (JSPS); Institute of Low Temperature Science, Hokkaido University; JSPS; PNRA; Grants-in-Aid for Scientific Research [23680001, 21221002, 22370005] Funding Source: KAKEN</t>
  </si>
  <si>
    <t>Ministry of Education, Culture, Sports, Science and Technology (MEXT)(Ministry of Education, Culture, Sports, Science and Technology, Japan (MEXT)); Japan's Society for the Promotion of Science (JSPS); Institute of Low Temperature Science, Hokkaido University; JSPS(Ministry of Education, Culture, Sports, Science and Technology, Japan (MEXT)Japan Society for the Promotion of Science); PNRA; Grants-in-Aid for Scientific Research(Ministry of Education, Culture, Sports, Science and Technology, Japan (MEXT)Japan Society for the Promotion of ScienceGrants-in-Aid for Scientific Research (KAKENHI))</t>
  </si>
  <si>
    <t>This study was also supported by Scientific Research (A) grant number 23680001 provided by the Ministry of Education, Culture, Sports, Science and Technology (MEXT) and Japan's Society for the Promotion of Science (JSPS), and also by a Grant for Joint Research Program of the Institute of Low Temperature Science, Hokkaido University. This work was also supported by the JSPS Institutional Program for Young Researcher Overseas Visits. This work is a contribution of HOLOCLIP, a joint research project of ESF PolarCLIMATE programme, funded by national contributions from Italy, France, Germany, Spain, Netherlands, Belgium and the United Kingdom. In Italy HOLOCLIP is funded by PNRA. This is HOLOCLIP publication no. 17.</t>
  </si>
  <si>
    <t>0280-6509</t>
  </si>
  <si>
    <t>10.3402/tellusb.v65i0.20197</t>
  </si>
  <si>
    <t>138BU</t>
  </si>
  <si>
    <t>WOS:000318484100001</t>
  </si>
  <si>
    <t>Collier, S</t>
  </si>
  <si>
    <t>Collier, Scott</t>
  </si>
  <si>
    <t>Scott of the Antarctic: We Shall Die Like Gentlemen</t>
  </si>
  <si>
    <t>TERRAE INCOGNITAE-THE JOURNAL OF THE SOCIETY FOR THE HISTORY OF DISCOVERIES</t>
  </si>
  <si>
    <t>Book Review</t>
  </si>
  <si>
    <t>0082-2884</t>
  </si>
  <si>
    <t>2040-8706</t>
  </si>
  <si>
    <t>TERR INCOGN</t>
  </si>
  <si>
    <t>Terr. Incogn.</t>
  </si>
  <si>
    <t>10.1179/0082288413Z.00000000017</t>
  </si>
  <si>
    <t>V3G9M</t>
  </si>
  <si>
    <t>WOS:000218246100005</t>
  </si>
  <si>
    <t>Seidemann, RM</t>
  </si>
  <si>
    <t>Seidemann, Ryan M.</t>
  </si>
  <si>
    <t>Ordeal by Ice: Ships of the Antarctic</t>
  </si>
  <si>
    <t>[Seidemann, Ryan M.] Louisiana Dept Justice, New Orleans, LA 70112 USA</t>
  </si>
  <si>
    <t>Seidemann, RM (corresponding author), Louisiana Dept Justice, New Orleans, LA 70112 USA.</t>
  </si>
  <si>
    <t>WOS:000218246100009</t>
  </si>
  <si>
    <t>Berger, AA</t>
  </si>
  <si>
    <t>Berger, Arthur Asa</t>
  </si>
  <si>
    <t>Antarctic</t>
  </si>
  <si>
    <t>THEORIZING TOURISM: ANALYZING ICONIC DESTINATIONS</t>
  </si>
  <si>
    <t>[Berger, Arthur Asa] San Francisco State Univ, Broadcast &amp; Elect Commun Arts, San Francisco, CA 94132 USA</t>
  </si>
  <si>
    <t>California State University System; San Francisco State University</t>
  </si>
  <si>
    <t>Berger, AA (corresponding author), San Francisco State Univ, Broadcast &amp; Elect Commun Arts, San Francisco, CA 94132 USA.</t>
  </si>
  <si>
    <t>ROUTLEDGE</t>
  </si>
  <si>
    <t>2 PARK SQ, MILTON PARK, ABINGDON OX14 4RN, OXFORD, ENGLAND</t>
  </si>
  <si>
    <t>978-1-61132-235-4; 978-1-315-41676-2; 978-1-61132-234-7</t>
  </si>
  <si>
    <t>Hospitality, Leisure, Sport &amp; Tourism; Philosophy; Social Issues</t>
  </si>
  <si>
    <t>Social Sciences - Other Topics; Philosophy; Social Issues</t>
  </si>
  <si>
    <t>BI9OG</t>
  </si>
  <si>
    <t>WOS:000416313200011</t>
  </si>
  <si>
    <t>Sutherland, WJ; Bardsley, S; Clout, M; Depledge, MH; Dicks, LV; Fellman, L; Fleishman, E; Gibbons, DW; Keim, B; Lickorish, F; Margerison, C; Monk, KA; Norris, K; Peck, LS; Prior, SV; Scharlemann, JPW; Spalding, MD; Watkinson, AR</t>
  </si>
  <si>
    <t>Sutherland, William J.; Bardsley, Sarah; Clout, Mick; Depledge, Michael H.; Dicks, Lynn V.; Fellman, Liz; Fleishman, Erica; Gibbons, David W.; Keim, Brandon; Lickorish, Fiona; Margerison, Ceri; Monk, Kathryn A.; Norris, Kenneth; Peck, Lloyd S.; Prior, Stephanie V.; Scharlemann, Joern P. W.; Spalding, Mark D.; Watkinson, Andrew R.</t>
  </si>
  <si>
    <t>A horizon scan of global conservation issues for 2013</t>
  </si>
  <si>
    <t>TRENDS IN ECOLOGY &amp; EVOLUTION</t>
  </si>
  <si>
    <t>ENVIRONMENTAL DNA; BIODIVERSITY LOSS; AQUACULTURE; RESTORATION; DIVERSITY</t>
  </si>
  <si>
    <t>This paper presents the findings of our fourth annual horizon-scanning exercise, which aims to identify topics that increasingly may affect conservation of biological diversity. The 15 issues were identified via an iterative, transferable process by a team of professional horizon scanners, researchers, practitioners, and a journalist. The 15 topics include the commercial use of antimicrobial peptides, thorium-fuelled nuclear power, and undersea oil production.</t>
  </si>
  <si>
    <t>[Sutherland, William J.; Dicks, Lynn V.; Prior, Stephanie V.] Univ Cambridge, Dept Zool, Conservat Sci Grp, Cambridge CB2 3EJ, England; [Bardsley, Sarah] Environm Agcy, Bristol BS1 5AH, Avon, England; [Clout, Mick] Univ Auckland, Sch Biol Sci, Ctr Biodivers &amp; Biosecur, Auckland 1, New Zealand; [Depledge, Michael H.] Univ Exeter, Sch Med, European Ctr Environm &amp; Human Hlth, Knowledge Spa, Truro TR1 3HD, England; [Fellman, Liz] NERC, Swindon SN2 1EU, Wilts, England; [Fleishman, Erica] Univ Calif Davis, John Muir Inst Environm, Davis, CA 95616 USA; [Gibbons, David W.] Royal Soc Protect Birds, Sandy SG19 2DL, Beds, England; [Keim, Brandon] Wired Magazine, San Francisco, CA 94107 USA; [Lickorish, Fiona] Cranfield Univ, Ctr Environm Risks &amp; Futures, Cranfield MK43 0AL, Beds, England; [Margerison, Ceri] British Ecol Soc, London WC1N 2JU, England; [Monk, Kathryn A.] Environm Agcy Wales, Cardiff CF24 0TP, S Glam, Wales; [Norris, Kenneth] Univ Reading, Sch Agr Policy &amp; Dev, Reading RG6 6AR, Berks, England; [Peck, Lloyd S.] British Antarctic Survey, NERC, Cambridge CB3 0ET, England; [Scharlemann, Joern P. W.] UN, Environm Programme, World Conservat Monitoring Ctr, Cambridge CB3 0DL, England; [Scharlemann, Joern P. W.] Univ Sussex, Sch Life Sci, Brighton BN1 9QG, E Sussex, England; [Spalding, Mark D.] Univ Cambridge, Dept Zool, Nat Conservancy, Global Marine Team, Cambridge CB2 3EJ, England; [Watkinson, Andrew R.] Univ E Anglia, Sch Environm Sci, Living With Environm Change, Norwich NR4 7TJ, Norfolk, England</t>
  </si>
  <si>
    <t>University of Cambridge; University of Auckland; University of Exeter; UK Research &amp; Innovation (UKRI); Natural Environment Research Council (NERC); University of California System; University of California Davis; Royal Society for Protection of Birds; Cranfield University; University of Reading; UK Research &amp; Innovation (UKRI); Natural Environment Research Council (NERC); NERC British Antarctic Survey; United Nations Environment Programme; University of Sussex; University of Cambridge; University of East Anglia</t>
  </si>
  <si>
    <t>Sutherland, WJ (corresponding author), Univ Cambridge, Dept Zool, Conservat Sci Grp, Downing St, Cambridge CB2 3EJ, England.</t>
  </si>
  <si>
    <t>wjs32@hermes.cam.ac.uk</t>
  </si>
  <si>
    <t>Watkinson, Andrew R/N-1649-2013; Dicks, Lynn V./AFH-5289-2022; Sutherland, William/B-1291-2013; Monk, Kathryn/GRR-2773-2022; Scharlemann, Jorn/A-4737-2008; Spalding, Mark/GVU-0739-2022</t>
  </si>
  <si>
    <t>Dicks, Lynn V./0000-0002-8304-4468; Scharlemann, Jorn/0000-0002-2834-6367; Clout, Mick/0000-0003-2864-4628; Lickorish, Fiona/0000-0002-0696-202X; Depledge, Michael/0000-0002-7216-0439; Sutherland, William/0000-0002-6498-0437; Spalding, Mark/0000-0001-9456-4533</t>
  </si>
  <si>
    <t>UK Natural Environment Research Council; European Centre for Environment and Human Health (University of Exeter Medical School); Royal Society for the Protection of Birds; Arcadia Fund; Natural Environment Research Council [bas0100025] Funding Source: researchfish; NERC [bas0100025] Funding Source: UKRI</t>
  </si>
  <si>
    <t>UK Natural Environment Research Council(UK Research &amp; Innovation (UKRI)Natural Environment Research Council (NERC)); European Centre for Environment and Human Health (University of Exeter Medical School); Royal Society for the Protection of Birds; Arcadia Fund; Natural Environment Research Council(UK Research &amp; Innovation (UKRI)Natural Environment Research Council (NERC)); NERC(UK Research &amp; Innovation (UKRI)Natural Environment Research Council (NERC))</t>
  </si>
  <si>
    <t>This is an activity of the Cambridge Conservation Initiative. The UK Natural Environment Research Council, European Centre for Environment and Human Health (University of Exeter Medical School), and Royal Society for the Protection of Birds provided funding. We thank the numerous individuals for their valuable contributions to the issue collection exercise, including Andy Dobson, Erica Fleishman, Jim Harris, David Lindenmayer, and Neil Smith. Stephen Elliott suggested one of the topics included here. Robert Suydam shared his expertise on individual issues. An anonymous referee made useful suggestions. W.J.S. is supported by the Arcadia Fund.</t>
  </si>
  <si>
    <t>ELSEVIER SCIENCE LONDON</t>
  </si>
  <si>
    <t>84 THEOBALDS RD, LONDON WC1X 8RR, ENGLAND</t>
  </si>
  <si>
    <t>0169-5347</t>
  </si>
  <si>
    <t>1872-8383</t>
  </si>
  <si>
    <t>TRENDS ECOL EVOL</t>
  </si>
  <si>
    <t>Trends Ecol. Evol.</t>
  </si>
  <si>
    <t>10.1016/j.tree.2012.10.022</t>
  </si>
  <si>
    <t>Ecology; Evolutionary Biology; Genetics &amp; Heredity</t>
  </si>
  <si>
    <t>Environmental Sciences &amp; Ecology; Evolutionary Biology; Genetics &amp; Heredity</t>
  </si>
  <si>
    <t>079AH</t>
  </si>
  <si>
    <t>WOS:000314142100007</t>
  </si>
  <si>
    <t>Ackerley, D; Bell, RG; Mullan, AB; McMillan, H</t>
  </si>
  <si>
    <t>Ackerley, Duncan; Bell, Robert G.; Mullan, A. Brett; McMillan, Hilary</t>
  </si>
  <si>
    <t>Estimation of regional departures from global-average sea-level rise around New Zealand from AOGCM simulations</t>
  </si>
  <si>
    <t>WEATHER AND CLIMATE</t>
  </si>
  <si>
    <t>level rise; New Zealand; IPCC AR 4 climate models</t>
  </si>
  <si>
    <t>SOUTH-PACIFIC; VARIABILITY; MODEL</t>
  </si>
  <si>
    <t>Quantifying future increases in sea level around New Zealand arising from climate change is a key factor for determining decisions on adaptation, yet most projections are expressed in terms of a global-mean rise in sea level. The work presented here makes use of the data from the Atmosphere-Ocean General Circulation Models (AOGCM) used in the 4th Intergovernmental Panel on Climate Change Assessment Report (IPCC AR4) of 2007 to estimate the possible regional changes in absolute sea level for the SW Pacific for the middle and end of this century for three future climate SRES scenarios (A1B, A2, B2). The AR4 models are initially assessed against satellite altimetry data and while the time mean characteristics of the dynamic topography are represented well, the representation of higher frequency variability is poor. Regional steric changes, determined from averaging several AR4 climate-ocean models, indicate departures of up to an additional 0.05 m, relative to the global average rise, may be applicable to the New Zealand region by the end of the century (2080-2099 relative to 1980-1999). The highest departures from the global mean rise in steric sea level would occur to the west of New Zealand (Tasman Sea) with the lowest departures in the deeper ocean areas (not the coast) to the south-east of the South Island (south of Chatham Rise). Of the three scenarios considered, the largest projected regional departures in sea-level rise around New Zealand for 2030-2049 occur in the A1B scenario and for 2080-2099 in the A2 scenario. However, the analysis presented here shows the projected regional increase in eustatic sea level will be relatively small compared to the global mean sea-level rise and supports earlier statements about departures in the region in more detail. Additionally, further regional contributions to sea-level rise will be influenced by future spatial changes in the gravitational field as melting of the Earth's polar ice sheets accelerates, producing a south-to-north gradient in sea-level rise for New Zealand from this process, with a lower contribution in the south relative to the north. It remains unclear what effects climate change will have on oceanic current circulation in the New Zealand region, and therefore on regional and local changes in sea-surface height. Locally, around the New Zealand coast, relative sea-level rise will also be influenced by spatial and temporal variations in rates of vertical land motion arising primarily from tectonic processes, such as the subsidence currently being experienced in the Wellington region.</t>
  </si>
  <si>
    <t>[Ackerley, Duncan; Mullan, A. Brett] Natl Inst Water &amp; Atmospher Res NIWA, Wellington, New Zealand; [Ackerley, Duncan] Monash Univ, Monash Weather &amp; Climate, Clayton, Vic, Australia; [Bell, Robert G.] Natl Inst Water &amp; Atmospher Res NIWA, Hamilton, New Zealand; [McMillan, Hilary] Natl Inst Water &amp; Atmospher Res NIWA, Christchurch, New Zealand</t>
  </si>
  <si>
    <t>National Institute of Water &amp; Atmospheric Research (NIWA) - New Zealand; Monash University; National Institute of Water &amp; Atmospheric Research (NIWA) - New Zealand; National Institute of Water &amp; Atmospheric Research (NIWA) - New Zealand</t>
  </si>
  <si>
    <t>Bell, RG (corresponding author), NIWA, POB 11-115, Hamilton, New Zealand.</t>
  </si>
  <si>
    <t>rob.bell@niwa.co.nz</t>
  </si>
  <si>
    <t>ACKERLEY, DUNCAN/JGE-5894-2023; McMillan, Hilary/C-6772-2009</t>
  </si>
  <si>
    <t>ACKERLEY, DUNCAN/0000-0001-9027-4088; McMillan, Hilary/0000-0002-9330-9730</t>
  </si>
  <si>
    <t>Regional Climate Modelling project - former Foundation for Research Science Technology [C01X0804]; NIWA core funds [CLCP1304]; New Zealand Ministry of Business, Innovation &amp; Employment (MBIE) [C01X0804] Funding Source: New Zealand Ministry of Business, Innovation &amp; Employment (MBIE)</t>
  </si>
  <si>
    <t>Regional Climate Modelling project - former Foundation for Research Science Technology; NIWA core funds; New Zealand Ministry of Business, Innovation &amp; Employment (MBIE)(New Zealand Ministry of Business, Innovation and Employment (MBIE))</t>
  </si>
  <si>
    <t>We thank Dr Dan Zwartz (Antarctic Research Centre, Victoria University of Wellington) and Dr Phil Sutton (NIWA) for various discussions and assistance in providing information on sea-level fingerprinting and ocean circulation respectively and to Siobhan O'Farrell (CSIRO) for early discussions on AR4 models. The input from the two anonymous reviewers was much appreciated. The research was supported by the Regional Climate Modelling project (C01X0804) funded by the former Foundation for Research Science &amp; Technology and latterly by NIWA core funds (CLCP1304).</t>
  </si>
  <si>
    <t>METEOROLOGICAL SOC NEW ZEALAND</t>
  </si>
  <si>
    <t>WELLINGTON</t>
  </si>
  <si>
    <t>PO BOX 6523, WELLINGTON, 6011, NEW ZEALAND</t>
  </si>
  <si>
    <t>0111-5499</t>
  </si>
  <si>
    <t>WEATHER CLIM</t>
  </si>
  <si>
    <t>Weather Clim</t>
  </si>
  <si>
    <t>V16WE</t>
  </si>
  <si>
    <t>WOS:000214645500001</t>
  </si>
  <si>
    <t>Kudrina, PI; Aryev, AL</t>
  </si>
  <si>
    <t>Kudrina, P., I; Aryev, A. L.</t>
  </si>
  <si>
    <t>Prevalence of chronic kidney disease in the elderly and senile patients with dyscirculatory encephalopathy</t>
  </si>
  <si>
    <t>YAKUT MEDICAL JOURNAL</t>
  </si>
  <si>
    <t>the region of residence; ecology; elderly and senile age; chronic brain ischemia; chronic renal disease</t>
  </si>
  <si>
    <t>THE AIM OF THE RESEARCH. Cerebrorenal relationships between the early signs of cerebral atherosclerosis and the level of the calculated glomerular filtration rate (GFR) with account of the influence of risk factors (RF) of cerebrovascular diseases (CVD) in elderly and senile patients of the Republic Sakha (Yakutia), suffering from chronic brain ischemia (CBI) depending on the region of residence were under study. PATIENTS AND METHODS. The study included 245 patients from 60 to 89 years, comparable by age and sex, were divided into two groups according to region of residence (Arctic and Antarctic), for two age groups (elderly and senile age) and by the sex. The main method of the study of cerebral hemodynamics in this work has been ultrasound dopplerography (usdg). Doppler sonography survey with color scanning and spectral Doppler analysis of the cervical arteries on extracraniallevel was performed according to standard method for ultrasound systems ACUSON Sequoia-512 sensor linear format of the generated frequency of the ultrasonic signal 4 and 8 MHz in the ever-wave mode. All of the sample investigated the functional state of the kidneys. GFR, was determined by the settlement formulas; Cockcroft&amp;Gault GFR=(140-age) x body weight (kg) 810* creatinine of blood (mol/l) xE, where E-1,23 for men, 1,04-for women and MDRD: GFR= 186x(creatinine of blood mg/dd)-1,154 x (age)-0,203 x (0,742 for women) with subsequent determination of the stages of chronic kidney disease. We used a brief MDRD formula, which of laboratory indicators requires only establishing the values of concentrations of serum creatinine. RESULTS. The direct positive correlation between the thickness of intimate-media (TIM) and the average of the FCPF, and also found a statistically significant relationship between factors in the onset and progression of GFR and CBI, dependent on region of residence. CONCLUSION. Features of cerebrorenal relations of persons of elderly and senile age in the Republic of Sakha (Yakutia) are caused by region of residence.</t>
  </si>
  <si>
    <t>[Kudrina, P., I] Russian acad med sci, Siberian Branch, Yakutsk Sci Ctr Complex Med Problems, Yakutsk, Russia; [Kudrina, P., I] Republican Hosp 3, Geriatr Ctr, Yakutsk, Russia; [Aryev, A. L.] SPb MAPO, Dept Gerontol &amp; Geriatr, Yakutsk, Russia</t>
  </si>
  <si>
    <t>Russian Academy of Medical Sciences</t>
  </si>
  <si>
    <t>Kudrina, PI (corresponding author), Russian acad med sci, Siberian Branch, Yakutsk Sci Ctr Complex Med Problems, Yakutsk, Russia.</t>
  </si>
  <si>
    <t>pkudrina@bk.ru</t>
  </si>
  <si>
    <t>RUSSIAN ACAD SCIENCES SIBERIAN BRANCH</t>
  </si>
  <si>
    <t>NOVOSIBIRSK</t>
  </si>
  <si>
    <t>S P C U I G G M S B R A S, 3 AKADEMIKA KOPTYGA PROSPEKT, 630090 NOVOSIBIRSK, RUSSIA</t>
  </si>
  <si>
    <t>1813-1905</t>
  </si>
  <si>
    <t>2312-1017</t>
  </si>
  <si>
    <t>YAKUT MED J</t>
  </si>
  <si>
    <t>Yakut Med. J.</t>
  </si>
  <si>
    <t>Medicine, Research &amp; Experimental</t>
  </si>
  <si>
    <t>Research &amp; Experimental Medicine</t>
  </si>
  <si>
    <t>VF8MV</t>
  </si>
  <si>
    <t>WOS:000443745000016</t>
  </si>
  <si>
    <t>Moreau, C; Linse, K; Griffiths, H; Barnes, D; Kaiser, S; Glover, A; Sands, C; Strugnell, J; Enderlein, P; Geissler, P</t>
  </si>
  <si>
    <t>Moreau, Camille; Linse, Katrin; Griffiths, Huw; Barnes, David; Kaiser, Stefanie; Glover, Adrian; Sands, Chester; Strugnell, Jan; Enderlein, Peter; Geissler, Paul</t>
  </si>
  <si>
    <t>Amundsen Sea Mollusca from the BIOPEARL II expedition</t>
  </si>
  <si>
    <t>Mollusca; Antarctica; Amundsen Sea; Bivalvia; Gastropoda; Scaphopoda; Aplacophora; Monoplacophora; Polyplacophora; BIOPEARL II</t>
  </si>
  <si>
    <t>PINE ISLAND BAY; SEDIMENTARY PROCESSES; CONTINENTAL-SLOPE; WEST; MORPHOLOGY</t>
  </si>
  <si>
    <t>Information regarding the molluscs in this dataset is based on the epibenthic sledge (EBS) samples collected during the cruise BIOPEARL II/JR179 RRS James Clark Ross in the austral summer 2008. A total of 35 epibenthic sledge deployments have been performed at five locations in the Amundsen Sea at Pine Island Bay (PIB) and the Amundsen Sea Embayment (ASE) at depths ranging from 476 to 3501m. This presents a unique and important collection for the Antarctic benthic biodiversity assessment as the Amundsen Sea remains one of the least known regions in Antarctica. Indeed the work presented in this dataset is based on the first benthic samples collected with an EBS in the Amundsen Sea. However we assume that the data represented are an underestimation of the real fauna present in the Amundsen Sea. In total 9261 specimens belonging to 6 classes 55 families and 97 morphospecies were collected. The species richness per station varied between 6 and 43. Gastropoda were most species rich 50 species followed by Bivalvia (37), Aplacophora (5), Scaphopoda (3) and one from each of Polyplacophora and Monoplacophora.</t>
  </si>
  <si>
    <t>[Moreau, Camille; Linse, Katrin; Griffiths, Huw; Barnes, David; Sands, Chester; Enderlein, Peter; Geissler, Paul] British Antarctic Survey, Cambridge CB3 0ET, England; [Kaiser, Stefanie] Bioctr Grindel, D-20146 Hamburg, Germany; [Kaiser, Stefanie] Zool Museum Hamburg, D-20146 Hamburg, Germany; [Glover, Adrian] Nat Hist Museum, London SW7 5BD, England; [Strugnell, Jan] La Trobe Univ, La Trobe Inst Mol Sci, Dept Genet, Bundoora, Vic 3086, Australia</t>
  </si>
  <si>
    <t>UK Research &amp; Innovation (UKRI); Natural Environment Research Council (NERC); NERC British Antarctic Survey; University of Hamburg; University of Hamburg; Natural History Museum London; La Trobe University</t>
  </si>
  <si>
    <t>Moreau, C (corresponding author), British Antarctic Survey, High Cross Madingley Rd, Cambridge CB3 0ET, England.</t>
  </si>
  <si>
    <t>mr.moreau.camille@gmail.com</t>
  </si>
  <si>
    <t>Strugnell, Jan M/P-9921-2016; Griffiths, Huw J/D-4234-2009</t>
  </si>
  <si>
    <t>Griffiths, Huw J/0000-0003-1764-223X; Linse, Katrin/0000-0003-3477-3047; Kaiser, Stefanie/0000-0003-2026-4663; Moreau, Camille/0000-0002-0981-7442; Strugnell, Jan/0000-0003-2994-637X; Sands, Chester/0000-0003-1028-0328</t>
  </si>
  <si>
    <t>Natural Environment Research Council [bas0100025, bas0100026, noc010009] Funding Source: researchfish; NERC [bas0100026, bas0100025, noc010009] Funding Source: UKRI</t>
  </si>
  <si>
    <t>10.3897/zookeys.294.4796</t>
  </si>
  <si>
    <t>129CO</t>
  </si>
  <si>
    <t>WOS:000317816300001</t>
  </si>
  <si>
    <t>Ghiglione, C; Alvaro, MC; Griffiths, HJ; Linse, K; Schiaparelli, S</t>
  </si>
  <si>
    <t>Ghiglione, Claudio; Alvaro, Maria Chiara; Griffiths, Huw J.; Linse, Katrin; Schiaparelli, Stefano</t>
  </si>
  <si>
    <t>Ross Sea Mollusca from the Latitudinal Gradient Program: R/V Italica 2004 Rauschert dredge samples</t>
  </si>
  <si>
    <t>Antarctica; Ross Sea; Mollusca; Gastropoda; Bivalvia; Monoplacophora; Aplacophora; Polyplacophora; Scaphopoda; Italica 2004; Rauschert dredge; Latitudinal Gradient Program</t>
  </si>
  <si>
    <t>ANTARCTICA</t>
  </si>
  <si>
    <t>Information regarding the molluscs in this dataset is based on the Rauschert dredge samples collected during the Latitudinal Gradient Program (LGP) on board the R/V Italica in the Ross Sea (Antarctica) in the austral summer 2004. A total of 18 epibenthic dredge deployments/samplings have been performed at four different locations at depths ranging from 84 to 515m by using a Rauschert dredge with a mesh size of 500 mu m. In total 8,359 specimens have been collected belonging to a total of 161 species. Considering this dataset in terms of occurrences, it corresponds to 505 discrete distributional records (incidence data). Of these, in order of abundance, 5,965 specimens were Gastropoda (accounting for 113 species), 1,323 were Bivalvia (accounting for 36 species), 949 were Aplacophora (accounting for 7 species), 74 specimens were Scaphopoda (3 species), 38 were Monoplacophora (1 species) and, finally, 10 specimens were Polyplacophora (1 species). This data set represents the first large-scale survey of benthic micro-molluscs for the area and provides important information about the distribution of several species, which have been seldom or never recorded before in the Ross Sea. All vouchers are permanently stored at the Italian National Antarctic Museum (MNA), Section of Genoa, enabling future comparison and crosschecking. This material is also currently under study, from a molecular point of view, by the barcoding project BAMBi (PNRA 2010/A1.10).</t>
  </si>
  <si>
    <t>[Ghiglione, Claudio; Alvaro, Maria Chiara; Schiaparelli, Stefano] Univ Genoa, Dept Earth Environm &amp; Life Sci DISTAV, Genoa, Italy; [Ghiglione, Claudio; Alvaro, Maria Chiara; Schiaparelli, Stefano] Univ Genoa, Italian Antarctic Natl Museum MNA, Genoa, Italy; [Griffiths, Huw J.; Linse, Katrin] British Antarctic Survey, Cambridge CB3 0ET, England</t>
  </si>
  <si>
    <t>University of Genoa; University of Genoa; UK Research &amp; Innovation (UKRI); Natural Environment Research Council (NERC); NERC British Antarctic Survey</t>
  </si>
  <si>
    <t>Schiaparelli, S (corresponding author), Univ Genoa, Dept Earth Environm &amp; Life Sci DISTAV, Genoa, Italy.</t>
  </si>
  <si>
    <t>stefano.schiaparelli@unige.it</t>
  </si>
  <si>
    <t>Griffiths, Huw J/D-4234-2009; Schiaparelli, Stefano/AAI-4024-2020</t>
  </si>
  <si>
    <t>Griffiths, Huw J/0000-0003-1764-223X; Schiaparelli, Stefano/0000-0002-0137-3605; Linse, Katrin/0000-0003-3477-3047</t>
  </si>
  <si>
    <t>coastal ecosystem of Victoria Land Coast: distribution and structure along a latitudinal gradient [2002/8.6]; Barcoding of Antarctic Marine Biodiversity, BAMBi [2010/A1.10]; Italian National Antarctic Research Program (PNRA); NERC [bas0100026] Funding Source: UKRI; Natural Environment Research Council [bas0100026] Funding Source: researchfish</t>
  </si>
  <si>
    <t>coastal ecosystem of Victoria Land Coast: distribution and structure along a latitudinal gradient; Barcoding of Antarctic Marine Biodiversity, BAMBi; Italian National Antarctic Research Program (PNRA)(Ministry of Education, Universities and Research (MIUR)); NERC(UK Research &amp; Innovation (UKRI)Natural Environment Research Council (NERC)); Natural Environment Research Council(UK Research &amp; Innovation (UKRI)Natural Environment Research Council (NERC))</t>
  </si>
  <si>
    <t>This study is part of the Project 2002/8.6 (The coastal ecosystem of Victoria Land Coast: distribution and structure along a latitudinal gradient) and of the Project 2010/A1.10 (Barcoding of Antarctic Marine Biodiversity, BAMBi) funded by the Italian National Antarctic Research Program (PNRA). Vouchers are maintained at the Italian National Antarctic Museum (MNA), Section of Genoa.</t>
  </si>
  <si>
    <t>10.3897/zookeys.341.6031</t>
  </si>
  <si>
    <t>232UR</t>
  </si>
  <si>
    <t>WOS:000325520400003</t>
  </si>
  <si>
    <t>Van de Vijver, B; Cocquyt, C; de Haan, M; Kopalová, K; Zidarova, R</t>
  </si>
  <si>
    <t>Van de Vijver, Bart; Cocquyt, Christine; de Haan, Myriam; Kopalova, Katerina; Zidarova, Ralitsa</t>
  </si>
  <si>
    <t>The genus Surirella (Bacillariophyta) in the sub-Antarctic and maritime Antarctic region</t>
  </si>
  <si>
    <t>DIATOM RESEARCH</t>
  </si>
  <si>
    <t>Antarctica; Bacillariophyta; morphology; new species; Surirella; taxonomy</t>
  </si>
  <si>
    <t>KING-GEORGE ISLAND; WATER DIATOM COMMUNITIES; SOUTH SHETLAND ISLANDS; FRESH-WATER; DIADESMIS; REVISION; CROZET; BODIES; LAKES</t>
  </si>
  <si>
    <t>A revision of taxa from the genus Surirella from the Antarctic region resulted in the description of three new taxa: S. subantarctica Van de Vijver &amp; Cocquyt sp. nov., S. heardensis Van de Vijver &amp; Cocquyt sp. nov. and S. australovisurgis Van de Vijver, Cocquyt, Zidarova &amp; Kopalov sp. nov. Detailed light (LM) and scanning electron microscope (SEM) observations are used to characterize these three new taxa. Comparisons with similar taxa and the ecological preferences of each species are added. The morphological characteristics of a fourth Antarctic Surirella taxon, S. kerguelensis Grunow are illustrated as this taxon was only known from a few hand drawings and LM pictures. Finally, a fifth taxon, S. lapponica A. Cleve was found on South Georgia and likewise illustrated. The revision of these species made clear that the genus Surirella showed similar biogeographical trends as other, previously revised genera indicating that a distinct Antarctic diatom flora exists.</t>
  </si>
  <si>
    <t>[Van de Vijver, Bart; Cocquyt, Christine; de Haan, Myriam] Natl Bot Garden Belgium, Dept Bryophyta &amp; Thallophyta, Meise, Belgium; [Kopalova, Katerina] Charles Univ Prague, Dept Ecol, Prague, Czech Republic; [Kopalova, Katerina] Acad Sci Czech Republ, Inst Bot, Trebon, Czech Republic; [Zidarova, Ralitsa] St Kliment Ohridski Univ Sofia, Dept Bot, Sofia, Bulgaria</t>
  </si>
  <si>
    <t>Charles University Prague; Czech Academy of Sciences; Institute of Botany of the Czech Academy of Sciences; University of Sofia</t>
  </si>
  <si>
    <t>Van de Vijver, B (corresponding author), Natl Bot Garden Belgium, Dept Bryophyta &amp; Thallophyta, Meise, Belgium.</t>
  </si>
  <si>
    <t>vandevijver@br.fgov.be</t>
  </si>
  <si>
    <t>Cocquyt, Christine/0000-0002-0047-4180; Kopalova, Katerina/0000-0002-7905-4268; Zidarova, Ralitsa/0000-0002-6451-0099</t>
  </si>
  <si>
    <t>Ministerio de Ciencia y Tecnologia, Spain [POL2006-06635]; FWO [G.0533.07]; EU; [RVO 67985939]</t>
  </si>
  <si>
    <t>Ministerio de Ciencia y Tecnologia, Spain(Spanish Government); FWO(FWO); EU(European Union (EU));</t>
  </si>
  <si>
    <t>The authors wish to thank Niek J.M. Gremmen and Louis Beyens for the collection of samples from Heard Island, the Prince Edward Islands and South Georgia. Sampling on Crozet and Kerguelen was made possible thanks to the logistic and financial support of the French Polar Institute-Paul-Emile Victor in the framework of the terrestrial program 136 (Marc Lebouvier &amp; Yves Frenot). Samples from the Byers Peninsula were taken in the framework of the IPY-Limnopolar Project POL2006-06635 (Ministerio de Ciencia y Tecnologia, Spain). Anton Igersheim (Vienna Naturhistorisches Museum) is thanked for sending us high-resolution images of the original drawings of S. kerguelensis made by Grunow. Part of the research was funded within the FWO project G.0533.07 and as the long-term research development project no. RVO 67985939 and supported by an EU Synthesys grant to BVDV to visit the National History Museum in London, UK. Alex Ball, the staff of the EMMA laboratory and Eileen J. Cox at the Natural History Museum are thanked for their help with the scanning electron microscopy. Katerina Kopalova benefited from an Erasmus grant during her stay in Belgium. Paul Hamilton and an anonymous reviewer are thanked for their valuable comments that improved the manuscript.</t>
  </si>
  <si>
    <t>0269-249X</t>
  </si>
  <si>
    <t>2159-8347</t>
  </si>
  <si>
    <t>DIATOM RES</t>
  </si>
  <si>
    <t>Diatom Res.</t>
  </si>
  <si>
    <t>10.1080/0269249X.2012.739975</t>
  </si>
  <si>
    <t>046SF</t>
  </si>
  <si>
    <t>WOS:000311784000007</t>
  </si>
  <si>
    <t>Iwamoto, K; Ohshima, KI; Tamura, T; Nihashi, S</t>
  </si>
  <si>
    <t>Iwamoto, K.; Ohshima, K. I.; Tamura, T.; Nihashi, S.</t>
  </si>
  <si>
    <t>Estimation of thin ice thickness from AMSR-E data in the Chukchi Sea</t>
  </si>
  <si>
    <t>INTERNATIONAL JOURNAL OF REMOTE SENSING</t>
  </si>
  <si>
    <t>ARCTIC-OCEAN; COASTAL POLYNYAS; WATER; MICROWAVE; TEMPERATURE; HALOCLINE; ALASKAN; IMAGERY; SNOW; EOS</t>
  </si>
  <si>
    <t>In this study, we have developed an algorithm for estimating thin ice thickness in the Chukchi Sea of the Arctic Ocean using Advanced Microwave Scanning Radiometer Earth Observing System (AMSR-E) data. The algorithm is based on comparisons between the polarization ratio (PR) of AMSR-E brightness temperatures from the 89 and 36 GHz channels (PR89 and PR36) and the thermal ice thickness. The thermal ice thickness is estimated from a heat budget calculation using the ice surface temperature from clear-sky Moderate-Resolution Imaging Spectroradiometer (MODIS) infrared data. Whereas coastal polynyas have been the main target of previous algorithms, this algorithm is also applicable for marginal ice zones. AMSR-E has twice the spatial resolution of Special Sensor Microwave/Imager (SSM/I) data and can therefore resolve polynyas at a smaller scale. Although the spatial resolution of the 89 GHz data (6.25 km) is twice that of the 36 GHz data (12.5 km), the 89 GHz data can be contaminated by atmospheric water vapour. We propose an exclusion method of data affected by water vapour to resolve this issue. A combined algorithm of thin ice and ice concentration is also discussed, in which the ice thickness can be estimated independently from the open water fraction in grid cells with less than 100% ice concentration. The PR-thickness relationship in this study is somewhat different from previous studies, which is likely due to the difference in prevailing ice types caused by background environmental conditions.</t>
  </si>
  <si>
    <t>[Iwamoto, K.; Ohshima, K. I.] Hokkaido Univ, Water &amp; Mat Cycles Div, Inst Low Temp Sci, Sapporo, Hokkaido 0600819, Japan; [Tamura, T.] Natl Inst Polar Res, Meteorol &amp; Glaciol Grp, Tachikawa, Tokyo 1908518, Japan; [Tamura, T.] Univ Tasmania, Antarctic Climate &amp; Ecosyst Cooperat Res Ctr, Hobart, Tas 7001, Australia; [Nihashi, S.] Tomakomai Natl Coll Technol, Dept Mech Engn, Tomakomai 0591275, Japan</t>
  </si>
  <si>
    <t>Hokkaido University; Research Organization of Information &amp; Systems (ROIS); National Institute of Polar Research (NIPR) - Japan; Antarctic Climate &amp; Ecosystems Cooperative Research Centre (ACE CRC); University of Tasmania</t>
  </si>
  <si>
    <t>Iwamoto, K (corresponding author), Hokkaido Univ, Water &amp; Mat Cycles Div, Inst Low Temp Sci, Sapporo, Hokkaido 0600819, Japan.</t>
  </si>
  <si>
    <t>katsu@lowtem.hokudai.ac.jp</t>
  </si>
  <si>
    <t>Ohshima, Kay I/D-6909-2012</t>
  </si>
  <si>
    <t>Japanese Ministry of Education, Culture, Sports, Science and Technology (MEXT) [20221001, 21740337]; Japan Aerospace Exploration Agency (JAXA); Grants-in-Aid for Scientific Research [20221001, 24810030, 24740322, 21740337, 25241001] Funding Source: KAKEN</t>
  </si>
  <si>
    <t>Japanese Ministry of Education, Culture, Sports, Science and Technology (MEXT)(Ministry of Education, Culture, Sports, Science and Technology, Japan (MEXT)); Japan Aerospace Exploration Agency (JAXA); Grants-in-Aid for Scientific Research(Ministry of Education, Culture, Sports, Science and Technology, Japan (MEXT)Japan Society for the Promotion of ScienceGrants-in-Aid for Scientific Research (KAKENHI))</t>
  </si>
  <si>
    <t>The AMSR-E data were provided by the National Snow and Ice Data Center (NSIDC), University of Colorado. The MODIS data were obtained from NASA's Level 1 and Atmosphere Archive and Distribution System web site (LAADSWeb; http://ladsweb.nascom.nasa.gov/). The ASAR data were provided by the European Space Agency (ESA). Comments by Guy Williams and two anonymous reviewers were very helpful. This work was supported by Grant-in-Aids for Scientific Research (nos. 20221001 and 21740337) of the Japanese Ministry of Education, Culture, Sports, Science and Technology (MEXT), and by research fund for Global Change Observation Mission 1st-Water (GCOM-W1) of the Japan Aerospace Exploration Agency (JAXA).</t>
  </si>
  <si>
    <t>0143-1161</t>
  </si>
  <si>
    <t>INT J REMOTE SENS</t>
  </si>
  <si>
    <t>Int. J. Remote Sens.</t>
  </si>
  <si>
    <t>10.1080/01431161.2012.712229</t>
  </si>
  <si>
    <t>Remote Sensing; Imaging Science &amp; Photographic Technology</t>
  </si>
  <si>
    <t>008ZT</t>
  </si>
  <si>
    <t>WOS:000308995800005</t>
  </si>
  <si>
    <t>de Mera, AG; Orellana, JAV; Perea, EL; de la Cruz, JC; Vera, CT; Benavides, FV</t>
  </si>
  <si>
    <t>Galan de Mera, Antonio; Vicente Orellana, Jose Alfredo; Perea, Eliana Linares; Campos de la Cruz, Jose; Trujillo Vera, Carlos; Villasante Benavides, Francisco</t>
  </si>
  <si>
    <t>Distribution patterns of cactus communities in the occidental slopes of the Peruvian Andes</t>
  </si>
  <si>
    <t>CALDASIA</t>
  </si>
  <si>
    <t>Cactaceae; biogeography; bioclimatology; El Nino; Humboldt stream; Andes; Peru</t>
  </si>
  <si>
    <t>VEGETATION; CLIMATE; RISE</t>
  </si>
  <si>
    <t>Using climatic values of precipitation and potential evapotranspiration, as well as climate indices of thermicity and aridity, in this work we try to establish a relationship between cactus communities and their distribution in the western slopes of the Peruvian Andes. Using the Sorensen index on a matrix with the floristic composition of plant communities, we obtained a dendrogram that explains their grouping according to biogeographic provinces and bioclimatic belts. Using a Principal Component Analysis (PCA) on selected localities, we can infer how they are grouped according to the altitudinal gradient and climatic values and indices. Cactus populations located north of the 8 degrees parallel south are the most influenced by the humidity provided by El Nino stream; those populations south of the 8 degrees parallel south, on the western slopes of the Andes, depend on the low summer humidity (HE), although it can also be evident the winter humidity (HI) due to rainfalls of isolated depressions that emerge from sub-Antarctic storms between July and August. However, the crop terraces of ancestral cultures reflect a more humid ancient climate. In the coast and basal areas of the Andes, next to the abiotic desert, the aridity is very high, although communities with Neoraimondia arequipensis are still present. Communities located north of the 8 degrees parallel south belong to the Pacific biogeographic province, those of the central Peru belong to the Ancash-La Paz province, those of the Arequipa, Moquegua and Tacna departments to the Oruro-Arequipa province, and finally those communities of the Pacific Desert belong to the Lima-Arica province.</t>
  </si>
  <si>
    <t>[Galan de Mera, Antonio; Vicente Orellana, Jose Alfredo] Univ San Pablo CEU, Dept Biol Bot, Fac Farm, Madrid 28660, Spain; [Perea, Eliana Linares] Estudios Fitogeog Peru, Paucarpata, Arequipa, Peru; [Campos de la Cruz, Jose] Univ Nacl Mayor San Marcos, Museo Hist Nat, Lima 14, Peru; [Trujillo Vera, Carlos] Univ Nacl San Agustin, Escuela Geog, Fac Ciencias Hist Sociales, Arequipa, Peru; [Villasante Benavides, Francisco] Univ Nacl San Agustin, Dept Biol, Fac Ciencias Biol &amp; Agr, Arequipa, Peru</t>
  </si>
  <si>
    <t>San Pablo CEU University; Universidad Nacional Mayor de San Marcos; Universidad Nacional de San Agustin de Arequipa; Universidad Nacional de San Agustin de Arequipa</t>
  </si>
  <si>
    <t>Orellana, JAV (corresponding author), Univ San Pablo CEU, Dept Biol Bot, Fac Farm, Apartado 67, Madrid 28660, Spain.</t>
  </si>
  <si>
    <t>agalmer@ceu.es; avicore@ceu.es; elialinper@hotmail.com; joricampos@yahoo.es; cartruve@hotmail.com; fvillabe@gmail.com</t>
  </si>
  <si>
    <t>Vicente Orellana, José Alfredo/C-3186-2016; Galan de Mera, Antonio/K-2233-2014</t>
  </si>
  <si>
    <t>Vicente Orellana, José Alfredo/0000-0003-3049-9335; Galan de Mera, Antonio/0000-0002-1652-5931; Villasante, Francisco/0000-0002-6577-3122</t>
  </si>
  <si>
    <t>INST CIENCIAS NATURALES, MUSEO HISTORIA NATURAL</t>
  </si>
  <si>
    <t>BOGOTA</t>
  </si>
  <si>
    <t>FAC CIENCIAS, UNIV NACIONAL COLOMBIA, APARTADO 7495, BOGOTA, 00000, COLOMBIA</t>
  </si>
  <si>
    <t>0366-5232</t>
  </si>
  <si>
    <t>2357-3759</t>
  </si>
  <si>
    <t>Caldasia</t>
  </si>
  <si>
    <t>DEC 30</t>
  </si>
  <si>
    <t>Plant Sciences; Multidisciplinary Sciences; Zoology</t>
  </si>
  <si>
    <t>Plant Sciences; Science &amp; Technology - Other Topics; Zoology</t>
  </si>
  <si>
    <t>089JS</t>
  </si>
  <si>
    <t>WOS:000314907400001</t>
  </si>
  <si>
    <t>Hassan, SM; Steel, RJ; El Barkooky, A; Hamdan, M; Olariu, C; Helper, MA</t>
  </si>
  <si>
    <t>Hassan, Safiya M.; Steel, Ronald J.; El Barkooky, Ahmed; Hamdan, Mohamed; Olariu, Cornel; Helper, Mark A.</t>
  </si>
  <si>
    <t>Stacked, Lower Miocene tide-dominated estuary deposits in a transgressive succession, Western Desert, Egypt</t>
  </si>
  <si>
    <t>SEDIMENTARY GEOLOGY</t>
  </si>
  <si>
    <t>Moghra Formation; Burdigalian; Egypt; Estuaries; Tide-dominated</t>
  </si>
  <si>
    <t>SEQUENCE STRATIGRAPHY; SEGO SANDSTONE; BOOK-CLIFFS; EBRO BASIN; ARCHITECTURE; MODEL; SEDIMENTOLOGY; UTAH; SEDIMENTATION; ENVIRONMENTS</t>
  </si>
  <si>
    <t>The net transgressive Lower Miocene Moghra Formation of Egypt is a sandy estuarine complex consisting of a series of stratigraphic units that reflect repeated transgressive to regressive shoreline movements across the Burdigalian (Lower Miocene) coastal landscape. The transgressive part of each unit is preserved atop a deep erosional scour surface, and consists of tidal-fluvial sandstones with tree logs and vertebrate bones that transition up to cross-stratified, tidal estuarine channel deposits and then to open-marine, shelf mudstones and limestones. In contrast, the regressive part is thinly developed and consists of thin-bedded, fossiliferous shelf mudstones that pass upward to thin, tide-influenced delta-front deposits. Each of the nine transgressive-regressive units of the Moghra Formation is capped by a river-scour surface that severely truncates the underlying regressive half-unit. Regional tectonic subsidence and an overall decreasing influx of clastic sediment accounts for the accumulation of the Moghra Formation and its overall transgressive character. The high frequency relative base-level changes reflected by the transgressive-regressive units (averaging &lt;350 kyr) that punctuate the overall transgressive stratigraphic trend are thought to have been driven by (1) sea-level changes caused by recently-documented variations in East Antarctic ice-sheet volume during the Lower Miocene, and/or by (2) variation in the large-scale influx of sediment to the region (during continuous tectonic subsidence). The relative importance of the sea-level (eustatic fall) vs. supply drive (deep fluvial scour) mechanisms for producing the repeated and widespread Burdigalian incision surfaces in the Moghra succession cannot easily be determined. (c) 2012 Elsevier B.V. All rights reserved.</t>
  </si>
  <si>
    <t>[Hassan, Safiya M.] Beni Suef Univ, Dept Geol, Bani Suwayf 65211, Egypt; [Hassan, Safiya M.; Steel, Ronald J.; Olariu, Cornel; Helper, Mark A.] Univ Texas Austin, Dept Geol Sci, Austin, TX 78712 USA; [Hassan, Safiya M.] Nelson Mandela Metropolitan Univ, AEON, ZA-6001 Port Elizabeth, South Africa; [El Barkooky, Ahmed; Hamdan, Mohamed] Cairo Univ, Dept Geol, Giza 12613, Egypt</t>
  </si>
  <si>
    <t>Egyptian Knowledge Bank (EKB); Beni Suef University; University of Texas System; University of Texas Austin; Nelson Mandela University; Egyptian Knowledge Bank (EKB); Cairo University</t>
  </si>
  <si>
    <t>Hassan, SM (corresponding author), Beni Suef Univ, Dept Geol, Bani Suwayf 65211, Egypt.</t>
  </si>
  <si>
    <t>safia_ma_2000@yahoo.com</t>
  </si>
  <si>
    <t>Steel, Ronald/B-2948-2008; Olariu, Cornel/A-2474-2010</t>
  </si>
  <si>
    <t>Olariu, Cornel/0000-0003-2837-4664; Hassan, Safiya M./0000-0002-0524-7948</t>
  </si>
  <si>
    <t>Egyptian mission department; NSF; RioMAR industry consortium at the University of Texas at Austin; Egyptian Cultural Program in USA</t>
  </si>
  <si>
    <t>Egyptian mission department(Ministry of Higher Education &amp; Scientific Research (MHESR)); NSF(National Science Foundation (NSF)); RioMAR industry consortium at the University of Texas at Austin; Egyptian Cultural Program in USA(Egyptian Cultural &amp; Educational Bureau)</t>
  </si>
  <si>
    <t>We thank Professor Christie-Blick for providing comments on an earlier version of this manuscript, Ahmed Abu Khadrah and Gouda Abdel Gawad for their interest and support during the work in Egypt, and we thank Team Moghra: Ellen Miller (Wake Forst University, USA), Mohamed Abdel Rahman Hamdan, Mohamed Korany Ismail, Moustafa Aboud, Sayed Ahmed Nour El-Din, Khamis Farhoud, Sameh Ibrahim, Gregg F. Gunnell (University of Michigan, Ann Arbor, USA), Steven Goldstein and Yue Cai are thanked for the laboratory support at Columbia University. Reviews by Sedimentary Geology editor Jasper Knight and reviewers Atle Folkestad and Howard Johnson have greatly improved the manuscript. Financial support from the Egyptian mission department, NSF, RioMAR industry consortium at the University of Texas at Austin and from the Egyptian Cultural Program in USA is also acknowledged and appreciated.</t>
  </si>
  <si>
    <t>0037-0738</t>
  </si>
  <si>
    <t>1879-0968</t>
  </si>
  <si>
    <t>SEDIMENT GEOL</t>
  </si>
  <si>
    <t>Sediment. Geol.</t>
  </si>
  <si>
    <t>10.1016/j.sedgeo.2012.09.013</t>
  </si>
  <si>
    <t>069YR</t>
  </si>
  <si>
    <t>WOS:000313473500018</t>
  </si>
  <si>
    <t>Bustos, RL; Daneri, GA; Volpedo, AV; Harrington, A; Varela, EA</t>
  </si>
  <si>
    <t>Bustos, Raimundo L.; Daneri, Gustavo A.; Volpedo, Alejandra V.; Harrington, Ana; Varela, Esperanza A.</t>
  </si>
  <si>
    <t>The diet of the South American sea lion (Otaria flavescens) at Rio Negro, Patagonia, Argentina, during the winter-spring period</t>
  </si>
  <si>
    <t>IHERINGIA SERIE ZOOLOGIA</t>
  </si>
  <si>
    <t>Trophic ecology; Pinnipedia; fishes; cephalopods</t>
  </si>
  <si>
    <t>ANTARCTIC FUR SEALS; ARCTOCEPHALUS-GAZELLA; CYNOSCION-GUATUCUPA; STRIPED WEAKFISH; POPULATION; BEHAVIOR; SIZE</t>
  </si>
  <si>
    <t>The South American sea lion, Otaria flavescens (Shaw, 1800) population is steadily expanding along the Patagonian coast of Argentina in the last decades. However, little is known about the feeding ecology of the species in the area. The aim of this study was to analyze the food habits of O. flavescens from 91 scats collected at Rio Negro province, during the winter and spring of 2005. Fish occurred in 96% of scats containing prey remains, followed by cephalopods (26%). Raneya brasiliensis (Kaup, 1856) was the most frequent and abundant species occurring in 58.6% of samples and constituting almost 50% of fish predated. Second in importance were Porichthys porosissimus (Cuvier, 1829) and Cynoscion guatucupa (Cuvier, 1830) in terms of occurrence (%FO 20.7) and numbers (29.6%) respectively. The squid Loligo gahi (d'Orbigny, 1835) was the most frequent cephalopod prey (42.1%), whereas Octopus tehuelchus (d'Orbigny, 1834) was the most abundant (77%). The higher amount and diversity of prey found in the spring in comparison with the winter season might be related to a higher feeding activity of seals or to a seasonal increase in food availability in the area.</t>
  </si>
  <si>
    <t>[Bustos, Raimundo L.; Daneri, Gustavo A.; Harrington, Ana; Varela, Esperanza A.] Museo Argentino Ciencias Nat Bernardino Rivadavia, Div Mastozool, Buenos Aires, DF, Argentina; [Volpedo, Alejandra V.] Univ Buenos Aires, Fac Ciencias Vet, Ctr Estudios Transdisciplinarios Agua CONICET, RA-1428 Buenos Aires, DF, Argentina</t>
  </si>
  <si>
    <t>Museo Argentino de Ciencias Naturales Bernardino Rivadavia (MACN); University of Buenos Aires</t>
  </si>
  <si>
    <t>Bustos, RL (corresponding author), Museo Argentino Ciencias Nat Bernardino Rivadavia, Div Mastozool, Av Angel Gallardo 470,C1405DJR, Buenos Aires, DF, Argentina.</t>
  </si>
  <si>
    <t>rlucasbustos@gmail.com; gdaneri@macn.gov.ar; avolpedo@gmail.com; ana_harrington@hotmail.com; eavarela@macn.gov.ar</t>
  </si>
  <si>
    <t>Volpedo, Alejandra Vanina/AAP-9903-2020; Volpedo, Alejandra/ADT-1366-2022</t>
  </si>
  <si>
    <t>Volpedo, Alejandra/0000-0003-3321-311X</t>
  </si>
  <si>
    <t>Fundacion para el Desarrollo de la Patagonia</t>
  </si>
  <si>
    <t>The authors would like to thank the Consejo de Ecologia y Medio Ambiente (CODEMA) and Direccion de Fauna of Rio Negro Province for providing permits for sampling in the rookery. We also thank to Mauricio Failla, Roberto Lini and Ramon Conde for logistic support and the group of rangers of Rio Negro Province, for field support. We are also indebted to Dr. Carlos H. Lenzi (Fundacion para el Desarrollo de la Patagonia) for partial financial support of field campaigns. We are also grateful to two anonymous reviewers whose critical comments greatly improved the manuscript.</t>
  </si>
  <si>
    <t>FUNDACAO ZOOBOTANICA RIO GRANDE SUL, MUSEU CIENCIAS NATURAIS</t>
  </si>
  <si>
    <t>PORTO ALEGRE</t>
  </si>
  <si>
    <t>CAIXA POSTAL 1188, PORTO ALEGRE, RS 00000, BRAZIL</t>
  </si>
  <si>
    <t>0073-4721</t>
  </si>
  <si>
    <t>1678-4766</t>
  </si>
  <si>
    <t>IHERINGIA SER ZOOL</t>
  </si>
  <si>
    <t>Iheringia Ser. Zool.</t>
  </si>
  <si>
    <t>10.1590/S0073-47212012000400005</t>
  </si>
  <si>
    <t>080JT</t>
  </si>
  <si>
    <t>WOS:000314238800005</t>
  </si>
  <si>
    <t>Zheng, SX; Wang, GZ; Lin, SJ</t>
  </si>
  <si>
    <t>Zheng, Shuxian; Wang, Guizhong; Lin, Senjie</t>
  </si>
  <si>
    <t>Heat shock effects and population survival in the polar dinoflagellate Polarella glacialis</t>
  </si>
  <si>
    <t>JOURNAL OF EXPERIMENTAL MARINE BIOLOGY AND ECOLOGY</t>
  </si>
  <si>
    <t>Cell cycle; Growth; PCNA; Global warming; Rubisco</t>
  </si>
  <si>
    <t>CELL NUCLEAR ANTIGEN; FORM-II RUBISCO; SEA-ICE; PHOTOSYNTHETIC RESPONSE; CARBOXYLASE OXYGENASE; METABOLITE REGULATION; PFIESTERIA-PISCICIDA; MARINE-PHYTOPLANKTON; MOLECULAR-CLONING; S-PHASE</t>
  </si>
  <si>
    <t>The rare bipolar dinoflagellate Polarella glacialis forms blooms in the Antarctic sea ice and the Arctic water column every year. Recently, P. glacialis-like genotypes were found in temperate waters. Here, we investigated how P. glacialis would respond if it were transported from polar to temperate waters by shifting cultures of P. glacialis (strain CCMP2088) from 4 degrees C to 10 degrees and 15 degrees C. After a 4-day lag phase, the cultures remaining at 4 degrees C grew exponentially at 0.10 +/- 0.17 d(-1) for 22 days before entering early stationary phase. Consistent to this growth pattern, flow cytometric analysis on samples collected at the same time showed higher percentages of S-cells on day 9 and day 12 than day 33 and day 37. Western blot analysis of the CO2-fixing enzyme Rubisco(1) (typically 55 kDa) and the cell cycle-related protein PCNA(2) (typically 36 kDa) revealed active expression of both proteins, and higher expression in exponential growth than in early stationary phase. In comparison, cultures shifted to 10 degrees and 15 degrees C first experienced a 4-day lag phase plus a 13-15 day declining phase (growth rates were -0.21 +/- 0.10 d(-1) and -0.23 +/- 0.08 d(-1) respectively), then a steady cell density period (growth rates were 0.05 +/- 0.12 d(-1) and 0.01 +/- 0.15 d(-1) respectively). Strikingly, the percentages of the G(2)/M phase (%G(2)M) in the 10 degrees C-cultures remained at high levels and G(1) population at a low level, suggesting that a subpopulation of the cells might still be actively dividing. %G(2)M of the 15 degrees C-culture remained to be the lowest among the three temperature treatments (P&lt;0.05), indicative of least active cell division. Molecular apparatus of photosynthesis and cell division cycle appeared to be substantially damaged as the culture stayed longer at the elevated temperatures, as evidenced by the progressive degradation of Rubisco and aggregation of PCNA. Our results show that although extreme heat shock as exerted by the temperature rise from 4 degrees C to 10 degrees or 15 degrees C caused impairment of molecular engines of photosynthesis and cell division cycle and extensive population decline in P. glacialis, this polar dinoflagellate seems to be able to survive the extreme temperature insults and potentially can be spread by humans to temperate regions. (C) 2012 Elsevier B.V. All rights reserved.</t>
  </si>
  <si>
    <t>[Zheng, Shuxian; Lin, Senjie] Univ Connecticut, Dept Marine Sci, Groton, CT 06340 USA; [Zheng, Shuxian; Wang, Guizhong] Xiamen Univ, Coll Oceanog &amp; Environm Sci, Xiamen 361005, Peoples R China</t>
  </si>
  <si>
    <t>University of Connecticut; Xiamen University</t>
  </si>
  <si>
    <t>Lin, SJ (corresponding author), Univ Connecticut, Dept Marine Sci, Groton, CT 06340 USA.</t>
  </si>
  <si>
    <t>senjie.lin@uconn.edu</t>
  </si>
  <si>
    <t>Guo, chentao/G-7320-2016; zhang, yaqun/J-8478-2014; Lin, Senjie/A-7466-2011; Wang, GZ/G-4644-2010</t>
  </si>
  <si>
    <t>China Scholarship Council</t>
  </si>
  <si>
    <t>China Scholarship Council(China Scholarship Council)</t>
  </si>
  <si>
    <t>We wish to thank Dr. Huan Zhang and Dr. Yubo Hou for their advice on the experiments, Dr. Carol Norris (Flow Cytometry and Confocal Microscopy Facility, University of Connecticut) and Dr. Lilibeth Miranda for their assistance with flow cytometric analyses. Prof. Jianfeng He (Polar Research Institute of China) and Prof. Dazhi Wang (College of The Environment and Ecology, Xiamen University) kindly provided access to some of the experimental equipment. We are also grateful to the China Scholarship Council for providing financial support for Shuxian Zheng to visit the University of Connecticut to conduct most of the work reported here. [SS]</t>
  </si>
  <si>
    <t>0022-0981</t>
  </si>
  <si>
    <t>J EXP MAR BIOL ECOL</t>
  </si>
  <si>
    <t>J. Exp. Mar. Biol. Ecol.</t>
  </si>
  <si>
    <t>10.1016/j.jembe.2012.09.003</t>
  </si>
  <si>
    <t>Ecology; Marine &amp; Freshwater Biology</t>
  </si>
  <si>
    <t>052ZM</t>
  </si>
  <si>
    <t>WOS:000312239200013</t>
  </si>
  <si>
    <t>Carter, CG; Mente, E; Barnes, R; Nengas, I</t>
  </si>
  <si>
    <t>Carter, Chris G.; Mente, Elena; Barnes, Robin (Katersky); Nengas, Ioannis</t>
  </si>
  <si>
    <t>Protein synthesis in gilthead sea bream: response to partial fishmeal replacement</t>
  </si>
  <si>
    <t>BRITISH JOURNAL OF NUTRITION</t>
  </si>
  <si>
    <t>Protein synthesis; Specific dynamic action; Fishmeal replacement</t>
  </si>
  <si>
    <t>SOMATOTROPIC AXIS RESPONSIVENESS; SEABREAM SPARUS-AURATA; AMINO-ACID PROFILE; DIETARY-PROTEIN; GROWTH-PERFORMANCE; WHITE MUSCLE; BODY-COMPOSITION; TURNOVER RATES; DYNAMIC ACTION; LIVER</t>
  </si>
  <si>
    <t>The present study aimed to measure tissue protein synthesis in sea bream fed isonitrogenous diets that contained 63, 55 and 50% fishmeal; in the latter two diets, 16 and 27% of the fishmeal protein was replaced with plant protein. Over a 35 d period, there were no differences in feed intake, growth or feed efficiency among the three diets. Protein metabolism was then measured in the liver and white muscle tissue as rates of protein synthesis and as the capacity for protein synthesis before feeding (0 h) and at different times after feeding (4-48 h). Diet did not have a significant effect on protein synthesis or on the capacity for protein synthesis in either tissue. The capacity for protein synthesis was not affected by time after feeding, and overall mean values were 81.02 (SE 1.68) and 4.07 (SE 0.94) mg RNA/g protein for the liver and white muscle, respectively. Liver and white muscle fractional rates of protein synthesis were significantly higher at 4-8 h, intermediate at 12 h and were not different among pre-feeding (0 h), 24 and 48 h. Overall, the indices of protein metabolism measured at various times over 48 h following feeding were closely aligned with measurements of feeding, growth and growth efficiency established over a longer time scale.</t>
  </si>
  <si>
    <t>[Carter, Chris G.] Univ Tasmania, Inst Marine &amp; Antarctic Studies, Hobart, Tas 7001, Australia; [Mente, Elena] Univ Thessaly, Sch Agr Sci, Dept Ichthyol &amp; Aquat Environm, Nea Ionia, Magnisia, Greece; [Mente, Elena] Univ Aberdeen, Inst Biol &amp; Environm Sci, Sch Biol Sci, Aberdeen AB24 2TZ, Scotland; [Barnes, Robin (Katersky)] Univ Tasmania, Natl Ctr Marine Conservat &amp; Resource Sustainabil, Launceston, Tas 7250, Australia; [Nengas, Ioannis] Hellen Ctr Marine Res, Inst Aquaculture, Athens 16610, Greece</t>
  </si>
  <si>
    <t>University of Tasmania; University of Thessaly; University of Aberdeen; University of Tasmania; Hellenic Centre for Marine Research</t>
  </si>
  <si>
    <t>Carter, CG (corresponding author), Univ Tasmania, Inst Marine &amp; Antarctic Studies, Private Bag 49, Hobart, Tas 7001, Australia.</t>
  </si>
  <si>
    <t>chris.carter@utas.edu.au</t>
  </si>
  <si>
    <t>Carter, Chris Guy/A-3438-2008; Mente, Eleni-Elena/HOC-1476-2023</t>
  </si>
  <si>
    <t>Carter, Chris Guy/0000-0001-5210-1282;</t>
  </si>
  <si>
    <t>European Commission; Hellenic Ministry of Rural Development and Food</t>
  </si>
  <si>
    <t>European Commission(European Union (EU)European Commission Joint Research Centre); Hellenic Ministry of Rural Development and Food</t>
  </si>
  <si>
    <t>The authors wish to express their thanks to G. Varvatsoulis and the Zoonomi Aquafeed Company for their help with feeds and to Panagiotis Ex and Antigoni Vasilaki for assistance with fish husbandry. Funding from the European Commission and the Hellenic Ministry of Rural Development and Food is gratefully acknowledged. The assistance of a member of the Editorial Board is gratefully acknowledged. All authors contributed to all parts of the research. The authors declare that there are no conflicts of interest.</t>
  </si>
  <si>
    <t>0007-1145</t>
  </si>
  <si>
    <t>1475-2662</t>
  </si>
  <si>
    <t>BRIT J NUTR</t>
  </si>
  <si>
    <t>Br. J. Nutr.</t>
  </si>
  <si>
    <t>DEC 28</t>
  </si>
  <si>
    <t>10.1017/S0007114512000426</t>
  </si>
  <si>
    <t>Nutrition &amp; Dietetics</t>
  </si>
  <si>
    <t>056AM</t>
  </si>
  <si>
    <t>WOS:000312459300009</t>
  </si>
  <si>
    <t>Shifting Baselines in Antarctic Ecosystems; Ecophysiological Response to Warming in Lissarca miliaris at Signy Island, Antarctica</t>
  </si>
  <si>
    <t>CLIMATE-CHANGE; ANTHROPOGENIC IMPACTS; THERMAL TOLERANCE; MARINE ECOSYSTEMS; SHELL; GROWTH; TEMPERATURE; PENINSULA; SEA; PHILOBRYIDAE</t>
  </si>
  <si>
    <t>The Antarctic Peninsula has experienced a rapid increase in atmospheric temperature over the last 50 years. Whether or not marine organisms thriving in this cold stenothermal environment are able to cope with warming is of concern. Here, we present changes to the growth and shell characteristics of the ecologically important, small and short lived brooding bivalve Lissarca miliaris from Signy Island, Antarctica. Using material collected from the 1970's to the present day, we show an increase in growth rate and adult shell deterioration accompanied by a decrease in offspring size, associated with an increase in annual average temperatures. Critical changes to the bivalve's ecology seen today evidence the problem of a shift in baseline since the onset of warming recorded in Antarctica. These small bivalves are demonstrating ecophysiological responses to subtle warming that, provided warming continues, could soon surpass a physiological tipping point, adding to warming associated threats such as increased predatory pressure and ocean acidification.</t>
  </si>
  <si>
    <t>[Reed, Adam J.; Thatje, Sven] Univ Southampton, Natl Oceanog Ctr Southampton, Southampton, Hants, England; [Linse, Katrin] British Antarctic Survey, Nat Environm Res Council, Cambridge CB3 0ET, England</t>
  </si>
  <si>
    <t>Reed, AJ (corresponding author), Univ Southampton, Natl Oceanog Ctr Southampton, Southampton, Hants, England.</t>
  </si>
  <si>
    <t>ajr04@soton.ac.uk</t>
  </si>
  <si>
    <t>Natural Environment Research Council PhD studentship; NERC [bas0100026] Funding Source: UKRI; Natural Environment Research Council [bas0100026] Funding Source: researchfish</t>
  </si>
  <si>
    <t>Natural Environment Research Council PhD studentship(UK Research &amp; Innovation (UKRI)Natural Environment Research Council (NERC)); NERC(UK Research &amp; Innovation (UKRI)Natural Environment Research Council (NERC)); Natural Environment Research Council(UK Research &amp; Innovation (UKRI)Natural Environment Research Council (NERC))</t>
  </si>
  <si>
    <t>AJR was supported through a Natural Environment Research Council PhD studentship. This study is part of the British Antarctic Survey Polar Science for Planet Earth Programme. The funders had no role in study design, data collection and analysis, decision to publish, or preparation of the manuscript.</t>
  </si>
  <si>
    <t>e53477</t>
  </si>
  <si>
    <t>10.1371/journal.pone.0053477</t>
  </si>
  <si>
    <t>064DQ</t>
  </si>
  <si>
    <t>WOS:000313051500153</t>
  </si>
  <si>
    <t>Saba, GK; Schofield, O; Torres, JJ; Ombres, EH; Steinberg, DK</t>
  </si>
  <si>
    <t>Saba, Grace K.; Schofield, Oscar; Torres, Joseph J.; Ombres, Erica H.; Steinberg, Deborah K.</t>
  </si>
  <si>
    <t>Increased Feeding and Nutrient Excretion of Adult Antarctic Krill, Euphausia superba, Exposed to Enhanced Carbon Dioxide (CO2)</t>
  </si>
  <si>
    <t>DISSOLVED ORGANIC-CARBON; COPEPOD ACARTIA-TONSA; OCEAN ACIDIFICATION; SOUTHERN-OCEAN; AUSTRAL SUMMER; ELEMENTAL COMPOSITION; HYPERCAPNIC ACIDOSIS; NITROGEN-EXCRETION; METABOLIC-ACTIVITY; ATLANTIC SECTOR</t>
  </si>
  <si>
    <t>Ocean acidification has a wide-ranging potential for impacting the physiology and metabolism of zooplankton. Sufficiently elevated CO2 concentrations can alter internal acid-base balance, compromising homeostatic regulation and disrupting internal systems ranging from oxygen transport to ion balance. We assessed feeding and nutrient excretion rates in natural populations of the keystone species Euphausia superba (Antarctic krill) by conducting a CO2 perturbation experiment at ambient and elevated atmospheric CO2 levels in January 2011 along the West Antarctic Peninsula (WAP). Under elevated CO2 conditions (similar to 672 ppm), ingestion rates of krill averaged 78 mu g C individual(-1) d(-1) and were 3.5 times higher than krill ingestion rates at ambient, present day CO2 concentrations. Additionally, rates of ammonium, phosphate, and dissolved organic carbon (DOC) excretion by krill were 1.5, 1.5, and 3.0 times higher, respectively, in the high CO2 treatment than at ambient CO2 concentrations. Excretion of urea, however, was similar to 17% lower in the high CO2 treatment, suggesting differences in catabolic processes of krill between treatments. Activities of key metabolic enzymes, malate dehydrogenase (MDH) and lactate dehydrogenase (LDH), were consistently higher in the high CO2 treatment. The observed shifts in metabolism are consistent with increased physiological costs associated with regulating internal acid-base equilibria. This represents an additional stress that may hamper growth and reproduction, which would negatively impact an already declining krill population along the WAP.</t>
  </si>
  <si>
    <t>[Saba, Grace K.; Schofield, Oscar] Rutgers State Univ, Inst Marine &amp; Coastal Sci, New Brunswick, NJ 08903 USA; [Torres, Joseph J.; Ombres, Erica H.] Univ S Florida, Coll Marine Sci, St Petersburg, FL 33701 USA; [Steinberg, Deborah K.] Coll William &amp; Mary, Virginia Inst Marine Sci, Gloucester Point, VA USA</t>
  </si>
  <si>
    <t>Rutgers University System; Rutgers University New Brunswick; State University System of Florida; University of South Florida; William &amp; Mary; Virginia Institute of Marine Science</t>
  </si>
  <si>
    <t>Saba, GK (corresponding author), Rutgers State Univ, Inst Marine &amp; Coastal Sci, New Brunswick, NJ 08903 USA.</t>
  </si>
  <si>
    <t>saba@marine.rutgers.edu</t>
  </si>
  <si>
    <t>Schofield, Oscar/H-4169-2018</t>
  </si>
  <si>
    <t>Schofield, Oscar/0000-0003-2359-4131; Steinberg, Deborah K./0000-0001-9884-4655</t>
  </si>
  <si>
    <t>LTER Program of the U. S. National Science Foundation [ANT-0823101]; Moore Foundation grant [1859]</t>
  </si>
  <si>
    <t>LTER Program of the U. S. National Science Foundation(National Science Foundation (NSF)); Moore Foundation grant</t>
  </si>
  <si>
    <t>The research was supported by the LTER Program of the U. S. National Science Foundation (ANT-0823101) and Moore Foundation grant #1859. The funders had no role in study design, data collection and analysis, decision to publish, or preparation of the manuscript.</t>
  </si>
  <si>
    <t>DEC 26</t>
  </si>
  <si>
    <t>e52224</t>
  </si>
  <si>
    <t>10.1371/journal.pone.0052224</t>
  </si>
  <si>
    <t>071TV</t>
  </si>
  <si>
    <t>WOS:000313618800060</t>
  </si>
  <si>
    <t>Ferrari, R; Provost, C; Renault, A; Sennéchael, N; Barré, N; Park, YH; Lee, JH</t>
  </si>
  <si>
    <t>Ferrari, Ramiro; Provost, Christine; Renault, Alice; Sennechael, Nathalie; Barre, Nicolas; Park, Young-Hyang; Lee, Jae Hak</t>
  </si>
  <si>
    <t>Circulation in Drake Passage revisited using new current time series and satellite altimetry: 1. The Yaghan Basin</t>
  </si>
  <si>
    <t>ANTARCTIC CIRCUMPOLAR CURRENT; COASTAL-TRAPPED WAVES; VARIABILITY; TRANSPORT; FRONTS; SOUTH; FLOW; ENERGETICS</t>
  </si>
  <si>
    <t>The complex bathymetry of the Drake Passage and the meridional extent of the Shackleton Fracture Zone, in particular, force the Subantarctic Front (SAF) and the Polar Front (PF) to veer to the north, and the flow of the Antarctic Circumpolar Current concentrates in the Yaghan Basin. We have studied the circulation in the Yaghan Basin, using 3 years of velocity data (January 2006-March 2009) at five mooring sites and 18 years of satellite altimetry data. Mean velocities at our mooring sites show a dominant eastward component which decreases with depth, as expected, with a notable exception in the center of the Yaghan Basin, where mean velocities reveal a dominant westward component increasing with depth. The mooring data suggest the existence of a permanent, strong deep cyclonic circulation over the Yaghan seafloor depression in the northeastern part of the Yaghan Basin. The in situ data provide the first opportunity to compare altimetry-derived velocities with high temporal resolution near-surface current meter velocities in a large eddy kinetic energy environment at high latitudes. Globally, altimetry-derived velocities compare rather well with the in situ velocities at 500 m depth both in strength and direction. Correlations are high between the in situ velocities and the surface velocities derived from satellite altimetric data. Mean sea level estimates lead to reasonable mean surface velocities with, however, a slight underestimation of the mean velocity at the mean location of the SAF on the continental slope and a more important underestimation of the westward current in the center of the Yaghan Basin. A dominant mode of velocity variations (23% of the variance) is observed both in the in situ and satellite data, corresponding to a strong southward meander of the SAF upstream of the mooring line and a northward meander of the PF downstream of the latter. The 18 yearlong altimetry time series shows that the mode is robust and has a strong semiannual component. Citation: Ferrari, R., C. Provost, A. Renault, N. Sennechael, N.Barre, Y.-H. Park, and J. H. Lee (2012), Circulation in Drake Passage revisited using new current time series and satellite altimetry: 1. The Yaghan Basin, J. Geophys. Res., 117, C12024, doi:10.1029/2012JC008264.</t>
  </si>
  <si>
    <t>[Ferrari, Ramiro; Provost, Christine; Renault, Alice; Sennechael, Nathalie; Barre, Nicolas; Park, Young-Hyang] Univ Paris 06, LOCEAN, CNRS UPMC MNHN IRD, UMR 7159, FR-75252 Paris 05, France; [Lee, Jae Hak] Korean Ocean Res &amp; Dev Inst, Seoul, South Korea</t>
  </si>
  <si>
    <t>Institut de Recherche pour le Developpement (IRD); Sorbonne Universite; Museum National d'Histoire Naturelle (MNHN); Korea Institute of Ocean Science &amp; Technology (KIOST)</t>
  </si>
  <si>
    <t>Ferrari, R (corresponding author), Univ Paris 06, LOCEAN, CNRS UPMC MNHN IRD, UMR 7159, T 45-46,5e Etage,4 Pl Jussieu, FR-75252 Paris 05, France.</t>
  </si>
  <si>
    <t>ramiro.ferrari@locean-ipsl.upmc.fr</t>
  </si>
  <si>
    <t>CNES (Centre National d'Etudes Spatiales); CNRS-INSU (Institut des Sciences de l'Univers) through the LEFE/IDAO program; Korea Meteorological Administration Research and Development Program [CATER 2008-4209]; INEE (Institut National de l'Environnement et de l'Ecologie)</t>
  </si>
  <si>
    <t>CNES (Centre National d'Etudes Spatiales)(Centre National D'etudes Spatiales); CNRS-INSU (Institut des Sciences de l'Univers) through the LEFE/IDAO program; Korea Meteorological Administration Research and Development Program(Korea Meteorological Administration (KMA)); INEE (Institut National de l'Environnement et de l'Ecologie)</t>
  </si>
  <si>
    <t>We are deeply grateful to Eberhard Fahrbach (AWI) for his support and to the captains and crews of the R/V Polarstern for their help and for creating excellent working conditions during the DRAKE cruises. Financial support was provided both by the CNES (Centre National d'Etudes Spatiales) and by CNRS-INSU (Institut des Sciences de l'Univers) through the LEFE/IDAO program. J. H. Lee was supported by the Korea Meteorological Administration Research and Development Program under Grant CATER 2008-4209. R. Ferrari acknowledges an INEE (Institut National de l'Environnement et de l'Ecologie) PhD scholarship. We also thank Ray C. Griffiths for his valuable comments on the manuscript.</t>
  </si>
  <si>
    <t>DEC 22</t>
  </si>
  <si>
    <t>C12024</t>
  </si>
  <si>
    <t>10.1029/2012JC008264</t>
  </si>
  <si>
    <t>061BE</t>
  </si>
  <si>
    <t>WOS:000312821300002</t>
  </si>
  <si>
    <t>Peña-Molino, B; Joyce, TM; Toole, JM</t>
  </si>
  <si>
    <t>Pena-Molino, B.; Joyce, T. M.; Toole, J. M.</t>
  </si>
  <si>
    <t>Variability in the Deep Western Boundary Current: Local versus remote forcing</t>
  </si>
  <si>
    <t>LABRADOR SEA-WATER; TOPOGRAPHIC ROSSBY WAVES; NORTH-ATLANTIC OCEAN; MERIDIONAL OVERTURNING CIRCULATION; GULF-STREAM; SCALE PROCESSES; CAPE-COD; 68-DEGREES-W; TRANSPORT; CONVECTION</t>
  </si>
  <si>
    <t>Horizontal velocity, temperature and salinity measurements from the Line W array for the period 2004-2008 show large changes in the water mass structure and circulation of the Deep Western Boundary Current (DWBC). Fluctuations in the flow with periods from 10 to 60 days are bottom intensified: signals most likely associated with topographic Rossby waves (TRW). A fraction (similar to 15%) of the DWBC transport variability is caused by Gulf Stream rings and meanders. These flow anomalies are surface intensified and fluctuate at frequencies lower than the TRW. Interannual variability in the velocity field appears to be related to changes in the hydrographic properties. The dominant mode of variability is characterized by an overall freshening, cooling, a potential vorticity (PV) increase in the deep Labrador Sea Water (dLSW) and a PV decrease in the Overflow Water (OW). The variability in the flow associated with these property changes is not spatially homogeneous. Offshore (water depths larger than 3500 m) changes in the velocity are in phase with PV changes in the OW: a decrease in the OW PV is accompanied by an increase in the southward (negative) transport. Conversely, variations of the inshore flow are in phase with changes in the dLSW PV (increasing PV and decreasing transport). This trend, true for most of the record, reverses after the winter of 2007-2008. A sudden decrease of the dLSW PV is observed, with a corresponding intensification of the flow in the inner DWBC as well as a northward shift in the Gulf Stream axis. Citation: Pena-Molino, B., T. M. Joyce, and J. M. Toole (2012), Variability in the Deep Western Boundary Current: Local versus remote forcing, J. Geophys. Res., 117, C12022, doi:10.1029/2012JC008369.</t>
  </si>
  <si>
    <t>[Pena-Molino, B.] Univ Tasmania, Antarctic Climate &amp; Ecosyst Cooperat Res Ctr, Hobart, Tas 7001, Australia; [Pena-Molino, B.; Joyce, T. M.; Toole, J. M.] Woods Hole Oceanog Inst, Woods Hole, MA 02543 USA</t>
  </si>
  <si>
    <t>University of Tasmania; Antarctic Climate &amp; Ecosystems Cooperative Research Centre (ACE CRC); Woods Hole Oceanographic Institution</t>
  </si>
  <si>
    <t>Peña-Molino, B (corresponding author), Univ Tasmania, Antarctic Climate &amp; Ecosyst Cooperat Res Ctr, Private Bag 80, Hobart, Tas 7001, Australia.</t>
  </si>
  <si>
    <t>beatriz.penamolino@utas.edu.au</t>
  </si>
  <si>
    <t>Pena-Molino, Beatriz/IYK-0313-2023</t>
  </si>
  <si>
    <t>Pena-Molino, Beatriz/0000-0003-1587-1696; Toole, John/0000-0003-2905-0637</t>
  </si>
  <si>
    <t>U.S. National Science Foundation [OCE-0241354, OCE-0726720]; WHOI's Ocean and Climate Change Institute; Division Of Ocean Sciences; Directorate For Geosciences [0726720] Funding Source: National Science Foundation</t>
  </si>
  <si>
    <t>U.S. National Science Foundation(National Science Foundation (NSF)); WHOI's Ocean and Climate Change Institute; Division Of Ocean Sciences; Directorate For Geosciences(National Science Foundation (NSF)NSF - Directorate for Geosciences (GEO))</t>
  </si>
  <si>
    <t>Financial support for the Line W program (2004-2008) was provided by the U.S. National Science Foundation (grants OCE-0241354 and OCE-0726720) as well as funding from the WHOI's Ocean and Climate Change Institute. We would also like to thank Amy S. Bower, Michael A. Spall and John Marshall for their comments on an earlier version of this work, as well two anonymous reviewers for their contribution to the final version of the manuscript.</t>
  </si>
  <si>
    <t>C12022</t>
  </si>
  <si>
    <t>10.1029/2012JC008369</t>
  </si>
  <si>
    <t>WOS:000312821300003</t>
  </si>
  <si>
    <t>Carlson, AE; Clark, PU</t>
  </si>
  <si>
    <t>Carlson, Anders E.; Clark, Peter U.</t>
  </si>
  <si>
    <t>ICE SHEET SOURCES OF SEA LEVEL RISE AND FRESHWATER DISCHARGE DURING THE LAST DEGLACIATION</t>
  </si>
  <si>
    <t>REVIEWS OF GEOPHYSICS</t>
  </si>
  <si>
    <t>GLACIAL LAKE AGASSIZ; ABRUPT CLIMATE-CHANGE; NORTH-ATLANTIC CLIMATE; PLEISTOCENE-HOLOCENE RETREAT; PRODUCTION-RATE CALIBRATION; COSMOGENIC BE-10 AGES; NUCLIDE EXPOSURE AGES; EASTERN BAFFIN-ISLAND; WESTERN ROSS-SEA; MARIE-BYRD-LAND</t>
  </si>
  <si>
    <t>We review and synthesize the geologic record that constrains the sources of sea level rise and freshwater discharge to the global oceans associated with retreat of ice sheets during the last deglaciation. The Last Glacial Maximum (similar to 26-19 ka) was terminated by a rapid 5-10 m sea level rise at 19.0-19.5 ka, sourced largely from Northern Hemisphere ice sheet retreat in response to high northern latitude insolation forcing. Sea level rise of 8-20 m from similar to 19 to 14.5 ka can be attributed to continued retreat of the Laurentide and Eurasian Ice Sheets, with an additional freshwater forcing of uncertain amount delivered by Heinrich event 1. The source of the abrupt acceleration in sea level rise at similar to 14.6 ka (meltwater pulse 1A, similar to 14-15 m) includes contributions of 6.5-10 m from Northern Hemisphere ice sheets, of which 2-7 m represents an excess contribution above that derived from ongoing ice sheet retreat. Widespread retreat of Antarctic ice sheets began at 14.0-15.0 ka, which, together with geophysical modeling of far-field sea level records, suggests an Antarctic contribution to this meltwater pulse as well. The cause of the subsequent Younger Dryas cold event can be attributed to eastward freshwater runoff from the Lake Agassiz basin to the St. Lawrence estuary that agrees with existing Lake Agassiz outlet radiocarbon dates. Much of the early Holocene sea level rise can be explained by Laurentide and Scandinavian Ice Sheet retreat, with collapse of Laurentide ice over Hudson Bay and drainage of Lake Agassiz basin runoff at similar to 8.4-8.2 ka to the Labrador Sea causing the 8.2 ka event. Citation: Carlson, A. E., and P. U. Clark (2012), Ice sheet sources of sea level rise and freshwater discharge during the last deglaciation, Rev. Geophys., 50, RG4007, doi: 10.1029/2011RG000371.</t>
  </si>
  <si>
    <t>[Carlson, Anders E.; Clark, Peter U.] Oregon State Univ, Coll Earth Ocean &amp; Atmospher Sci, Corvallis, OR 97331 USA; [Carlson, Anders E.] Univ Wisconsin, Dept Geosci, Madison, WI USA; [Carlson, Anders E.] Univ Wisconsin, Ctr Climat Res, Madison, WI USA</t>
  </si>
  <si>
    <t>Oregon State University; University of Wisconsin System; University of Wisconsin Madison; University of Wisconsin System; University of Wisconsin Madison</t>
  </si>
  <si>
    <t>Carlson, AE (corresponding author), Oregon State Univ, Coll Earth Ocean &amp; Atmospher Sci, Corvallis, OR 97331 USA.</t>
  </si>
  <si>
    <t>acarlson@coas.oregonstate.edu</t>
  </si>
  <si>
    <t>NSF; NSF Paleoclimate Program for the Paleovar Project [AGS-0602395]; NSF Antarctic Glaciology Program; Office of Polar Programs (OPP); Directorate For Geosciences [1043517] Funding Source: National Science Foundation</t>
  </si>
  <si>
    <t>NSF(National Science Foundation (NSF)); NSF Paleoclimate Program for the Paleovar Project(National Science Foundation (NSF)NSF - Directorate for Geosciences (GEO)); NSF Antarctic Glaciology Program(National Science Foundation (NSF)NSF - Directorate for Geosciences (GEO)); Office of Polar Programs (OPP); Directorate For Geosciences(National Science Foundation (NSF)NSF - Directorate for Geosciences (GEO))</t>
  </si>
  <si>
    <t>The authors contributed equally to this work. We thank Glenn Milne, Eelco Rohling, Mark Siddall, and Jenny Stanford for their reviews which helped clarify a number of issues and George Denton and Brenda Hall for discussions. George Denton and Aaron Putnam provided the base map used in Figure 1. A. E. C. is supported by the NSF Paleoclimate Program. P. U. C. is supported by the NSF Paleoclimate Program for the Paleovar Project through grant AGS-0602395 and by the NSF Antarctic Glaciology Program.</t>
  </si>
  <si>
    <t>8755-1209</t>
  </si>
  <si>
    <t>1944-9208</t>
  </si>
  <si>
    <t>REV GEOPHYS</t>
  </si>
  <si>
    <t>Rev. Geophys.</t>
  </si>
  <si>
    <t>RG4007</t>
  </si>
  <si>
    <t>10.1029/2011RG000371</t>
  </si>
  <si>
    <t>060ZF</t>
  </si>
  <si>
    <t>WOS:000312816200001</t>
  </si>
  <si>
    <t>Taboada, I</t>
  </si>
  <si>
    <t>Taboada, Ignacio</t>
  </si>
  <si>
    <t>REVIEW OF PARTICLE ASTROPHYSICS WITH ICECUBE</t>
  </si>
  <si>
    <t>MODERN PHYSICS LETTERS A</t>
  </si>
  <si>
    <t>Neutrino; cosmic ray; IceCube</t>
  </si>
  <si>
    <t>GAMMA-RAY BURSTS; COSMIC-RAYS; NEUTRINOS; EMISSION; ANISOTROPY; TELESCOPE; SPECTRA; FLUX; TEV</t>
  </si>
  <si>
    <t>IceCube is a neutrino detector sensitive to energies above 10 GeV. IceCube operates by sensing the Cherenkov light from secondary particles produced in neutrino-matter interactions. One gigaton of highly transparent Antarctic ice is instrumented to achieve this goal. Designed to be modular, IceCube has been collecting data since construction began in 2005. Construction was completed in December 2010. The primary goal of IceCube is to observe astrophysical sources of neutrinos. We present here a summary of IceCube's recent results in atmospheric neutrinos, point sources, diffuse fluxes of neutrinos, cosmogenic neutrinos, a lack of correlation between neutrinos and Gamma Ray Bursts and the search for dark matter.</t>
  </si>
  <si>
    <t>[Taboada, Ignacio] Georgia Inst Technol, Sch Phys, Atlanta, GA 30033 USA; [Taboada, Ignacio] Georgia Inst Technol, Ctr Relativist Astrophys, Atlanta, GA 30033 USA</t>
  </si>
  <si>
    <t>University System of Georgia; Georgia Institute of Technology; University System of Georgia; Georgia Institute of Technology</t>
  </si>
  <si>
    <t>Taboada, I (corresponding author), Georgia Inst Technol, Sch Phys, Atlanta, GA 30033 USA.</t>
  </si>
  <si>
    <t>itaboada@gatech.edu</t>
  </si>
  <si>
    <t>Taboada, Ignacio/0000-0003-3509-3457</t>
  </si>
  <si>
    <t>National Science Foundation [PHY-1205807]; Direct For Mathematical &amp; Physical Scien; Division Of Physics [1205807] Funding Source: National Science Foundation</t>
  </si>
  <si>
    <t>National Science Foundation(National Science Foundation (NSF)); Direct For Mathematical &amp; Physical Scien; Division Of Physics(National Science Foundation (NSF)NSF - Directorate for Mathematical &amp; Physical Sciences (MPS))</t>
  </si>
  <si>
    <t>This work is supported by the National Science Foundation grant PHY-1205807.</t>
  </si>
  <si>
    <t>5 TOH TUCK LINK, SINGAPORE 596224, SINGAPORE</t>
  </si>
  <si>
    <t>0217-7323</t>
  </si>
  <si>
    <t>1793-6632</t>
  </si>
  <si>
    <t>MOD PHYS LETT A</t>
  </si>
  <si>
    <t>Mod. Phys. Lett. A</t>
  </si>
  <si>
    <t>DEC 21</t>
  </si>
  <si>
    <t>10.1142/S021773231230042X</t>
  </si>
  <si>
    <t>Astronomy &amp; Astrophysics; Physics, Nuclear; Physics, Particles &amp; Fields; Physics, Mathematical</t>
  </si>
  <si>
    <t>055ZX</t>
  </si>
  <si>
    <t>WOS:000312457800002</t>
  </si>
  <si>
    <t>Granskog, MA; Stedmon, CA; Dodd, PA; Amon, RMW; Pavlov, AK; de Steur, L; Hansen, E</t>
  </si>
  <si>
    <t>Granskog, Mats A.; Stedmon, Colin A.; Dodd, Paul A.; Amon, Rainer M. W.; Pavlov, Alexey K.; de Steur, Laura; Hansen, Edmond</t>
  </si>
  <si>
    <t>Characteristics of colored dissolved organic matter (CDOM) in the Arctic outflow in the Fram Strait: Assessing the changes and fate of terrigenous CDOM in the Arctic Ocean</t>
  </si>
  <si>
    <t>FRESH-WATER; SPECTRAL SLOPES; CARBON; RIVER; SEA; BIOGEOCHEMISTRY; ABSORPTION; TRANSPORTS; HALOCLINE; MARINE</t>
  </si>
  <si>
    <t>Absorption coefficients of colored dissolved organic matter (CDOM) were measured together with salinity, delta O-18, and inorganic nutrients across the Fram Strait. A pronounced CDOM absorption maximum between 30 and 120 m depth was associated with river and sea ice brine enriched water, characteristic of the Arctic mixed layer and upper halocline waters in the East Greenland Current (EGC). The lowest CDOM concentrations were found in the Atlantic inflow. We show that the salinity-CDOM relationship is not suitable for evaluating conservative mixing of CDOM. The strong correlation between meteoric water and CDOM is indicative of the riverine/terrigenous origin of CDOM in the EGC. Based on CDOM absorption in Polar Water and comparison with an Arctic river discharge weighted mean, we estimate that a 49-59% integrated loss of CDOM absorption across 250-600 nm has occurred. A preferential removal of absorption at longer wavelengths reflects the loss of high molecular weight material. In contrast, CDOM fluxes through the Fram Strait using September velocity fields from a high-resolution ocean-sea ice model indicate that the net southward transport of terrigenous CDOM through the Fram Strait equals up to 50% of the total riverine CDOM input; this suggests that the Fram Strait export is a major sink of CDOM. These contrasting results indicate that we have to constrain the (C)DOM budgets for the Arctic Ocean much better and examine uncertainties related to using tracers to assess conservative mixing in polar waters. Citation: Granskog, M. A., C. A. Stedmon, P. A. Dodd, R. M. W. Amon, A. K. Pavlov, L. de Steur, and E. Hansen (2012), Characteristics of colored dissolved organic matter (CDOM) in the Arctic outflow in the Fram Strait: Assessing the changes and fate of terrigenous CDOM in the Arctic Ocean, J. Geophys. Res., 117, C12021, doi:10.1029/2012JC008075.</t>
  </si>
  <si>
    <t>[Granskog, Mats A.; Dodd, Paul A.; Hansen, Edmond] Norwegian Polar Res Inst, Fram Ctr, NO-9296 Tromso, Norway; [Stedmon, Colin A.] Tech Univ Denmark, Natl Inst Aquat Res, Charlottenlund, Denmark; [Amon, Rainer M. W.] Texas A&amp;M Univ, Dept Marine Sci, College Stn, TX USA; [Amon, Rainer M. W.] Texas A&amp;M Univ, Dept Oceanog, College Stn, TX 77843 USA; [Pavlov, Alexey K.] Arctic &amp; Antarctic Res Inst, St Petersburg 199226, Russia; [de Steur, Laura] Royal Netherlands Inst Sea Res, Texel, Netherlands</t>
  </si>
  <si>
    <t>Norwegian Polar Institute; Technical University of Denmark; Texas A&amp;M University System; Texas A&amp;M University College Station; Texas A&amp;M University System; Texas A&amp;M University College Station; Arctic &amp; Antarctic Research Institute; Utrecht University; Royal Netherlands Institute for Sea Research (NIOZ)</t>
  </si>
  <si>
    <t>Granskog, MA (corresponding author), Norwegian Polar Res Inst, Fram Ctr, NO-9296 Tromso, Norway.</t>
  </si>
  <si>
    <t>mats@npolar.no</t>
  </si>
  <si>
    <t>Stedmon, Colin Andrew/B-5841-2008; Amon, Rainer/F-2524-2018; de Steur, Laura/B-4882-2016</t>
  </si>
  <si>
    <t>Stedmon, Colin Andrew/0000-0001-6642-9692; Granskog, Mats/0000-0002-5035-4347; de Steur, Laura/0000-0002-6043-7920; Pavlov, Alexey/0000-0002-1978-5368</t>
  </si>
  <si>
    <t>Centre for Ice, Climate and Ecosystems (ICE) at the Norwegian Polar Institute; National Science Foundation [ARC 0425582, ARC 0713991, OPP 0229302]; Carlsberg Foundation; Greenland Climate Research Centre; Danish Strategic Research Council (NAACOS project); Fram Arctic Climate Laboratory</t>
  </si>
  <si>
    <t>Centre for Ice, Climate and Ecosystems (ICE) at the Norwegian Polar Institute; National Science Foundation(National Science Foundation (NSF)); Carlsberg Foundation(Carlsberg Foundation); Greenland Climate Research Centre; Danish Strategic Research Council (NAACOS project); Fram Arctic Climate Laboratory</t>
  </si>
  <si>
    <t>The 4.5 km Arctic Ocean simulation was provided by G. Spreen and was carried out as part of the NASA Modeling Analysis and Prediction (MAP) ECCO2 project. M.A.G, P.A.D., and E.H. were supported by the Centre for Ice, Climate and Ecosystems (ICE) at the Norwegian Polar Institute. R.M.W.A. was funded by grants from the National Science Foundation (ARC 0425582, ARC 0713991, and OPP 0229302 subcontract). C.A.S was funded by the Carlsberg Foundation, Greenland Climate Research Centre, and Danish Strategic Research Council (NAACOS project). A.K.P. was supported by the Fram Arctic Climate Laboratory. Comments from three anonymous reviewers aided in improving the manuscript.</t>
  </si>
  <si>
    <t>C12021</t>
  </si>
  <si>
    <t>10.1029/2012JC008075</t>
  </si>
  <si>
    <t>061BB</t>
  </si>
  <si>
    <t>WOS:000312821000001</t>
  </si>
  <si>
    <t>Morley, SA; Martin, SM; Day, RW; Ericson, J; Lai, CH; Lamare, M; Tan, KS; Thorne, MAS; Peck, LS</t>
  </si>
  <si>
    <t>Morley, Simon A.; Martin, Stephanie M.; Day, Robert W.; Ericson, Jess; Lai, Chien-Houng; Lamare, Miles; Tan, Koh-Siang; Thorne, Michael A. S.; Peck, Lloyd S.</t>
  </si>
  <si>
    <t>Thermal Reaction Norms and the Scale of Temperature Variation: Latitudinal Vulnerability of Intertidal Nacellid Limpets to Climate Change</t>
  </si>
  <si>
    <t>TOLERANCE; LIMITS; TENACITY; IMPACTS; ECOLOGY; VARIABILITY; SENSITIVITY; PERFORMANCE; STRATEGIES; ECTOTHERMS</t>
  </si>
  <si>
    <t>The thermal reaction norms of 4 closely related intertidal Nacellid limpets, Antarctic (Nacella concinna), New Zealand (Cellana ornata), Australia (C. tramoserica) and Singapore (C. radiata), were compared across environments with different temperature magnitude, variability and predictability, to test their relative vulnerability to different scales of climate warming. Lethal limits were measured alongside a newly developed metric of duration tenacity, which was tested at different temperatures to calculate the thermal reaction norm of limpet adductor muscle fatigue. Except in C. tramoserica which had a wide optimum range with two break points, duration tenacity did not follow a typical aerobic capacity curve but was best described by a single break point at an optimum temperature. Thermal reaction norms were shifted to warmer temperatures in warmer environments; the optimum temperature for tenacity (T-opt) increased from 1.0 degrees C (N. concinna) to 14.3 degrees C (C. ornata) to 18.0 degrees C (an average for the optimum range of C. tramoserica) to 27.6 degrees C (C. radiata). The temperature limits for duration tenacity of the 4 species were most consistently correlated with both maximum sea surface temperature and summer maximum in situ habitat logger temperature. Tropical C. radiata, which lives in the least variable and most predictable environment, generally had the lowest warming tolerance and thermal safety margin (WT and TSM; respectively the thermal buffer of CTmax and T-opt over habitat temperature). However, the two temperate species, C. ornata and C. tramoserica, which live in a variable and seasonally unpredictable microhabitat, had the lowest TSM relative to in situ logger temperature. N. concinna which lives in the most variable, but seasonally predictable microhabitat, generally had the highest TSMs. Intertidal animals live at the highly variable interface between terrestrial and marine biomes and even small changes in the magnitude and predictability of their environment could markedly influence their future distributions.</t>
  </si>
  <si>
    <t>[Morley, Simon A.; Thorne, Michael A. S.; Peck, Lloyd S.] British Antarctic Survey, Nat Environm Res Council, Cambridge, England; [Day, Robert W.] Univ Melbourne, Dept Zool, Parkville, Vic 3052, Australia; [Ericson, Jess; Lamare, Miles] Univ Otago, Dept Marine Sci, Dunedin, New Zealand; [Lai, Chien-Houng; Tan, Koh-Siang] Natl Univ Singapore, Trop Marine Sci Inst, Singapore 117548, Singapore</t>
  </si>
  <si>
    <t>UK Research &amp; Innovation (UKRI); Natural Environment Research Council (NERC); NERC British Antarctic Survey; University of Melbourne; University of Otago; National University of Singapore</t>
  </si>
  <si>
    <t>Morley, SA (corresponding author), British Antarctic Survey, Nat Environm Res Council, Cambridge, England.</t>
  </si>
  <si>
    <t>smor@bas.ac.uk</t>
  </si>
  <si>
    <t>Tan, Koh Siang/GOH-0321-2022; Ericson, Jessica/B-1696-2016; Lamare, Miles M/A-7020-2010; , Tan KS/HLW-4582-2023; Day, Robert/K-6052-2012; Ericson, Jessica/AAP-1976-2020</t>
  </si>
  <si>
    <t>Tan, Koh Siang/0000-0002-4599-9482; Ericson, Jessica/0000-0001-5220-8493; Day, Robert/0000-0001-5913-2292; Ericson, Jessica/0000-0001-5220-8493; Lamare, Miles/0000-0001-8656-7240; Thorne, Michael/0000-0001-7759-612X</t>
  </si>
  <si>
    <t>Natural environment research council (United Kingdom) [0821010024]; University of Otago Research Committee; Trans-Antarctic Association [TAA05/08]; Rothera marine team; NERC Scientific Diving Facility; Natural Environment Research Council [dml011000, bas0100025] Funding Source: researchfish; NERC [dml011000, bas0100025] Funding Source: UKRI</t>
  </si>
  <si>
    <t>Natural environment research council (United Kingdom)(UK Research &amp; Innovation (UKRI)Natural Environment Research Council (NERC)); University of Otago Research Committee; Trans-Antarctic Association; Rothera marine team; NERC Scientific Diving Facility(UK Research &amp; Innovation (UKRI)Natural Environment Research Council (NERC)); Natural Environment Research Council(UK Research &amp; Innovation (UKRI)Natural Environment Research Council (NERC)); NERC(UK Research &amp; Innovation (UKRI)Natural Environment Research Council (NERC))</t>
  </si>
  <si>
    <t>This project was funded by the Natural environment research council (United Kingdom) core funding to BAS, A*Star proposal (SERC project no. 0821010024), the University of Otago Research Committee and the Trans-Antarctic Association (TAA05/08). The funders had no role in study design, data collection and analysis, decision to publish, or preparation of the manuscript.; All experiments conform to the current laws of the country in which they were undertaken. We thank Amanda Bates for intellectual input and Mike Barker for limpet identification in New Zealand. Diving in the Antarctic was supported by the Rothera marine team and the NERC Scientific Diving Facility.</t>
  </si>
  <si>
    <t>e52818</t>
  </si>
  <si>
    <t>10.1371/journal.pone.0052818</t>
  </si>
  <si>
    <t>065OW</t>
  </si>
  <si>
    <t>WOS:000313158800097</t>
  </si>
  <si>
    <t>Stimpert, AK; Peavey, LE; Friedlaender, AS; Nowacek, DP</t>
  </si>
  <si>
    <t>Stimpert, Alison K.; Peavey, Lindsey E.; Friedlaender, Ari S.; Nowacek, Douglas P.</t>
  </si>
  <si>
    <t>Humpback Whale Song and Foraging Behavior on an Antarctic Feeding Ground</t>
  </si>
  <si>
    <t>EASTERN NORTH PACIFIC; MEGAPTERA-NOVAEANGLIAE; ACOUSTIC DETECTIONS; HAWAIIAN; WESTERN; KINEMATICS; MIGRATION; WATERS</t>
  </si>
  <si>
    <t>Reports of humpback whale (Megaptera novaeangliae) song chorusing occurring outside the breeding grounds are becoming more common, but song structure and underwater behavior of individual singers on feeding grounds and migration routes remain unknown. Here, ten humpback whales in the Western Antarctic Peninsula were tagged in May 2010 with non-invasive, suction-cup attached tags to study foraging ecology and acoustic behavior. Background song was identified on all ten records, but additionally, acoustic records of two whales showed intense and continuous singing, with a level of organization and structure approaching that of typical breeding ground song. The songs, produced either by the tagged animals or close associates, shared phrase types and theme structure with one another, and some song bouts lasted close to an hour. Dive behavior of tagged animals during the time of sound production showed song occurring during periods of active diving, sometimes to depths greater than 100 m. One tag record also contained song in the presence of feeding lunges identified from the behavioral sensors, indicating that mating displays occur in areas worthy of foraging. These data show behavioral flexibility as the humpbacks manage competing needs to continue to feed and to prepare for the breeding season during late fall. This may also signify an ability to engage in breeding activities outside of the traditional, warm water breeding ground locations.</t>
  </si>
  <si>
    <t>[Stimpert, Alison K.] USN, Dept Oceanog, Postgrad Sch, Monterey, CA 93943 USA; [Peavey, Lindsey E.] Univ Calif Santa Barbara, Bren Sch Environm Sci &amp; Management, Santa Barbara, CA 93106 USA; [Friedlaender, Ari S.; Nowacek, Douglas P.] Duke Univ, Marine Lab, Nicholas Sch Environm, Beaufort, NC 28516 USA; [Nowacek, Douglas P.] Duke Univ, Marine Lab, Pratt Sch Engn, Beaufort, NC 28516 USA</t>
  </si>
  <si>
    <t>United States Department of Defense; United States Navy; Naval Postgraduate School; University of California System; University of California Santa Barbara; Duke University; Duke University</t>
  </si>
  <si>
    <t>Stimpert, AK (corresponding author), USN, Dept Oceanog, Postgrad Sch, Monterey, CA 93943 USA.</t>
  </si>
  <si>
    <t>akstimpe@nps.edu</t>
  </si>
  <si>
    <t>Stimpert, Alison/0000-0002-9400-0305; Peavey Reeves, Lindsey/0000-0003-4900-5921</t>
  </si>
  <si>
    <t>National Science Foundation [ANT-07-39483]; Acoustical Society of America</t>
  </si>
  <si>
    <t>National Science Foundation(National Science Foundation (NSF)); Acoustical Society of America</t>
  </si>
  <si>
    <t>This material is based upon work supported by the National Science Foundation under Grant No. ANT-07-39483. The authors also gratefully acknowledge funding support from the F. V. Hunt Fellowship of the Acoustical Society of America. The funders had no role in study design, data collection and analysis, decision to publish, or preparation of the manuscript.</t>
  </si>
  <si>
    <t>DEC 19</t>
  </si>
  <si>
    <t>e51214</t>
  </si>
  <si>
    <t>10.1371/journal.pone.0051214</t>
  </si>
  <si>
    <t>059HF</t>
  </si>
  <si>
    <t>WOS:000312694300015</t>
  </si>
  <si>
    <t>Hori, T; Shinbori, A; Nishitani, N; Kikuchi, T; Fujita, S; Nagatsuma, T; Troshichev, O; Yumoto, K; Moiseyev, A; Seki, K</t>
  </si>
  <si>
    <t>Hori, T.; Shinbori, A.; Nishitani, N.; Kikuchi, T.; Fujita, S.; Nagatsuma, T.; Troshichev, O.; Yumoto, K.; Moiseyev, A.; Seki, K.</t>
  </si>
  <si>
    <t>Evolution of negative SI-induced ionospheric flows observed by SuperDARN King Salmon HF radar</t>
  </si>
  <si>
    <t>GEOMAGNETIC SUDDEN COMMENCEMENT; TRAVELING CONVECTION VORTICES; FIELD-ALIGNED CURRENTS; WIND PRESSURE PULSE; WORLD-WIDE CHANGES; SOLAR-WIND; INTERPLANETARY SHOCK; NUMERICAL-SIMULATION; DYNAMIC PRESSURE; HIGH-LATITUDES</t>
  </si>
  <si>
    <t>The spatial evolution of vortex-like flow structures induced by a negative sudden impulse (SI-) is studied on the basis of SuperDARN King Salmon HF radar (KSR) with other ground and satellite data. A large dip in the solar wind density induced a fairly large SI- with a SYM-H amplitude of similar to 40 nT. The SI- induced ionospheric flow signatures in the evening sector (MLT similar to 19 h) were observed by KSR as a westward flow associated with the preliminary impulse (PI) followed by a more intense eastward flow with the main impulse (MI) in the sub-auroral region of the magnetic latitude similar to 60-70 deg, consistent with the local ground magnetic field observations. Following the first PI-MI flow sequence, KSR saw a second and possibly third sequence of flow variation which were much smaller in flow amplitude than the first pair but showed qualitatively very similar flow variations and latitudinal/longitudinal propagation characteristics. These observations can be interpreted as aftershocks of the first PI-MI; the same sequence of vortices and field-aligned currents were generated and then drifted anti-sunward with the same mechanism, namely the pumping motion of the dayside magnetosphere. These results are qualitatively consistent with predictions suggested by recent numerical simulations. Citation: Hori, T., A. Shinbori, N. Nishitani, T. Kikuchi, S. Fujita, T. Nagatsuma, O. Troshichev, K. Yumoto, A. Moiseyev, and K. Seki (2012), Evolution of negative SI- induced ionospheric flows observed by SuperDARN King Salmon HF radar, J. Geophys. Res., 117, A12223, doi:10.1029/2012JA018093.</t>
  </si>
  <si>
    <t>[Hori, T.; Nishitani, N.; Kikuchi, T.; Seki, K.] Nagoya Univ, Solar Terr Environm Lab, Nagoya, Aichi 4648601, Japan; [Shinbori, A.] Kyoto Univ, Res Inst Sustainable Humanosphere, Kyoto, Japan; [Fujita, S.] Meteorol Coll, Kashiwa, Chiba, Japan; [Nagatsuma, T.] Natl Inst Informat &amp; Commun Technol, Tokyo, Japan; [Troshichev, O.] Arctic &amp; Antarctic Res Inst, St Petersburg 199226, Russia; [Yumoto, K.] Kyushu Univ, Int Ctr Space Weather Sci &amp; Educ, Fukuoka 812, Japan; [Moiseyev, A.] Inst Cosmophys Res &amp; Aeron, Yakutsk, Russia</t>
  </si>
  <si>
    <t>Nagoya University; Kyoto University; National Institute of Information &amp; Communications Technology (NICT) - Japan; Arctic &amp; Antarctic Research Institute; Kyushu University; Russian Academy of Sciences; Shafer Institute of Cosmophysical Research &amp; Aeronomy, Siberian Branch of the Russian Academy of Sciences</t>
  </si>
  <si>
    <t>Hori, T (corresponding author), Nagoya Univ, Solar Terr Environm Lab, Nagoya, Aichi 4648601, Japan.</t>
  </si>
  <si>
    <t>horit@stelab.nagoya-u.ac.jp</t>
  </si>
  <si>
    <t>Nishitani, Nozomu/R-8831-2019; Shinbori, Atsuki/AAW-5003-2021; Nagatsuma, Tsutomu/AAS-8526-2020; Моисеев, Алексей/AAC-5125-2020; Fujita, Shigeru/AAF-2814-2020</t>
  </si>
  <si>
    <t>Nishitani, Nozomu/0000-0001-9842-5119; Shinbori, Atsuki/0000-0003-4519-4526; Nagatsuma, Tsutomu/0000-0002-9334-0738; Hori, Tomoaki/0000-0001-8451-6941; Seki, Kanako/0000-0001-5557-9062</t>
  </si>
  <si>
    <t>NASA [NAS5-02099]; RFBR [RFBR11-05-00908]; Grants-in-Aid for Scientific Research [22253007, 22540461, 23740369] Funding Source: KAKEN</t>
  </si>
  <si>
    <t>NASA(National Aeronautics &amp; Space Administration (NASA)); RFBR(Russian Foundation for Basic Research (RFBR)); Grants-in-Aid for Scientific Research(Ministry of Education, Culture, Sports, Science and Technology, Japan (MEXT)Japan Society for the Promotion of ScienceGrants-in-Aid for Scientific Research (KAKENHI))</t>
  </si>
  <si>
    <t>The Wind data were provided through the NASA/CDAWeb. The AU/AL indices were provided by the World Data Center for Geomagnetism, Kyoto. We acknowledge Bureau Central de Magnetisme Terrestre and the World Data Center for Geomagnetism, Kyoto for providing the AAE and TAM data. We acknowledge J. P. McFadden and C. W. Carlson for providing the FAST/ESA data. The FAST/MGF data and the codes to process them were provided by R. J. Strangeway. The SEM-2 data of MetOp-2 were provided through NOAA/NGDC. We acknowledge NASA contract NAS5-02099 and V. Angelopoulos, S. Mende, C. T. Russell, and the Geophysical Institute in Alaska, for use of data from the THEMIS mission. The Alaskan magnetometer data were provided by the Geophysical Institute Magnetometer Array, which is operated by the Geophysical Institute, University of Alaska Fairbanks. The work of A. M. was partially supported by the RFBR grant RFBR11-05-00908 to the IKFIA.</t>
  </si>
  <si>
    <t>DEC 15</t>
  </si>
  <si>
    <t>A12223</t>
  </si>
  <si>
    <t>10.1029/2012JA018093</t>
  </si>
  <si>
    <t>055FW</t>
  </si>
  <si>
    <t>WOS:000312401700002</t>
  </si>
  <si>
    <t>He, JF; Zhang, F; Lin, L; Ma, YX; Chen, JF</t>
  </si>
  <si>
    <t>He, Jianfeng; Zhang, Fang; Lin, Ling; Ma, Yuxin; Chen, Jianfang</t>
  </si>
  <si>
    <t>Bacterioplankton and picophytoplankton abundance, biomass, and distribution in the Western Canada Basin during summer 2008</t>
  </si>
  <si>
    <t>Bacterioplankton; Picophytoplankton; Abundance; Biomass; Western Canada Basin</t>
  </si>
  <si>
    <t>UPPER WATER COLUMN; ARCTIC-OCEAN; HETEROTROPHIC BACTERIA; FLOW-CYTOMETRY; COMMUNITY STRUCTURE; MICROBIAL PROCESSES; ORGANIC-MATTER; SEA-ICE; PHYTOPLANKTON; TEMPERATURE</t>
  </si>
  <si>
    <t>During the R/V Xuelong Arctic cruise in summer 2008, we investigated bacterioplankton and picophytoplankton abundance, biomass, spatial distribution, and these variables' relationship with environmental variables in the Western Canada Basin. The bacterioplankton and picophytoplankton abundances in the upper 200 m of the water column were 0.17-8.38 x 10(5) cells ml(-1) and 0.01-17.71 x 10(6) cells L-1, respectively. The average integrated bacterioplankton and picophytoplankton biomasses in the upper 100 m of the water column were 413.3 and 118.8 mg C m(-2), respectively. Microbial biomass was comparable with previous reports and distributed mainly in the upper 50 m of the water column. The bacterioplankton and picophytoplankton biomasses decreased with increasing latitude. Compared with eastern transects, which were strongly influenced by an influx of Pacific water, the western transects had relatively low temperature, high salinity, high nutrients, and high biomass. No significant relationships were detected between assemblages and water temperature or salinity, expect for one between bacterioplankton and salinity in the latitudinal transects. However, a significant negative correlation between picophytoplankton and nutrients and a significant positive correlation between bacterioplankton and picophytoplankton were observed. We suggest that this was mainly caused by the relatively low picophytoplankton biomass, occurrence of heavy stratification (nutricline), and the subsurface chlorophyll maxima (SCM) in study area. Heavy melting of sea ice in summer increases the stratification, which obstructs nutrient supplementation from deep waters, and this might increase the role of microbial assemblages in the upper water column in the Arctic basin area. (C) 2012 Published by Elsevier Ltd.</t>
  </si>
  <si>
    <t>[He, Jianfeng; Zhang, Fang; Lin, Ling] Polar Res Inst China, SOA Key Lab Polar Sci, Shanghai 200136, Peoples R China; [He, Jianfeng; Ma, Yuxin] Tongji Univ, Coll Environm Sci &amp; Engn, Shanghai 200092, Peoples R China; [Chen, Jianfang] State Ocean Adm China, Inst Oceanog 2, Key Lab Ocean Ecosyst &amp; Biogeochem, Hangzhou 310012, Zhejiang, Peoples R China</t>
  </si>
  <si>
    <t>Polar Research Institute of China; Tongji University</t>
  </si>
  <si>
    <t>He, JF (corresponding author), Polar Res Inst China, SOA Key Lab Polar Sci, Shanghai 200136, Peoples R China.</t>
  </si>
  <si>
    <t>hejianfeng@pric.gov.cn</t>
  </si>
  <si>
    <t>Zhang, Fang/AAX-3262-2021; MA, Yuxin/AAG-8630-2020</t>
  </si>
  <si>
    <t>Zhang, Fang/0000-0002-0300-8273;</t>
  </si>
  <si>
    <t>National Nature Science Foundation [41076130 and 40576002]; Chinese Polar Environment Investigation &amp; Assessment Programme</t>
  </si>
  <si>
    <t>National Nature Science Foundation(National Natural Science Foundation of China (NSFC)); Chinese Polar Environment Investigation &amp; Assessment Programme</t>
  </si>
  <si>
    <t>We thank Prof. Jinping Zhao from China Oceanic University who provided hydrographic and PAR data. Dr. Ruibo Lei from Polar Research Institute of China provided sea ice data. The study was financially supported by the National Nature Science Foundation (Nos. 41076130 and 40576002), and the Chinese Polar Environment Investigation &amp; Assessment Programme. Sample Information and Data were issued by the Resource-sharing Platform of Polar Samples (http://birds.chinare.org.cn) maintained by the Polar Research Institute of China and the Chinese National Arctic &amp; Antarctic Data Center (CN-NADC).</t>
  </si>
  <si>
    <t>81-84</t>
  </si>
  <si>
    <t>10.1016/j.dsr2.2012.08.018</t>
  </si>
  <si>
    <t>044VY</t>
  </si>
  <si>
    <t>WOS:000311654500005</t>
  </si>
  <si>
    <t>Gao, ZY; Chen, LQ; Sun, H; Chen, BS; Cai, WJ</t>
  </si>
  <si>
    <t>Gao, Zhongyong; Chen, Liqi; Sun, Heng; Chen, Baoshan; Cai, Wei-Jun</t>
  </si>
  <si>
    <t>Distributions and air-sea fluxes of carbon dioxide in the Western Arctic Ocean</t>
  </si>
  <si>
    <t>CO2 flux; Arctic Ocean; pCO(2) distribution</t>
  </si>
  <si>
    <t>DISSOLVED INORGANIC CARBON; CHEMISTRY DYNAMICS; BERING-STRAIT; CHUKCHI SEA; CO2 FLUXES; SHELF; WATER; PHYTOPLANKTON; VARIABILITY; NUTRIENTS</t>
  </si>
  <si>
    <t>The uptake of carbon dioxide (CO2) by the Arctic Ocean is most likely increasing because of the rapid sea-ice retreat that lifted the barriers preventing gas exchange and light penetration for biological growth. Measurements of atmospheric and surface sea water partial pressure of CO2 (pCO(2)) were conducted during the Chinese National Arctic Research Expedition (CHINARE) cruises from July to September in 2003 and 2008. The latitudinal distribution of pCO(2) along the 169 degrees W transect showed a below-atmopsheric pCO(2) level in most of the Western Arctic Ocean, with distinct regional differences from Bering Strait northward to the Central Acrctic Ocean. The average air-sea CO2 fluxes on the shelf and slope of the Chukchi Sea were -17.0 and -8.1 mmol m(-2) d(-1) respectively. In the ice-free zone, the partially ice-covered zone, and the heavily ice-covered zone of the Canada Basin, the fluxes were -4.2, -8.6, -2.5 mmol m(-2) d(-1) respectively. These rates are lower than other recent estimates. Our new results not only confirmed previous observations that most areas of the Western Arctic Ocean were a CO2 sink in general, but they also revealed that the previously unsampled central basins were a moderate CO2 sink. Analysis of controlling factors in different areas shows that pCO(2) in Bering Strait was influenced not only by the Bering inflow waters but also by the high biological production. However, pCO(2) fluctuated sharply because of strong water mixing both laterally and vertically. In the marginal ice zone (Chukchi Sea), pCO(2) was controlled by ice melt and biological production, both of which would decrease pCO(2) onshore of the ice edge. In the nearly ice-free southern Canada Basin, pCO(2) increasd latitudinally as a result of atmospheric CO2 uptake due to intensive gas exchange, increased temperature, and decresed biological CO2 uptake due to limited nutrient supply. Finally, pCO(2) was moderately lower than the atmospheric value and was relatively stable under the ice sheet of the central Arctic Ocean in very high latitudes. Thus it appears that the Arctic Ocean has a strong potential capacity of absorbing atmospheric CO2 in the future. (C) 2012 Published by Elsevier Ltd.</t>
  </si>
  <si>
    <t>[Gao, Zhongyong; Chen, Liqi; Sun, Heng] State Ocean Adm, Inst Oceanog 3, Key Lab Global Change &amp; Marine Atmospher Chem, Xiamen 361005, Peoples R China; [Chen, Baoshan; Cai, Wei-Jun] Univ Georgia, Athens, GA 30622 USA</t>
  </si>
  <si>
    <t>Third Institute of Oceanography, Ministry of Natural Resources; University System of Georgia; University of Georgia</t>
  </si>
  <si>
    <t>Gao, ZY (corresponding author), State Ocean Adm, Inst Oceanog 3, Key Lab Global Change &amp; Marine Atmospher Chem, Xiamen 361005, Peoples R China.</t>
  </si>
  <si>
    <t>zgao@263.net</t>
  </si>
  <si>
    <t>Cai, Wei-Jun/C-1361-2013</t>
  </si>
  <si>
    <t>Cai, Wei-Jun/0000-0003-3606-8325</t>
  </si>
  <si>
    <t>National Natural Science Foundation of China (NSFC) [40976116]; Fujian Science Fund for Distinguished Young Scholars of China [2009J06025]; China Polar Environment Comprehensive Investigation &amp; Assessment Programs [2012-03-04, 2012-04-04]; Scientific Research Foundation of Third Institute of Oceanography [2010011, 2012006]; Natural Science Foundation of Fujian Province of China [2011J01271]; SOA Youth Foundation [2012538]; Special Research Foundation for Public Welfare Marine Program [201105022-2]; International Polar Year Chinese Action Plan; US NOAA; NSF</t>
  </si>
  <si>
    <t>National Natural Science Foundation of China (NSFC)(National Natural Science Foundation of China (NSFC)); Fujian Science Fund for Distinguished Young Scholars of China; China Polar Environment Comprehensive Investigation &amp; Assessment Programs; Scientific Research Foundation of Third Institute of Oceanography; Natural Science Foundation of Fujian Province of China(Natural Science Foundation of Fujian Province); SOA Youth Foundation; Special Research Foundation for Public Welfare Marine Program; International Polar Year Chinese Action Plan; US NOAA(National Oceanic Atmospheric Admin (NOAA) - USA); NSF(National Science Foundation (NSF))</t>
  </si>
  <si>
    <t>The project was funded by the National Natural Science Foundation of China (NSFC) program (no. 40976116), Fujian Science Fund for Distinguished Young Scholars of China no. (2009J06025), China Polar Environment Comprehensive Investigation &amp; Assessment Programs (nos. 2012-03-04 and 2012-04-04), the Scientific Research Foundation of Third Institute of Oceanography (nos. 2010011 and 2012006), the Natural Science Foundation of Fujian Province of China (2011J01271), the SOA Youth Foundation Grant (Grant no. 2012538), the Special Research Foundation for Public Welfare Marine Program (no. 201105022-2) and the International Polar Year Chinese Action Plan. Additional funding was provided by the US NOAA and NSF to WJC for participating in this collaborative research. We sincerely thank the Chinese Arctic and Antarctic Administration and the crews from the Icebreaker Xuelong for their help. We are grateful to Rik Wanninkhof and his group from NOAA for their collaboration and Dr. Jianfang Chen's group for chlorophyll-a data.</t>
  </si>
  <si>
    <t>10.1016/j.dsr2.2012.08.021</t>
  </si>
  <si>
    <t>WOS:000311654500006</t>
  </si>
  <si>
    <t>Barrat, JA; Yamaguchi, A; Jambon, A; Bollinger, C; Boudouma, O</t>
  </si>
  <si>
    <t>Barrat, J. A.; Yamaguchi, A.; Jambon, A.; Bollinger, C.; Boudouma, O.</t>
  </si>
  <si>
    <t>Low-Mg rock debris in howardites: Evidence for KREEPy lithologies on Vesta?</t>
  </si>
  <si>
    <t>PARENT BODY; EUCRITIC METEORITES; QUARTZ MONZODIORITE; IMPACT SPHERULES; THERMAL HISTORY; ASTEROID VESTA; TREND EUCRITES; DIOGENITES; GEOCHEMISTRY; CHEMISTRY</t>
  </si>
  <si>
    <t>The Northwest Africa (NWA) 1664 and 1769 howardites contain fragments of low-Mg lithologies. These clasts consist of plagioclase, Fe-rich pyroxenes (high-Ca pyroxene and an Fe-rich pigeonite (or pyroxferroite) partially to totally converted to a silica-fayalite-hedenbergite symplectite), K-Ba-feldspars (hyalophane), silica, troilite, phosphates (merrillite and apatite), ilmenite, baddeleyite and zircon. Textural considerations and phase compositions show that these clasts cannot be unrepresentative debris of mesostasis-rich areas from eucrites, but are instead remnants of evolved rocks. The occurrence of hyalophane and the modal abundances of phosphates in the largest of them suggest that their source rocks were much more K- and P-rich than regular HEDs. Moreover, the rare earth element abundances of the pyroxenes indicate that their parental melts were rich in incompatible trace elements (possibly at the level of 100 x CI or much higher for heavy REEs), with variable negative Eu anomalies. Although, their petrogenesis is uncertain, they demonstrate that magmatic activity on Vesta has been able to generate a diversity of rocks greater than generally thought, and local lithologies with possible KREEP affinities. (C) 2012 Elsevier Ltd. All rights reserved.</t>
  </si>
  <si>
    <t>[Barrat, J. A.; Bollinger, C.] Univ Brest, CNRS, UMR Domaines Ocean 6538, IUEM, F-29280 Plouzane, France; [Yamaguchi, A.] Natl Inst Polar Res, Antarctic Meteorites Res Ctr, Tachikawa, Tokyo 1908518, Japan; [Jambon, A.; Boudouma, O.] Univ Paris 06, UPMC, UMR 7193, Inst Sci Terre Paris, F-75252 Paris O, France</t>
  </si>
  <si>
    <t>Centre National de la Recherche Scientifique (CNRS); CNRS - National Institute for Earth Sciences &amp; Astronomy (INSU); Universite de Bretagne Occidentale; Institut Universitaire Europeen de la Mer (IUEM); Research Organization of Information &amp; Systems (ROIS); National Institute of Polar Research (NIPR) - Japan; Sorbonne Universite; Centre National de la Recherche Scientifique (CNRS); CNRS - National Institute for Earth Sciences &amp; Astronomy (INSU)</t>
  </si>
  <si>
    <t>Barrat, JA (corresponding author), Univ Brest, CNRS, UMR Domaines Ocean 6538, IUEM, Pl Nicolas Copernic, F-29280 Plouzane, France.</t>
  </si>
  <si>
    <t>barrat@univ-brest.fr</t>
  </si>
  <si>
    <t>Barrat, Jean Alix/C-8416-2017</t>
  </si>
  <si>
    <t>Barrat, Jean Alix/0000-0003-3158-3109</t>
  </si>
  <si>
    <t>Programme National de Planetologie (CNRS-INSU)</t>
  </si>
  <si>
    <t>Programme National de Planetologie (CNRS-INSU)(Centre National de la Recherche Scientifique (CNRS))</t>
  </si>
  <si>
    <t>The samples analyzed during the course of this study were kindly provided by Ahmed Pani (NWA 1664) and Philippe Thomas (NWA 1769). Electron microprobe analyses were obtained with the assistance of Marcel Bohn. We thank Christian Koeberl for the editorial handling, J. Boesenberg and P. Buchanan for constructive comments, Roger Hewins for fruitful discussions and comments, and Pascale Barrat for her help. We gratefully acknowledge the Programme National de Planetologie (CNRS-INSU) for financial support. This research has made use of NASA's Astrophysics Data System Abstract Service.</t>
  </si>
  <si>
    <t>10.1016/j.gca.2012.09.026</t>
  </si>
  <si>
    <t>040SZ</t>
  </si>
  <si>
    <t>WOS:000311345200013</t>
  </si>
  <si>
    <t>Amundson, R; Barnes, JD; Ewing, S; Heimsath, A; Chong, G</t>
  </si>
  <si>
    <t>Amundson, Ronald; Barnes, Jaime D.; Ewing, Stephanie; Heimsath, Arjun; Chong, Guillermo</t>
  </si>
  <si>
    <t>The stable isotope composition of halite and sulfate of hyperarid soils and its relation to aqueous transport</t>
  </si>
  <si>
    <t>ATACAMA DESERT; CHLORINE ISOTOPES; BASIN; FRACTIONATION; GROUNDWATER; DIFFUSION; REGION; CHILE; ROCKS; CA</t>
  </si>
  <si>
    <t>Halite (NaCl) and gypsum or anhydrite (CaSO4) are water-soluble minerals found in soils of the driest regions of Earth, and only modest attention has been given to the hydrological processes that distribute these salts vertically in soil profiles. The two most notable chloride and sulfate-rich deserts on earth are the Dry Valleys of Antarctica and the Atacama Desert of Chile. While each is hyperarid, they possess very different hydrological regimes. We first show, using previously published S and O isotope data for sulfate minerals, that downward migration of water and sulfate is the primary mechanism responsible for depth profiles of sulfate concentration, and S and O isotopes, in both deserts. In contrast, we found quite different soluble Cl concentration and Cl isotope profiles between the two deserts. For Antarctic soils with an ice layer near the soil surface, the Cl concentrations increase with decreasing soil depth, whereas the ratio of Cl-37/Cl-35 increases. Based on previous field observations by others, we found that thermally driven upward movement of brine during the winter, described by an advection/diffusion model, qualitatively mimics the observed profiles. In contrast, in the Atacama Desert where rare but relatively large rains drive Cl downward through the profiles, Cl concentrations and Cl-37/Cl-35 ratios increased with depth. The depth trends in Cl isotopes are more closely explained by a Rayleigh-like model of downward fluid flow. The isotope profiles, and our modeling, reveal the similarities and differences between these two very arid regions on Earth, and are relevant for constraining models of fluid flow in arid zone soil and vadose zone hydrology. (C) 2012 Elsevier Ltd. All rights reserved.</t>
  </si>
  <si>
    <t>[Amundson, Ronald; Ewing, Stephanie] Univ Calif Berkeley, Div Ecosyst Sci, Berkeley, CA 94720 USA; [Barnes, Jaime D.] Univ New Mexico, Dept Earth &amp; Planetary Sci, Albuquerque, NM 87131 USA; [Heimsath, Arjun] Arizona State Univ, Sch Earth &amp; Space Explorat, Tempe, AZ 85287 USA; [Chong, Guillermo] Univ Catolica Norte, Dept Ciencias Geol, Antofagasta, Chile</t>
  </si>
  <si>
    <t>University of California System; University of California Berkeley; University of New Mexico; Arizona State University; Arizona State University-Tempe; Universidad Catolica del Norte</t>
  </si>
  <si>
    <t>Amundson, R (corresponding author), Univ Calif Berkeley, Div Ecosyst Sci, 137 Mulford Hall, Berkeley, CA 94720 USA.</t>
  </si>
  <si>
    <t>earthy@berkeley.edu; jdbarnes@jsg.utexas.edu</t>
  </si>
  <si>
    <t>Barnes, Jaime D/B-5454-2011; Amundson, Ronald/E-2654-2015; Heimsath, Arjun M/D-9214-2013</t>
  </si>
  <si>
    <t>10.1016/j.gca.2012.04.044</t>
  </si>
  <si>
    <t>WOS:000311345200017</t>
  </si>
  <si>
    <t>Cui, Y; Yim, JH; Lee, DS; Kim, YC; Oh, H</t>
  </si>
  <si>
    <t>Cui, Yinglan; Yim, Joung Han; Lee, Dong-Sung; Kim, Youn-Chul; Oh, Hyuncheol</t>
  </si>
  <si>
    <t>New diterpene furanoids from the Antarctic lichen Huea sp</t>
  </si>
  <si>
    <t>BIOORGANIC &amp; MEDICINAL CHEMISTRY LETTERS</t>
  </si>
  <si>
    <t>Huea sp; Protein tyrosine phosphatase 1B (PTP1B); Diterpene furanoids; Non-competitive inhibitor</t>
  </si>
  <si>
    <t>TYROSINE-PHOSPHATASE 1B; INSULIN SENSITIVITY; INHIBITION; PTP1B; MONOTERPENES; METABOLITES; DERIVATIVES; TRITERPENES; RESISTANCE; OBESITY</t>
  </si>
  <si>
    <t>In the course of ongoing research on protein tyrosine phosphatase 1B (PTP1B) inhibitory compounds from Antarctic lichens, four new diterpene furanoids, hueafuranoids A-D (1-4) have been isolated from the MeOH extract of Antarctic lichen Huea sp. by various chromatographic methods. The structures of these compounds were elucidated by analysis of NMR and MS data, and comparing their spectral data with those in the literature. Compound 1 showed inhibitory activity against therapeutically targeted protein, PTP1B with an IC50 value of 13.9 mu M. The kinetic analysis of PTP1B inhibition by hueafuranoid A (1) suggested that the diterpene furanoids encountered in this study inhibited PTP1B activity in a non-competitive manner. (C) 2012 Elsevier Ltd. All rights reserved.</t>
  </si>
  <si>
    <t>[Lee, Dong-Sung; Kim, Youn-Chul; Oh, Hyuncheol] Wonkwang Univ, Coll Pharm, Iksan 570749, South Korea; [Cui, Yinglan] Silla Univ, Coll Med &amp; Life Sci, Pusan 617736, South Korea; [Yim, Joung Han] KORDI, Korea Polar Res Inst, Inchon 406840, South Korea</t>
  </si>
  <si>
    <t>Wonkwang University; Silla University; Korea Polar Research Institute (KOPRI); Korea Institute of Ocean Science &amp; Technology (KIOST)</t>
  </si>
  <si>
    <t>Oh, H (corresponding author), Wonkwang Univ, Coll Pharm, Iksan 570749, South Korea.</t>
  </si>
  <si>
    <t>hoh@wonkwang.ac.kr</t>
  </si>
  <si>
    <t>Korea Polar Research Institute (KOPRI) [PE12040]</t>
  </si>
  <si>
    <t>Korea Polar Research Institute (KOPRI)</t>
  </si>
  <si>
    <t>This research was supported by a grant to the Korea Polar Research Institute (KOPRI) under a project PE12040.</t>
  </si>
  <si>
    <t>0960-894X</t>
  </si>
  <si>
    <t>1464-3405</t>
  </si>
  <si>
    <t>BIOORG MED CHEM LETT</t>
  </si>
  <si>
    <t>Bioorg. Med. Chem. Lett.</t>
  </si>
  <si>
    <t>10.1016/j.bmcl.2012.10.063</t>
  </si>
  <si>
    <t>Chemistry, Medicinal; Chemistry, Organic</t>
  </si>
  <si>
    <t>Science Citation Index Expanded (SCI-EXPANDED); Index Chemicus (IC)</t>
  </si>
  <si>
    <t>Pharmacology &amp; Pharmacy; Chemistry</t>
  </si>
  <si>
    <t>041UA</t>
  </si>
  <si>
    <t>WOS:000311425500020</t>
  </si>
  <si>
    <t>Lee, SH; Joo, HM; Liu, ZL; Chen, JF; He, JF</t>
  </si>
  <si>
    <t>Lee, Sang H.; Joo, Hyoung M.; Liu, Zhilin; Chen, Jianfang; He, Jianfeng</t>
  </si>
  <si>
    <t>Phytoplankton productivity in newly opened waters of the Western Arctic Ocean</t>
  </si>
  <si>
    <t>Phytoplankton; Carbon and nitrogen production; Arctic Ocean; Isotope tracer</t>
  </si>
  <si>
    <t>REGENERATED PRODUCTION; NITROGEN UPTAKE; CANADA BASIN; UPTAKE RATES; SEA; ICE; CHUKCHI; CARBON; PATTERNS; FLUX</t>
  </si>
  <si>
    <t>Phytoplankton carbon and nitrogen production in newly opened waters of the Western Arctic Ocean were measured using a C-13-N-15 dual isotope tracer technique in summer 2008, when Arctic sea ice was at its second lowest extent since 1979. Daily integrated carbon-uptake rates were highest (675.8 +/- 931.3 mg C m(-2) d(-1)) in ice-free shelf regions of the Chukchi Sea. In deeper regions, the daily integrated carbon-uptake rates (73.5 +/- 45.0 mg C m(-2) d(-1)) in newly opened deep waters with adjacent sea ice cover (10-90%) were significantly higher than those (32.0 +/- 22.8 mg C m(-2) d(-1)) in ice-free deep waters. The average contributions of small cell-size phytoplankton (0.7-5 mu m) to total carbon-uptake rates were 19.8%, 62.8%, and 55.5% in shelf regions, ice-free deep waters, and newly opened waters, respectively, although the average biomass contributions of the small phytoplankton was 54.9-96.5% of total algal biomass in the three study areas. Daily total nitrogen-uptake rates were similar between newly opened deep waters and ice-free deep waters, although nitrate assimilation rates were higher in newly opened waters compared to ammonium uptake rates in ice-free waters. Lower carbon- and nitrate-assimilation rates in ice-free waters were due to strong stratification in the euphotic layer caused by melted sea ice, which limited nutrient availability to phytoplankton, although phytoplankton had greater light availability in ice-free waters than in newly opened waters. (C) 2011 Published by Elsevier Ltd.</t>
  </si>
  <si>
    <t>[Lee, Sang H.] Pusan Natl Univ, Dept Oceanog, Pusan 609735, South Korea; [Joo, Hyoung M.] KORDI, Korea Polar Res Inst, Inchon 406840, South Korea; [Liu, Zhilin; Chen, Jianfang] State Ocean Adm China, Inst Oceanog 2, Key Lab Ocean Ecosyst &amp; Biogeochem, Hangzhou 310012, Zhejiang, Peoples R China; [He, Jianfeng] Polar Res Inst China, Planning &amp; Sci Div, Shanghai, Peoples R China</t>
  </si>
  <si>
    <t>Pusan National University; Korea Institute of Ocean Science &amp; Technology (KIOST); Korea Polar Research Institute (KOPRI); Polar Research Institute of China</t>
  </si>
  <si>
    <t>Lee, SH (corresponding author), Pusan Natl Univ, Dept Oceanog, Pusan 609735, South Korea.</t>
  </si>
  <si>
    <t>sanglee@pnu.ac.kr</t>
  </si>
  <si>
    <t>Polar Academic Program (PAP); KOPRI; NSFC [40476003]</t>
  </si>
  <si>
    <t>Polar Academic Program (PAP); KOPRI(Korea Polar Research Institute of Marine Research Placement (KOPRI)); NSFC(National Natural Science Foundation of China (NSFC))</t>
  </si>
  <si>
    <t>We thank the Chinese Arctic and Antarctic Administration (CAA) and the Polar Research Institute of China (PRIC) for organizing the summer 2008 Chinese 3rd Arctic cruise (CHINARE). We are grateful to the captain and crew of Icebreaker Xuelong. This study was supported by grants from the Polar Academic Program (PAP), KOPRI and NSFC no. 40476003.</t>
  </si>
  <si>
    <t>10.1016/j.dsr2.2011.06.005</t>
  </si>
  <si>
    <t>WOS:000311654500003</t>
  </si>
  <si>
    <t>Cai, MG; Hong, QQ; Wang, Y; Luo, XJ; Chen, SJ; Cai, MH; Qiu, CR; Huang, SY; Mai, BX</t>
  </si>
  <si>
    <t>Cai, M. G.; Hong, Q. Q.; Wang, Y.; Luo, X. J.; Chen, S. J.; Cai, M. H.; Qiu, C. R.; Huang, S. Y.; Mai, B. X.</t>
  </si>
  <si>
    <t>Distribution of polybrominated diphenyl ethers and decabromodiphenylethane in surface sediments from the Bering Sea, Chukchi Sea, and Canada Basin</t>
  </si>
  <si>
    <t>PBDEs; DBDPE; Sediments; Bering Sea; Chukchi Sea; Canada Basin</t>
  </si>
  <si>
    <t>BROMINATED FLAME RETARDANTS; PERSISTENT ORGANIC POLLUTANTS; POLYCHLORINATED-BIPHENYLS PCBS; DIBENZO-P-DIOXINS; SPATIAL-DISTRIBUTION; ENVIRONMENTAL FATE; COASTAL SEDIMENTS; POTENTIAL SOURCES; BACKGROUND SOILS; MARINE-SEDIMENTS</t>
  </si>
  <si>
    <t>24 surface sediment samples were collected from the Bering Sea, Chukchi Sea, and Canada Basin during the 3rd Chinese National Arctic Research Expedition in July-September 2008. To obtain information on the levels, spatial distribution, possible sources, and influences of total carbon and black carbon, we analyzed the samples for polybrominated diphenyl ethers (PBDEs) and decabromodiphenylethane (DBDPE). Concentrations of Sigma PBDEs (hereafter, Sigma PBDEs refers to the sum of all detected PBDE congeners without BDE-209), BDE-209, and DBDPE were in the ranges 3.58-148.95 pg/g d.w. (dry weight). n.d. -804.91 pg/g d.w. and n.d. -452.57 pg/g d.w., respectively. The congener patterns of PBDEs suggested that BDE-209 was the major congener in these areas, followed by BDE-99 and -47, which was consistent with the predominance of technical deca-BDE mixtures in the dominant technical PBDE mixtures. The significant relationships of BDE-209, -47, and -99 and total PBDEs with total organic carbon and black carbon, as well as the skewed distribution of Sigma PBDEs and BDE-209, indicated that atmospheric deposition and local discharge might be potential sources in this area, and the distribution pattern may be the combined effect of multiple factors. (C) 2011 Elsevier Ltd. All rights reserved.</t>
  </si>
  <si>
    <t>[Cai, M. G.; Hong, Q. Q.; Wang, Y.; Qiu, C. R.; Huang, S. Y.] Xiamen Univ, Coll Oceanog &amp; Environm Sci, Xiamen 361005, Peoples R China; [Cai, M. G.] Xiamen Univ, State Key Lab Marine Environm Sci, Xiamen 361005, Peoples R China; [Luo, X. J.; Chen, S. J.; Mai, B. X.] Chinese Acad Sci, Guangzhou Inst Geochem, State Key Lab Organ Geochem, Guangzhou 510640, Guangdong, Peoples R China; [Cai, M. H.] Polar Res Inst China, State Ocean Adm, Key Lab Polar Sci, Shanghai 200136, Peoples R China</t>
  </si>
  <si>
    <t>Xiamen University; Xiamen University; Chinese Academy of Sciences; Guangzhou Institute of Geochemistry, CAS; Polar Research Institute of China</t>
  </si>
  <si>
    <t>Cai, MG (corresponding author), Xiamen Univ, Coll Oceanog &amp; Environm Sci, Xiamen 361005, Peoples R China.</t>
  </si>
  <si>
    <t>mgcai@xmu.edu.cn; nancymai@gig.ac.cn</t>
  </si>
  <si>
    <t>Hong, Qingquan/J-6133-2012; cai, minggang/G-3979-2010; HUANG, Shuiying/C-3117-2014</t>
  </si>
  <si>
    <t>cai, minggang/0000-0003-2828-0529; Hong, Qingquan/0000-0002-6473-5749; luo, xiaojun/0000-0002-2572-8108</t>
  </si>
  <si>
    <t>National Natural Science Foundation of China (NSFC) [40776040, 40306012]; Fujian Provincial Department of Science and Technology [2005Y021]; board the R/V Xuelong from the Chinese Arctic and Antarctic Administration, State Oceanic Administration of China</t>
  </si>
  <si>
    <t>National Natural Science Foundation of China (NSFC)(National Natural Science Foundation of China (NSFC)); Fujian Provincial Department of Science and Technology; board the R/V Xuelong from the Chinese Arctic and Antarctic Administration, State Oceanic Administration of China</t>
  </si>
  <si>
    <t>Financial support mainly came from the National Natural Science Foundation of China (NSFC) through Grant nos. #40776040 and #40306012 and partly from the Fujian Provincial Department of Science and Technology through Grant no.2005Y021. Thanks are given to the State Key Laboratory of Organic Geochemistry, Guangzhou Institute of Geochemistry, Chinese Academy of Science and to support on board the R/V Xuelong from the Chinese Arctic and Antarctic Administration, State Oceanic Administration of China. The authors also wish to thank the anonymous reviewers of the manuscript and Professor John Hodgkiss for his help with English.</t>
  </si>
  <si>
    <t>10.1016/j.dsr2.2011.05.006</t>
  </si>
  <si>
    <t>WOS:000311654500011</t>
  </si>
  <si>
    <t>Matsuoka, K; MacGregor, JA; Pattyn, F</t>
  </si>
  <si>
    <t>Matsuoka, Kenichi; MacGregor, Joseph A.; Pattyn, Frank</t>
  </si>
  <si>
    <t>Predicting radar attenuation within the Antarctic ice sheet</t>
  </si>
  <si>
    <t>Antarctic ice sheet; radar remote sensing; englacial attenuation; subglacial environment; thermo-mechanical modeling</t>
  </si>
  <si>
    <t>WEST ANTARCTICA; SUBGLACIAL LAKES; EAST ANTARCTICA; HEAT-FLUX; MODEL; STREAM; FLOW; SENSITIVITY; INVENTORY; GREENLAND</t>
  </si>
  <si>
    <t>To better understand the ability of ice-penetrating radar to diagnose the subglacial environment from bed-returned power, we model the englacial radar attenuation of Antarctic ice. First, we use a one-dimensional thermo-mechanical model to evaluate the sensitivity of the depth-averaged attenuation rates to ice temperature as a function of surface accumulation rate, geothermal flux, and ice thickness. We find that attenuation is most sensitive to variations in geothermal flux and accumulation rate when the bed temperature is close to the pressure-melting point. But even if geothermal flux and accumulation rate remain fixed, attenuation can easily vary with ice thickness. Such high sensitivities show that one should not assume a uniform attenuation rate in the radar data analysis. Then, using ensembles of modeled ice temperatures with different boundary conditions, we generate multiple attenuation predictions for the Antarctic ice sheet and evaluate the resulting uncertainties. The largest contributor to uncertainty in these predictions is the geothermal flux. This uncertainty is localized within the deeper half of the ice sheet. By combining these temperature ensembles with ice-core chemistry data, we show that the sea salt adds little to the attenuation, but the contribution from acids accounts for similar to 29% (inland) to similar to 53% (coast) of the total attenuation. We conclude that improving radar diagnosis of the subglacial environment using bed-returned power requires both (1) better data-interpretation algorithms that account for attenuation variations and (2) better constraints of geothermal flux and bulk chemistry. (C) 2012 Elsevier B.V. All rights reserved.</t>
  </si>
  <si>
    <t>[Matsuoka, Kenichi] Norwegian Polar Res Inst, Fram Ctr, N-9296 Tromso, Norway; [MacGregor, Joseph A.] Univ Texas Austin, Inst Geophys, Austin, TX 78758 USA; [Pattyn, Frank] Univ Libre Bruxelles, Lab Glaciol, B-1050 Brussels, Belgium</t>
  </si>
  <si>
    <t>Norwegian Polar Institute; University of Texas System; University of Texas Austin; Universite Libre de Bruxelles</t>
  </si>
  <si>
    <t>Matsuoka, K (corresponding author), Norwegian Polar Res Inst, Fram Ctr, N-9296 Tromso, Norway.</t>
  </si>
  <si>
    <t>matsuoka@npolar.no; joemac@ig.utexas.edu; fpattyn@ulb.ac.be</t>
  </si>
  <si>
    <t>MacGregor, Joseph A/A-6746-2010; Pattyn, Frank/AAA-9640-2019; Matsuoka, Kenichi/B-7298-2017</t>
  </si>
  <si>
    <t>Pattyn, Frank/0000-0003-4805-5636; Matsuoka, Kenichi/0000-0002-3587-3405</t>
  </si>
  <si>
    <t>Center for Ice, Climate, Ecosystems at the Norwegian Polar Institute</t>
  </si>
  <si>
    <t>We thank E.D. Waddington and T.A. Neumann for providing the one-dimensional numerical temperature model. Comments from two anonymous reviewers improved the paper. This work is supported by the Center for Ice, Climate, Ecosystems at the Norwegian Polar Institute and forms part of the ARC-ULB project Icecube-Dyn at the Universite Libre de Bruxelles.</t>
  </si>
  <si>
    <t>10.1016/j.epsl.2012.10.018</t>
  </si>
  <si>
    <t>062MP</t>
  </si>
  <si>
    <t>WOS:000312924200018</t>
  </si>
  <si>
    <t>Fyfe, JC; Gillett, NP; Marshall, GJ</t>
  </si>
  <si>
    <t>Fyfe, J. C.; Gillett, N. P.; Marshall, G. J.</t>
  </si>
  <si>
    <t>Human influence on extratropical Southern Hemisphere summer precipitation</t>
  </si>
  <si>
    <t>ANNULAR MODE; TRENDS; IMPACT</t>
  </si>
  <si>
    <t>Observations of extratropical Southern Hemisphere austral summer precipitation over recent decades show mid-latitude drying and high-latitude moistening. Here we show that the observed precipitation trends in two datasets are inconsistent with simulated internal variability, but are closely consistent with trends simulated in response to historical changes in anthropogenic and natural forcings. Simulations with individual anthropogenic and natural forcings suggest that the observed pattern of precipitation change is substantially forced by anthropogenic greenhouse gas and ozone changes, with an opposing influence from aerosols. Our results demonstrate that human influence had a significant impact on precipitation across the mid and high latitudes of the Southern Hemisphere, changes which are expected to have a profound impact on Southern Ocean stratification and hence on ocean-atmosphere heat and carbon fluxes. Citation: Fyfe, J. C., N. P. Gillett, and G. J. Marshall (2012), Human influence on extratropical Southern Hemisphere summer precipitation, Geophys. Res. Lett., 39, L23711, doi:10.1029/2012GL054199.</t>
  </si>
  <si>
    <t>[Fyfe, J. C.; Gillett, N. P.] Univ Victoria, Canadian Ctr Climate Modelling &amp; Anal, Environm Canada, Victoria, BC V8W 2Y2, Canada; [Marshall, G. J.] British Antarctic Survey, Cambridge CB3 0ET, England</t>
  </si>
  <si>
    <t>Environment &amp; Climate Change Canada; Canadian Centre for Climate Modelling &amp; Analysis (CCCma); University of Victoria; UK Research &amp; Innovation (UKRI); Natural Environment Research Council (NERC); NERC British Antarctic Survey</t>
  </si>
  <si>
    <t>Fyfe, JC (corresponding author), Univ Victoria, Canadian Ctr Climate Modelling &amp; Anal, Environm Canada, POB 1700 STN CSC, Victoria, BC V8W 2Y2, Canada.</t>
  </si>
  <si>
    <t>john.fyfe@ec.gc.ca</t>
  </si>
  <si>
    <t>Office of Science, U.S. Department of Energy; UK Natural Environment Research Council through the British Antarctic Survey research programme Polar Science for Planet Earth; Natural Environment Research Council [bas0100023] Funding Source: researchfish; NERC [bas0100023] Funding Source: UKRI</t>
  </si>
  <si>
    <t>Office of Science, U.S. Department of Energy(United States Department of Energy (DOE)); UK Natural Environment Research Council through the British Antarctic Survey research programme Polar Science for Planet Earth; Natural Environment Research Council(UK Research &amp; Innovation (UKRI)Natural Environment Research Council (NERC)); NERC(UK Research &amp; Innovation (UKRI)Natural Environment Research Council (NERC))</t>
  </si>
  <si>
    <t>We thank Michael Sigmond, Cathy Reader and Neil Swart for their insightful comments on earlier drafts of the paper. We acknowledge the modeling groups, the Program for Climate Model Diagnosis and Intercomparison and the WCRP's Working Group on Coupled Modelling for their roles in making available the WCRP CMIP multi-model datasets. Support of this dataset is provided by the Office of Science, U.S. Department of Energy. CMAP Precipitation data provided by the NOAA/OAR/ESRL PSD, Boulder, Colorado, USA, from their web site at http://www.esrl.noaa.gov/psd/. G.J.M. is supported by the UK Natural Environment Research Council through the British Antarctic Survey research programme Polar Science for Planet Earth. We are also very grateful to two anonymous reviewers for their helpful comments.</t>
  </si>
  <si>
    <t>L23711</t>
  </si>
  <si>
    <t>10.1029/2012GL054199</t>
  </si>
  <si>
    <t>055BZ</t>
  </si>
  <si>
    <t>WOS:000312391400003</t>
  </si>
  <si>
    <t>Watson, PAG; Karoly, DJ; Allen, MR; Faull, N; Lee, DS</t>
  </si>
  <si>
    <t>Watson, Peter A. G.; Karoly, David J.; Allen, Myles R.; Faull, Nicholas; Lee, David S.</t>
  </si>
  <si>
    <t>Quantifying uncertainty in future Southern Hemisphere circulation trends</t>
  </si>
  <si>
    <t>CLIMATE-CHANGE; OZONE DEPLETION; MODEL ENSEMBLE; ANNULAR MODE</t>
  </si>
  <si>
    <t>The Antarctic polar night jet has intensified during spring in recent decades due to stratospheric ozone depletion and rising greenhouse gas (GHG) concentrations and this has had substantial effects on the region's climate. GHG concentrations will rise over the 21st century whereas stratospheric ozone is expected to recover and there is uncertainty in future southern hemisphere (SH) circulation trends. We examine sensitivity to the physics parameterisation of the 21st century SH circulation projection of a coupled atmosphere-ocean General Circulation Model and the sensitivity of the contribution from stratospheric ozone recovery. Different model parameterizations give a greater range of future trends in the position of the tropospheric jet than has been found in previous multi-model comparisons. Ozone recovery causes a weakening and northward shift of the DJF tropospheric jet. Varying the physics parameterization affects the zonal wind response to ozone recovery of the SON stratosphere by similar to 10% and that of the DJF troposphere by similar to 25%. The projected future SAM index changes with and without ozone recovery and the SAM index response to ozone recovery alone are found to be strongly positively correlated with projected 21st century global warming. Citation: Watson, P. A. G., D. J. Karoly, M. R. Allen, N. Faull, and D. S. Lee (2012), Quantifying uncertainty in future Southern Hemisphere circulation trends, Geophys. Res. Lett., 39, L23708, doi:10.1029/2012GL054158.</t>
  </si>
  <si>
    <t>[Watson, Peter A. G.; Allen, Myles R.; Faull, Nicholas] Univ Oxford, Clarendon Lab, Oxford OX1 3PU, England; [Karoly, David J.] Univ Melbourne, Sch Earth Sci, Parkville, Vic 3052, Australia; [Lee, David S.] Manchester Metropolitan Univ, Dalton Res Inst, Manchester M15 6BH, Lancs, England</t>
  </si>
  <si>
    <t>University of Oxford; University of Melbourne; Manchester Metropolitan University</t>
  </si>
  <si>
    <t>Watson, PAG (corresponding author), Univ Oxford, Clarendon Lab, Parks Rd, Oxford OX1 3PU, England.</t>
  </si>
  <si>
    <t>watson@atm.ox.ac.uk</t>
  </si>
  <si>
    <t>Allen, Myles R/A-5172-2012; Lee, David Simon/ABC-4683-2021; Karoly, David/C-8262-2011</t>
  </si>
  <si>
    <t>Lee, David Simon/0000-0002-5984-8861; Karoly, David/0000-0002-8671-2994; Watson, Peter/0000-0001-5173-9903</t>
  </si>
  <si>
    <t>Natural Environment Research Council studentship; Australian Research Council through the Discovery Projects funding scheme [FF0668679]; Natural Environment Research Council HYDRA project [NE/I00680X/1]; UK Department for Transport through a contract with Manchester Metropolitan University; Natural Environment Research Council [NE/I00680X/1] Funding Source: researchfish; NERC [NE/I00680X/1] Funding Source: UKRI</t>
  </si>
  <si>
    <t>Natural Environment Research Council studentship(UK Research &amp; Innovation (UKRI)Natural Environment Research Council (NERC)); Australian Research Council through the Discovery Projects funding scheme(Australian Research Council); Natural Environment Research Council HYDRA project; UK Department for Transport through a contract with Manchester Metropolitan University; Natural Environment Research Council(UK Research &amp; Innovation (UKRI)Natural Environment Research Council (NERC)); NERC(UK Research &amp; Innovation (UKRI)Natural Environment Research Council (NERC))</t>
  </si>
  <si>
    <t>Peter Watson is supported by a Natural Environment Research Council studentship. David Karoly was supported by the Australian Research Council through the Discovery Projects funding scheme (project FF0668679). Myles Allen was supported by the Natural Environment Research Council HYDRA project (NE/I00680X/1). David Lee was supported by the UK Department for Transport through a contract with Manchester Metropolitan University. We wish to thank the anonymous reviewers for their comments on an earlier draft of this paper.</t>
  </si>
  <si>
    <t>L23708</t>
  </si>
  <si>
    <t>10.1029/2012GL054158</t>
  </si>
  <si>
    <t>WOS:000312391400002</t>
  </si>
  <si>
    <t>Li, Y; Li, JP; Feng, J</t>
  </si>
  <si>
    <t>Li, Yun; Li, Jianping; Feng, Juan</t>
  </si>
  <si>
    <t>A Teleconnection between the Reduction of Rainfall in Southwest Western Australia and North China</t>
  </si>
  <si>
    <t>ASIAN SUMMER MONSOON; SEA-SURFACE TEMPERATURE; TROPICAL PACIFIC SSTS; YANGTZE-RIVER VALLEY; INTERDECADAL VARIATIONS; PART I; ANTARCTIC OSCILLATION; TIBETAN PLATEAU; ABRUPT CHANGE; ANNULAR MODE</t>
  </si>
  <si>
    <t>Rainfall in both southwest Western Australia (SWWA) and North China (NC) has been declining substantially since the mid-1960s, which has led to a series of droughts in both regions since then. Using observed rainfall datasets in China and Australia and the NCEP reanalysis dataset during 1951-2008, it is found that the decline of SWWA rainfall occurs in early austral winter [May July (MJJ)] while the reduction of NC rainfall is in late boreal summer [July-September (JAS)]. The relationship between SWWA MJJ rainfall and NC JAS rainfall during 1951-2008 is then examined, and it is found that a significant link exists between these two rainfall series with a correlation of 0.43 and this link remains after the data are detrended. In particular, this relationship accounts for up to 62% variance on interdecadal time scales, and seems to be driven by the poleward shift of the southern subtropical high ridge (SSHR) and the northern subtropical high ridge (NSHR) over longitudes 110 degrees-150 degrees E. The poleward shift of the SSHR may induce an anomalous anticyclone centered near the south Australian coast, resulting in anomalous easterlies of dry air to SWWA, while the poleward shift of the NSHR is associated with an anomalous anticyclone in East Asia near NC causing anomalous northeasterlies of dry air to NC. The poleward shift of SSHR/NSHR may be linked to the warming sea surface temperatures (SSTs) in the tropical Indian-western Pacific. The results herein suggest that the poleward shifts of the SSHR and the NSHR instigated by the warming SSTs in the tropical Indian western Pacific may have partially contributed to the rainfall reduction in both regions.</t>
  </si>
  <si>
    <t>[Li, Yun] CSIRO Climate Adaptat Flagship, CSIRO Math Informat &amp; Stat, Wembley, WA 6913, Australia; [Li, Jianping; Feng, Juan] Chinese Acad Sci, Inst Atmospher Phys, State Key Lab Atmospher Sci &amp; Geophys Fluid Dynam, Beijing, Peoples R China</t>
  </si>
  <si>
    <t>Commonwealth Scientific &amp; Industrial Research Organisation (CSIRO); Chinese Academy of Sciences; Institute of Atmospheric Physics, CAS</t>
  </si>
  <si>
    <t>Li, Y (corresponding author), CSIRO Climate Adaptat Flagship, CSIRO Math Informat &amp; Stat, Wembley, WA 6913, Australia.</t>
  </si>
  <si>
    <t>yun.li@csiro.au</t>
  </si>
  <si>
    <t>Li, Jianping/I-2661-2012; Li, Yun/E-8569-2010; Li, Yun/ABZ-6481-2022</t>
  </si>
  <si>
    <t>Li, Yun/0000-0001-9925-7372; Li, Yun/0000-0001-9925-7372</t>
  </si>
  <si>
    <t>Australia China Bilateral Climate Change Partnerships Program by the Australian Department of Climate Change and Energy Efficiency; 973 Program [2010CB950400]; National Natural Science Foundation of China [41030961]; Indian Ocean Climate Initiative</t>
  </si>
  <si>
    <t>Australia China Bilateral Climate Change Partnerships Program by the Australian Department of Climate Change and Energy Efficiency; 973 Program(National Basic Research Program of China); National Natural Science Foundation of China(National Natural Science Foundation of China (NSFC)); Indian Ocean Climate Initiative</t>
  </si>
  <si>
    <t>We thank three anonymous reviewers whose comments have helped us to improve the original manuscript, and Riyu Lu and Xiaofeng Li for discussion on this research. This work was jointly supported by a project under Australia China Bilateral Climate Change Partnerships Program, run by the Australian Department of Climate Change and Energy Efficiency, the 973 Program (2010CB950400), the National Natural Science Foundation of China (41030961), and the Indian Ocean Climate Initiative.</t>
  </si>
  <si>
    <t>10.1175/JCLI-D-11-00613.1</t>
  </si>
  <si>
    <t>058IX</t>
  </si>
  <si>
    <t>WOS:000312628400007</t>
  </si>
  <si>
    <t>O'Neill, TA; Balks, MR; López-Martínez, J; McWhirter, JL</t>
  </si>
  <si>
    <t>O'Neill, Tanya A.; Balks, Megan R.; Lopez-Martinez, Jeronimo; McWhirter, Judi L.</t>
  </si>
  <si>
    <t>A method for assessing the physical recovery of Antarctic desert pavements following human-induced disturbances: A case study in the Ross Sea region of Antarctica</t>
  </si>
  <si>
    <t>JOURNAL OF ENVIRONMENTAL MANAGEMENT</t>
  </si>
  <si>
    <t>Antarctica; Polar desert; Desert pavement; Human impact; Soil recovery; Surface morphology</t>
  </si>
  <si>
    <t>MCMURDO SOUND REGION; SOILS; CONTAMINATION; ENVIRONMENT</t>
  </si>
  <si>
    <t>With increasing visitor numbers an understanding of the impacts of human activities in Antarctic terrestrial environments has become important. The objective of this study was to develop a means for assessing recovery of the ground surface desert pavement following physical disturbance. A set of 11 criteria were identified to assess desert pavement recovery. Assessed criteria were: embeddedness of surface clasts; impressions of removed clasts; degree of clast surface weathering; % overturned clasts; salt on underside of clasts; development of salt coatings; armouring per m(2); colour contrast; evidence of subsidence/melt out; accumulation of salt on cut surfaces; and evidence of patterned ground development. Recovery criteria were assigned a severity/extent rating on a scale from zero to four, zero being highly disturbed, and four being undisturbed. A relative % recovery for each criteria was calculated for each site by comparison with a nearby undisturbed control area, and an overall Mean Recovery Index (MRI) was assigned to each pavement surface. To test the method, 54 sites in the Ross Sea region of Antarctica were investigated including areas disturbed by: bulldozer scraping for road-fill, contouring for infrastructure, geotechnical investigations, and experimental treading trial sites. Disturbances had occurred at timescales ranging from one week to 50 years prior to assessment. The extent of desert pavement recovery at the sites investigated in this study was higher than anticipated. Fifty of the 54 sites investigated were in an intermediate, or higher, stage of desert pavement recovery, 30 sites were in an advanced stage of recovery, and four sites were indistinguishable from adjacent control sites (MRI = 100%). It was found that active surfaces, such as the gravel beach deposits at the Greenpeace World Park Base site at Cape Evans, the aeolian sand deposits at Bull Pass, and the alluvial fan deposits of the Loop Moraine field campsite, recovered relatively quickly, whereas less active sites, such as the bulldozed tracks at Marble Point, and Williams Field to McMurdo Station pipeline site on Ross Island, showed only intermediate recovery 20-30 years after disturbance. The slabby grano-diorite surface material at the former Vanda Station site, meant that the impacts that had occurred were hard to detect following decommissioning of the station and site remediation. Desert pavements disturbed by randomly dispersed footprints, temporary field campsites at the Loop Moraine and VXE6 Pond in the Wright Valley, recovered to be undetectable (MRI 100%) within five years, whereas track formation from repeated trampling, particularly the concentration of larger clasts along the margin of a confined track, persisted for over 15 years (MRI = 82%). The recovery assessment method developed in this study has environmental management applications and potential to advance our ability to predict the recovery of desert pavement following human impacts from activities in Antarctica. (C) 2012 Elsevier Ltd. All rights reserved.</t>
  </si>
  <si>
    <t>[O'Neill, Tanya A.] Manaaki Whenua, Landcare Res, Hamilton 3240, New Zealand; [O'Neill, Tanya A.; Balks, Megan R.] Univ Waikato, Dept Earth &amp; Ocean Sci, Hamilton, New Zealand; [Lopez-Martinez, Jeronimo] Univ Autonoma Madrid, Fac Ciencias, E-28049 Madrid, Spain; [McWhirter, Judi L.] Univ Waikato, Dept Stat, Hamilton, New Zealand</t>
  </si>
  <si>
    <t>Landcare Research - New Zealand; University of Waikato; Autonomous University of Madrid; University of Waikato</t>
  </si>
  <si>
    <t>O'Neill, TA (corresponding author), Manaaki Whenua, Landcare Res, Private Bag 3127,Gate 10,Silverdale Rd, Hamilton 3240, New Zealand.</t>
  </si>
  <si>
    <t>oneilltanya@hotmail.com</t>
  </si>
  <si>
    <t>Lopez-Martinez, Jeronimo/C-5744-2011; O'Neill, Tanya/AAD-3240-2020; O'Neill, Tanya/I-3045-2017</t>
  </si>
  <si>
    <t>Lopez-Martinez, Jeronimo/0000-0002-1750-8287; O'Neill, Tanya/0000-0001-8181-4249</t>
  </si>
  <si>
    <t>Landcare Research; Murray Jessen Memorial Doctoral scholarship</t>
  </si>
  <si>
    <t>The authors wish to thank Antarctica New Zealand for logistic support. We also thank Landcare Research for support; particularly the Murray Jessen Memorial Doctoral scholarship. Errol Balks, Margaret Auger, Nathan Cross, and Jana Newman, provided technical assistance and advice. We thank the reviewers for their useful comments which greatly improved the paper.</t>
  </si>
  <si>
    <t>0301-4797</t>
  </si>
  <si>
    <t>1095-8630</t>
  </si>
  <si>
    <t>J ENVIRON MANAGE</t>
  </si>
  <si>
    <t>J. Environ. Manage.</t>
  </si>
  <si>
    <t>10.1016/j.jenvman.2012.08.008</t>
  </si>
  <si>
    <t>038QD</t>
  </si>
  <si>
    <t>WOS:000311188300043</t>
  </si>
  <si>
    <t>Authier, M; Dragon, AC; Cherel, Y; Guinet, C</t>
  </si>
  <si>
    <t>Authier, Matthieu; Dragon, Anne-Cecile; Cherel, Yves; Guinet, Christophe</t>
  </si>
  <si>
    <t>How large is large: estimating ecologically meaningful isotopic differences in observational studies of wild animals</t>
  </si>
  <si>
    <t>RAPID COMMUNICATIONS IN MASS SPECTROMETRY</t>
  </si>
  <si>
    <t>STABLE-ISOTOPES; FORAGING AREAS; VARIABLE SELECTION; DELTA-D; SOUTHERN; CARBON; PREDATORS; ECOLOGY; REVEAL; SPACE</t>
  </si>
  <si>
    <t>RATIONALE In ecological studies of wildlife movements and foraging, bio-logging and isotopic data are routinely collected and increasingly analyzed in tandem. Such analyses have two shortcomings: (1) small sample size linked with the number of telemetric tags that can be deployed, and (2) the observational nature of isotopic gradients. Wildlife ecologists are thus put in a statistical conundrum known as the small n, large p problem. METHODS Using shrinkage regression, which directly addresses the issue of accurately estimating effects from sparse data, we studied what counts as a biologically meaningful isotopic difference (a prerequisite to delineate isoscapes) in the southern elephant seal (Mirounga leonina), a large and elusive marine predator. RESULTS Seals foraging in Antarctic waters had a lower carbon isotopic value (by approximate to 2 parts per thousand) than seals foraging either in the interfrontal zone or on the Kerguelen Plateau. The latter two foraging strategies were indistinguishable on the sole basis of d13C values with our data. CONCLUSIONS Shrinkage regression is a conservative statistical technique that has wide applicability in isotopic ecology to help separate robust biological signals from noise. Copyright (C) 2012 John Wiley &amp; Sons, Ltd.</t>
  </si>
  <si>
    <t>[Authier, Matthieu] CNRS, Ctr Ecol Fonct &amp; Evolut, UMR 5175, F-34293 Montpellier 5, France; [Authier, Matthieu; Dragon, Anne-Cecile; Cherel, Yves; Guinet, Christophe] CNRS, Ctr Etud Biol Chize, UPR 1934, F-79360 Villiers En Bois, France; [Dragon, Anne-Cecile] UPMC, LOCEAN, F-75252 Paris 05, France</t>
  </si>
  <si>
    <t>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Centre National de la Recherche Scientifique (CNRS); Sorbonne Universite; Museum National d'Histoire Naturelle (MNHN)</t>
  </si>
  <si>
    <t>Authier, M (corresponding author), CNRS, Ctr Ecol Fonct &amp; Evolut, UMR 5175, 1919 Route Mende, F-34293 Montpellier 5, France.</t>
  </si>
  <si>
    <t>authierm@gmail.com</t>
  </si>
  <si>
    <t>Guinet, Christophe/AAR-8457-2020</t>
  </si>
  <si>
    <t>Authier, Matthieu/0000-0001-7394-1993</t>
  </si>
  <si>
    <t>French Polar Institute (Institut Paul Emile Victor, IPEV)</t>
  </si>
  <si>
    <t>We thank all fieldworkers that have collected data since 2003, in particular F. Bailleul, F. Le Bouard, L. Denonfoux, B. Gangloff, F. Roquet, Q. Delorme, J.-B. Pons, B. Planade, N. El-Ksaby, J. Morinay, G. Bessigneul and A. Chaigne. We are greatly indebted to Pierre Richard and Gael Guillou for laboratory analyses of blood stable isotopes. This study is part of a national research program (No. 109, H. Weimerskirch and the observatory Mammiferes Explorateurs du Milieu Oceanique, MEMO SOERE CTD 02) supported by the French Polar Institute (Institut Paul Emile Victor, IPEV). The Territoire des Terres Australes et Antarctiques Francaises (TAAF), ANR-VMC 07 IPSOS-SEAL program and the Total foundation contributed to this study. The ethics committee of the French Polar Institute (IPEV) approved this study. All animals in this study were cared for in accordance with its guidelines.</t>
  </si>
  <si>
    <t>0951-4198</t>
  </si>
  <si>
    <t>1097-0231</t>
  </si>
  <si>
    <t>RAPID COMMUN MASS SP</t>
  </si>
  <si>
    <t>Rapid Commun. Mass Spectrom.</t>
  </si>
  <si>
    <t>10.1002/rcm.6389</t>
  </si>
  <si>
    <t>Biochemical Research Methods; Chemistry, Analytical; Spectroscopy</t>
  </si>
  <si>
    <t>Biochemistry &amp; Molecular Biology; Chemistry; Spectroscopy</t>
  </si>
  <si>
    <t>031XU</t>
  </si>
  <si>
    <t>WOS:000310676700002</t>
  </si>
  <si>
    <t>Delport, B; Collier, AB; Lichtenberger, J; Rodger, CJ; Parrot, M; Clilverd, MA; Friedel, RHW</t>
  </si>
  <si>
    <t>Delport, B.; Collier, A. B.; Lichtenberger, J.; Rodger, C. J.; Parrot, M.; Clilverd, M. A.; Friedel, R. H. W.</t>
  </si>
  <si>
    <t>Simultaneous observation of chorus and hiss near the plasmapause</t>
  </si>
  <si>
    <t>PLASMASPHERIC HISS; ELECTRON-PRECIPITATION; VLF-CHORUS; EMISSIONS; ORIGIN; WAVES; ACCELERATION; PROPAGATION; ANTARCTICA; EVENTS</t>
  </si>
  <si>
    <t>On 4 August 2010 a moderate geomagnetic storm occurred with minimum Dst of -65 nT and maximum K-p of 7-. Shortly after the onset of this storm, VLF chorus was observed at Marion Island (L = 2.6). Over time the spectral structure of the chorus transformed into a hiss band spanning the same frequency range. The observation of overlapping chorus and hiss suggests that Marion Island was close to the plasmapause at the time of this event, and provides ground-based observational confirmation of the generation mechanism of plasmaspheric hiss from chorus waves outside of the plasmasphere. Chorus observations at Marion Island were not common during this period of the solar cycle and so this event was investigated in detail. The geomagnetic conditions are discussed and geosynchronous particle data and broadband data from two other stations are presented. Empirical models are employed to predict the location of the plasmapause, and its location is inferred from a knee whistler recorded at Dunedin, New Zealand. These show that Marion Island is in the vicinity of the plasmapause during the event. The event is also compared to chorus observed at similar L after the Halloween storms of 2003. The rarity of the chorus observation is quantified using DEMETER VLF data. The DEMETER data, along with the various ground based VLF measurements, allows us to infer temporal and spatial variations in the chorus source region. Citation: Delport, B., A. B. Collier, J. Lichtenberger, C. J. Rodger, M. Parrot, M. A. Clilverd, and R. H. W. Friedel (2012), Simultaneous observation of chorus and hiss near the plasmapause, J. Geophys. Res., 117, A12218, doi:10.1029/2012JA017609.</t>
  </si>
  <si>
    <t>[Delport, B.; Collier, A. B.] Univ KwaZulu Natal, Sch Chem &amp; Phys, ZA-4000 Durban, South Africa; [Collier, A. B.] SANSA Space Sci, Hermanus, South Africa; [Lichtenberger, J.] Eotvos Lorand Univ, Space Res Grp, Dept Geophys &amp; Space Sci, Budapest, Hungary; [Rodger, C. J.] Univ Otago, Dept Phys, Dunedin, New Zealand; [Parrot, M.] Lab Phys &amp; Chim Environm &amp; Espace, Orleans, France; [Clilverd, M. A.] British Antarctic Survey, NERC, Climate Programme, Cambridge CB3 0ET, England; [Friedel, R. H. W.] Los Alamos Natl Lab, Los Alamos, NM USA</t>
  </si>
  <si>
    <t>University of Kwazulu Natal; Eotvos Lorand University; University of Otago; UK Research &amp; Innovation (UKRI); Natural Environment Research Council (NERC); NERC British Antarctic Survey; United States Department of Energy (DOE); Los Alamos National Laboratory</t>
  </si>
  <si>
    <t>Delport, B (corresponding author), Univ KwaZulu Natal, Sch Chem &amp; Phys, ZA-4000 Durban, South Africa.</t>
  </si>
  <si>
    <t>Friedel, Reiner HW/D-1410-2012; Rodger, Craig/A-1501-2011; Collier, Andrew B/H-3752-2011; Lichtenberger, Janos/K-1034-2018</t>
  </si>
  <si>
    <t>Parrot, Michel/0000-0003-0905-5721; Lichtenberger, Janos/0000-0001-9175-9255; Rodger, Craig J./0000-0002-6770-2707</t>
  </si>
  <si>
    <t>European Community [263218]; NERC [bas0100023] Funding Source: UKRI; Natural Environment Research Council [bas0100023] Funding Source: researchfish</t>
  </si>
  <si>
    <t>European Community; NERC(UK Research &amp; Innovation (UKRI)Natural Environment Research Council (NERC)); Natural Environment Research Council(UK Research &amp; Innovation (UKRI)Natural Environment Research Council (NERC))</t>
  </si>
  <si>
    <t>The authors thank J. J. Berthelier the PI of the DEMETER electric field experiment for the use of their data. The research leading to these results has received funding from the European Community's Seventh Framework Programme (FP7/2007-2013) under grant agreement 263218.</t>
  </si>
  <si>
    <t>DEC 14</t>
  </si>
  <si>
    <t>A12218</t>
  </si>
  <si>
    <t>10.1029/2012JA017609</t>
  </si>
  <si>
    <t>055EI</t>
  </si>
  <si>
    <t>Green Published, Green Accepted</t>
  </si>
  <si>
    <t>WOS:000312397600001</t>
  </si>
  <si>
    <t>Ligtenberg, SRM; Horwath, M; van den Broeke, MR; Legrésy, B</t>
  </si>
  <si>
    <t>Ligtenberg, S. R. M.; Horwath, M.; van den Broeke, M. R.; Legresy, B.</t>
  </si>
  <si>
    <t>Quantifying the seasonal breathing of the Antarctic ice sheet</t>
  </si>
  <si>
    <t>INTERANNUAL VARIATIONS; ALTIMETRY; GRACE; DENSIFICATION; ACCELERATION; ELEVATION; DRIVEN; MODEL</t>
  </si>
  <si>
    <t>One way to estimate the mass balance of an ice sheet is to convert satellite observed surface elevation changes into mass changes. In order to do so, elevation and mass changes due to firn processes must be taken into account. Here, we use a firn densification model to simulate seasonal variations in depth and mass of the Antarctic firn layer, and assess their influence on surface elevation. Forced by the seasonal cycle in temperature and accumulation, a clear seasonal cycle in average firn depth of the Antarctic ice sheet (AIS) is found with an amplitude of 0.026 m, representing a volume oscillation of 340 km(3). The phase of this oscillation is rather constant across the AIS: the ice sheet volume increases in austral autumn, winter and spring and quickly decreases in austral summer. Seasonal accumulation differences are the major driver of this annual 'breathing', with temperature fluctuations playing a secondary role. The modeled seasonal elevation signal explains similar to 31% of the seasonal elevation signal derived from ENVISAT radar altimetry, with both signals having similar phase. Citation: Ligtenberg, S. R. M., M. Horwath, M. R. van den Broeke, and B. Legresy (2012), Quantifying the seasonal breathing of the Antarctic ice sheet, Geophys. Res. Lett., 39, L23501, doi: 10.1029/2012GL053628.</t>
  </si>
  <si>
    <t>[Ligtenberg, S. R. M.; van den Broeke, M. R.] Univ Utrecht, Inst Marine &amp; Atmospher Res Utrecht, NL-3508 TA Utrecht, Netherlands; [Horwath, M.] Tech Univ Munich, Inst Astron &amp; Phys Geodasie, Munich, Germany; [Legresy, B.] Lab Etud Geophys &amp; Oceanog Spatiales, Toulouse, France</t>
  </si>
  <si>
    <t>Utrecht University; Technical University of Munich; Universite de Toulouse; Universite Toulouse III - Paul Sabatier; Centre National de la Recherche Scientifique (CNRS); Institut de Recherche pour le Developpement (IRD); Laboratoire d'Etudes en Geophysique et oceanographie spatiales</t>
  </si>
  <si>
    <t>Ligtenberg, SRM (corresponding author), Univ Utrecht, Inst Marine &amp; Atmospher Res Utrecht, POB 80-000, NL-3508 TA Utrecht, Netherlands.</t>
  </si>
  <si>
    <t>s.r.m.ligtenberg@uu.nl</t>
  </si>
  <si>
    <t>Ligtenberg, Stefan/AAF-8290-2020; Van den Broeke, Michiel R./F-7867-2011; Horwath, Martin/F-9239-2011; Horwath, Martin/ABH-4320-2020; legresy, benoit/K-6673-2018</t>
  </si>
  <si>
    <t>Van den Broeke, Michiel R./0000-0003-4662-7565; Horwath, Martin/0000-0001-5797-244X; legresy, benoit/0000-0002-1909-1630</t>
  </si>
  <si>
    <t>Netherlands Polar Program of NWO/ALW; ice2sea project, by the European Commission's 7th Framework Programme [226375]</t>
  </si>
  <si>
    <t>Netherlands Polar Program of NWO/ALW; ice2sea project, by the European Commission's 7th Framework Programme(European Union (EU))</t>
  </si>
  <si>
    <t>We thank Ben Smith and one anonymous reviewer for their valuable comments. This work was supported by the Netherlands Polar Program of NWO/ALW and the ice2sea project, funded by the European Commission's 7th Framework Programme through grant 226375, ice2sea manuscript 111.</t>
  </si>
  <si>
    <t>DEC 13</t>
  </si>
  <si>
    <t>L23501</t>
  </si>
  <si>
    <t>10.1029/2012GL053628</t>
  </si>
  <si>
    <t>055BS</t>
  </si>
  <si>
    <t>WOS:000312390600001</t>
  </si>
  <si>
    <t>Trathan, PN</t>
  </si>
  <si>
    <t>Trathan, Philip N.</t>
  </si>
  <si>
    <t>Settle discord over the Southern Ocean</t>
  </si>
  <si>
    <t>British Antarctic Survey, Nat Environm Res Council, Cambridge CB3 0ET, England</t>
  </si>
  <si>
    <t>Trathan, PN (corresponding author), British Antarctic Survey, Nat Environm Res Council, Cambridge CB3 0ET, England.</t>
  </si>
  <si>
    <t>10.1038/492186b</t>
  </si>
  <si>
    <t>053GM</t>
  </si>
  <si>
    <t>WOS:000312259300019</t>
  </si>
  <si>
    <t>Winkelmann, R; Levermann, A; Martin, MA; Frieler, K</t>
  </si>
  <si>
    <t>Winkelmann, R.; Levermann, A.; Martin, M. A.; Frieler, K.</t>
  </si>
  <si>
    <t>Increased future ice discharge from Antarctica owing to higher snowfall</t>
  </si>
  <si>
    <t>MODEL PISM-PIK; CLIMATE-CHANGE; SHEET; SHELF; BENEATH; FLOW</t>
  </si>
  <si>
    <t>Anthropogenic climate change is likely to cause continuing global sea level rise(1), but some processes within the Earth system may mitigate the magnitude of the projected effect. Regional and global climate models simulate enhanced snowfall over Antarctica, which would provide a direct offset of the future contribution to global sea level rise from cryospheric mass loss(2,3) and ocean expansion(4). Uncertainties exist in modelled snowfall(5), but even larger uncertainties exist in the potential changes of dynamic ice discharge from Antarctica(1,6) and thus in the ultimate fate of the precipitation-deposited ice mass. Here we show that snowfall and discharge are not independent, but that future ice discharge will increase by up to three times as a result of additional snowfall under global warming. Our results, based on an ice-sheet model(7) forced by climate simulations through to the end of 2500 (ref. 8), show that the enhanced discharge effect exceeds the effect of surface warming as well as that of basal ice-shelf melting, and is due to the difference in surface elevation change caused by snowfall on grounded versus floating ice. Although different underlying forcings drive ice loss from basal melting versus increased snowfall, similar ice dynamical processes are nonetheless at work in both; therefore results are relatively independent of the specific representation of the transition zone. In an ensemble of simulations designed to capture ice-physics uncertainty, the additional dynamic ice loss along the coastline compensates between 30 and 65 per cent of the ice gain due to enhanced snowfall over the entire continent. This results in a dynamic ice loss of up to 1.25 metres in the year 2500 for the strongest warming scenario. The reported effect thus strongly counters a potential negative contribution to global sea level by the Antarctic Ice Sheet.</t>
  </si>
  <si>
    <t>[Winkelmann, R.; Levermann, A.; Martin, M. A.; Frieler, K.] Potsdam Inst Climate Impact Res PIK, D-14473 Potsdam, Germany; [Winkelmann, R.; Levermann, A.; Martin, M. A.] Univ Potsdam, Inst Phys, D-14476 Potsdam, Germany</t>
  </si>
  <si>
    <t>Potsdam Institut fur Klimafolgenforschung; University of Potsdam</t>
  </si>
  <si>
    <t>Winkelmann, R (corresponding author), Potsdam Inst Climate Impact Res PIK, D-14473 Potsdam, Germany.</t>
  </si>
  <si>
    <t>ricarda.winkelmann@pik-potsdam.de</t>
  </si>
  <si>
    <t>Martin, Maria/IUN-0219-2023; Levermann, Anders/G-4666-2011</t>
  </si>
  <si>
    <t>Levermann, Anders/0000-0003-4432-4704; Winkelmann, Ricarda/0000-0003-1248-3217; Frieler, Katja/0000-0003-4869-3013</t>
  </si>
  <si>
    <t>German Federal Ministry of Education and Research (BMBF) [01LP1171A]; German Federal Ministry for the Environment, Nature Conservation and Nuclear Safety (BMU) [11_II_093_Global_A_SIDS, 11_II_093_Global_A_LDCs]</t>
  </si>
  <si>
    <t>German Federal Ministry of Education and Research (BMBF)(Federal Ministry of Education &amp; Research (BMBF)); German Federal Ministry for the Environment, Nature Conservation and Nuclear Safety (BMU)</t>
  </si>
  <si>
    <t>This study was supported by the German Federal Ministry of Education and Research (BMBF, grant 01LP1171A) and the German Federal Ministry for the Environment, Nature Conservation and Nuclear Safety (BMU, grant 11_II_093_Global_A_SIDS and LDCs).</t>
  </si>
  <si>
    <t>10.1038/nature11616</t>
  </si>
  <si>
    <t>WOS:000312259300039</t>
  </si>
  <si>
    <t>Shuckburgh, EF</t>
  </si>
  <si>
    <t>Shuckburgh, Emily F.</t>
  </si>
  <si>
    <t>Oceanographers' contribution to climate modelling and prediction: progress to date and a future perspective</t>
  </si>
  <si>
    <t>climate modelling; oceanography; Earth system science</t>
  </si>
  <si>
    <t>MERIDIONAL OVERTURNING CIRCULATION; GLOBAL OCEAN CIRCULATION; NORTH-ATLANTIC OCEAN; SOUTHERN-OCEAN; THERMOHALINE CIRCULATION; EDDY DIFFUSIVITY; HEAT-TRANSPORT; GULF-STREAM; COUPLED ATMOSPHERE; TRACER TRANSPORTS</t>
  </si>
  <si>
    <t>The ocean plays an essential role in determining aspects of the climate through its influence on coupled processes involving the atmosphere, cyrosphere and biogeochemistry, including budgets of heat and carbon dioxide and sea-level rise. Here, the key developments in ocean modelling over the past 20 years are reviewed and the prospects for the next 20 years are outlined, considering a hierarchy of idealized, conceptual and realistic modelling frameworks. It is emphasized that any long-term modelling strategy needs to be underpinned and complemented by fundamental theoretical and observational research activities. The need to be aware of the societal and technological drivers that will shape future research directions is also articulated.</t>
  </si>
  <si>
    <t>Shuckburgh, EF (corresponding author), British Antarctic Survey, Madingley Rd, Cambridge CB3 0ET, England.</t>
  </si>
  <si>
    <t>emsh@bas.ac.uk</t>
  </si>
  <si>
    <t>Shuckburgh, Emily/0000-0001-9206-3444</t>
  </si>
  <si>
    <t>NERC [bas0100028] Funding Source: UKRI; Natural Environment Research Council [bas0100028] Funding Source: researchfish</t>
  </si>
  <si>
    <t>10.1098/rsta.2012.0402</t>
  </si>
  <si>
    <t>032FF</t>
  </si>
  <si>
    <t>WOS:000310697500010</t>
  </si>
  <si>
    <t>Cofaigh, CO</t>
  </si>
  <si>
    <t>Cofaigh, Colm O.</t>
  </si>
  <si>
    <t>Ice sheets viewed from the ocean: the contribution of marine science to understanding modern and past ice sheets</t>
  </si>
  <si>
    <t>ice sheets; multi-beam swath bathymetry; ice streams; continental margin; glacimarine processes and sediments; ice shelves and marine-terminating outlet glaciers</t>
  </si>
  <si>
    <t>TROUGH-MOUTH FANS; PINE ISLAND BAY; LAST GLACIAL MAXIMUM; NORTH-ATLANTIC; ANTARCTIC PENINSULA; CONTINENTAL-MARGIN; JAKOBSHAVN ISBRAE; HEINRICH EVENTS; SEDIMENTARY PROCESSES; RADIOCARBON CONSTRAINTS</t>
  </si>
  <si>
    <t>Over the last two decades, marine science, aided by technological advances in sediment coring, geophysical imaging and remotely operated submersibles, has played a major role in the investigation of contemporary and former ice sheets. Notable advances have been achieved with respect to reconstructing the extent and flow dynamics of the large polar ice sheets and their mid-latitude counterparts during the Quaternary from marine geophysical and geological records of landforms and sediments on glacier-influenced continental margins. Investigations of the deep-sea ice-rafted debris record have demonstrated that catastrophic collapse of large (10(5)-10(6) km(2)) ice-sheet drainage basins occurred on millennial and shorter time scales and had a major influence on oceanography. In the last few years, increasing emphasis has been placed on understanding physical processes at the ice-ocean interface, particularly at the grounding line, and on determining how these processes affect ice-sheet stability. This remains a major challenge, however, owing to the logistical constraints imposed by working in ice-infested polar waters and ice-shelf cavities. Furthermore, despite advances in reconstructing the Quaternary history of mid-and high-latitude ice sheets, major unanswered questions remain regarding West Antarctic ice-sheet stability, and the long-term offshore history of the East Antarctic and Greenland ice sheets remains poorly constrained. While these are major research frontiers in glaciology, and ones in which marine science has a pivotal role to play, realizing such future advances will require an integrated collaborative approach between oceanographers, glaciologists, marine geologists and numerical modellers.</t>
  </si>
  <si>
    <t>Univ Durham, Dept Geog, Durham DH1 3LE, England</t>
  </si>
  <si>
    <t>Durham University</t>
  </si>
  <si>
    <t>10.1098/rsta.2012.0398</t>
  </si>
  <si>
    <t>WOS:000310697500005</t>
  </si>
  <si>
    <t>Russell, BD; Connell, SD; Mellin, C; Brook, BW; Burnell, OW; Fordham, DA</t>
  </si>
  <si>
    <t>Russell, Bayden D.; Connell, Sean D.; Mellin, Camille; Brook, Barry W.; Burnell, Owen W.; Fordham, Damien A.</t>
  </si>
  <si>
    <t>Predicting the Distribution of Commercially Important Invertebrate Stocks under Future Climate</t>
  </si>
  <si>
    <t>BLACKLIP HALIOTIS-RUBRA; ABALONE GENUS-HALIOTIS; H-LAEVIGATA ABALONE; AUSTRALIAN ABALONE; GREENLIP ABALONE; MARINE FISHES; TEMPERATURE; ECOLOGY; COMMUNITIES; RECRUITMENT</t>
  </si>
  <si>
    <t>The future management of commercially exploited species is challenging because techniques used to predict the future distribution of stocks under climate change are currently inadequate. We projected the future distribution and abundance of two commercially harvested abalone species (blacklip abalone, Haliotis rubra and greenlip abalone, H. laevigata) inhabiting coastal South Australia, using multiple species distribution models (SDM) and for decadal time slices through to 2100. Projections are based on two contrasting global greenhouse gas emissions scenarios. The SDMs identified August (winter) Sea Surface Temperature (SST) as the best descriptor of abundance and forecast that warming of winter temperatures under both scenarios may be beneficial to both species by allowing increased abundance and expansion into previously uninhabited coasts. This range expansion is unlikely to be realised, however, as projected warming of March SST is projected to exceed temperatures which cause up to 10-fold increases in juvenile mortality. By linking fine-resolution forecasts of sea surface temperature under different climate change scenarios to SDMs and physiological experiments, we provide a practical first approximation of the potential impact of climate-induced change on two species of marine invertebrates in the same fishery.</t>
  </si>
  <si>
    <t>[Russell, Bayden D.; Connell, Sean D.; Burnell, Owen W.] Univ Adelaide, Sch Earth &amp; Environm Sci, So Seas Ecol Labs, Adelaide, SA, Australia; [Mellin, Camille] Australian Inst Marine Sci, Townsville, Qld 4810, Australia; [Mellin, Camille; Brook, Barry W.; Fordham, Damien A.] Univ Adelaide, Inst Environm, Adelaide, SA, Australia</t>
  </si>
  <si>
    <t>University of Adelaide; Australian Institute of Marine Science; University of Adelaide</t>
  </si>
  <si>
    <t>Russell, BD (corresponding author), Univ Adelaide, Sch Earth &amp; Environm Sci, So Seas Ecol Labs, Adelaide, SA, Australia.</t>
  </si>
  <si>
    <t>bayden.russell@adelaide.edu.au</t>
  </si>
  <si>
    <t>Connell, Sean D/A-8874-2008; Mellin, Camille/AAB-1768-2019; Mellin, Camille/X-9161-2019; Russell, Bayden D./A-9942-2008; Brook, Barry W./G-2686-2011; Russell, Bayden D./R-9325-2019; Fordham, Damien/E-9255-2013</t>
  </si>
  <si>
    <t>Connell, Sean D/0000-0002-5350-6852; Mellin, Camille/0000-0002-7369-2349; Mellin, Camille/0000-0002-7369-2349; Russell, Bayden D./0000-0003-1282-9978; Brook, Barry W./0000-0002-2491-1517; Russell, Bayden D./0000-0003-1282-9978; Fordham, Damien/0000-0003-2137-5592</t>
  </si>
  <si>
    <t>Australian Research Council; Marine Biodiversity Hub; Australian Government's National Environmental Research Program (NERP)</t>
  </si>
  <si>
    <t>Australian Research Council(Australian Research Council); Marine Biodiversity Hub; Australian Government's National Environmental Research Program (NERP)(Australian Government)</t>
  </si>
  <si>
    <t>The research was partly funded by Australian Research Council Grants to D.A. Fordham, B.W. Brook and S.D. Connell. C. Mellin was funded by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The funders had no role in study design, data collection and analysis, decision to publish, or preparation of the manuscript. No additional external funding received for this study.</t>
  </si>
  <si>
    <t>DEC 12</t>
  </si>
  <si>
    <t>e46554</t>
  </si>
  <si>
    <t>10.1371/journal.pone.0046554</t>
  </si>
  <si>
    <t>066QV</t>
  </si>
  <si>
    <t>WOS:000313236200001</t>
  </si>
  <si>
    <t>Menietti, JD; Shprits, YY; Horne, RB; Woodfield, EE; Hospodarsky, GB; Gurnett, DA</t>
  </si>
  <si>
    <t>Menietti, J. D.; Shprits, Y. Y.; Horne, R. B.; Woodfield, E. E.; Hospodarsky, G. B.; Gurnett, D. A.</t>
  </si>
  <si>
    <t>Chorus, ECH, and Z mode emissions observed at Jupiter and Saturn and possible electron acceleration</t>
  </si>
  <si>
    <t>PLASMA-WAVE OBSERVATIONS; STORM-TIME CHORUS; PLASMASPHERIC HISS; DIFFUSION-COEFFICIENTS; ENERGETIC ELECTRONS; RESONANT DIFFUSION; PITCH-ANGLE; VLF WAVES; ART.; ORIGIN</t>
  </si>
  <si>
    <t>In this paper we compare and contrast chorus, electron cyclotron harmonics (ECH), and Z mode emissions observed at Jupiter and Saturn and relate them to recent work on electron acceleration at Earth. Intense chorus emissions are observed near the magnetic equator, the likely source region, but the strongest intensities are on either side of the magnetic equator. Chorus intensities at Jupiter are generally about an order of magnitude larger than at Saturn, and the bandwidth of chorus at Jupiter can reach 7 or 8 kHz (similar to 0.6 f(c)), while at Saturn it is typically &lt;2 kHz (similar to 0.6 f(c), also). No higher-latitude information is available at Jupiter; however, high inclination orbits at Saturn by Cassini reveal strong chorus intensities at latitudes extending to over 30 degrees. At Jupiter, initial studies reveal the chorus intensities are sufficient to accelerate electrons by a stochastic process; however, the high density levels near the source region of chorus at Saturn indicate a less efficient process except for local regions such as within plasma injection regions. The role of Z mode in electron acceleration and the role of ECH waves in pitch angle scattering at both Jupiter and Saturn require further study. Citation: Menietti, J. D., Y. Y. Shprits, R. B. Horne, E. E. Woodfield, G. B. Hospodarsky, and D. A. Gurnett (2012), Chorus, ECH, and Z mode emissions observed at Jupiter and Saturn and possible electron acceleration, J. Geophys. Res., 117, A12214, doi: 10.1029/2012JA018187.</t>
  </si>
  <si>
    <t>[Menietti, J. D.; Hospodarsky, G. B.; Gurnett, D. A.] Univ Iowa, Dept Phys &amp; Astron, Iowa City, IA 52242 USA; [Shprits, Y. Y.] Univ Calif Los Angeles, Dept Earth &amp; Space Sci, Los Angeles, CA 90024 USA; [Shprits, Y. Y.] Univ Calif Los Angeles, Inst Geophys &amp; Planetary Phys, Los Angeles, CA 90024 USA; [Horne, R. B.; Woodfield, E. E.] British Antarctic Survey, Cambridge CB3 0ET, England</t>
  </si>
  <si>
    <t>University of Iowa; University of California System; University of California Los Angeles; University of California System; University of California Los Angeles; UK Research &amp; Innovation (UKRI); Natural Environment Research Council (NERC); NERC British Antarctic Survey</t>
  </si>
  <si>
    <t>Menietti, JD (corresponding author), Univ Iowa, Dept Phys &amp; Astron, Iowa City, IA 52242 USA.</t>
  </si>
  <si>
    <t>john-menietti@uiowa.edu</t>
  </si>
  <si>
    <t>Horne, Richard B/U-3764-2019; Shprits, Yuri Y/I-2174-2014; Woodfield, Emma/B-5313-2014; Hospodarsky, George/A-7996-2015</t>
  </si>
  <si>
    <t>Horne, Richard B/0000-0002-0412-6407; Shprits, Yuri/0000-0002-9625-0834; Woodfield, Emma/0000-0002-0531-8814; Hospodarsky, George/0000-0001-9200-9878</t>
  </si>
  <si>
    <t>JPL [1415150]; NASA [NNX11AM36G, NNX09AF51G, NNX10AK99G]; STFC [ST/I001727/1]; NERC; Natural Environment Research Council [bas0100023] Funding Source: researchfish; Science and Technology Facilities Council [ST/I001727/1] Funding Source: researchfish; NERC [bas0100023] Funding Source: UKRI; STFC [ST/I001727/1] Funding Source: UKRI</t>
  </si>
  <si>
    <t>JPL; NASA(National Aeronautics &amp; Space Administration (NASA)); STFC(UK Research &amp; Innovation (UKRI)Science &amp; Technology Facilities Council (STFC)); NERC(UK Research &amp; Innovation (UKRI)Natural Environment Research Council (NERC));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</si>
  <si>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We wish to thank J. Barnholdt for administrative assistance and J. Chrisinger for help with several plots. J.D.M. acknowledges support from JPL contract 1415150 and NASA grant NNX11AM36G. Y.Y.S. wishes to cite support from NASA grants NNX09AF51G and NNX10AK99G. R.B.H. and E.E.W. were supported by STFC grant ST/I001727/1 and NERC.</t>
  </si>
  <si>
    <t>A12214</t>
  </si>
  <si>
    <t>10.1029/2012JA018187</t>
  </si>
  <si>
    <t>055EF</t>
  </si>
  <si>
    <t>WOS:000312397300004</t>
  </si>
  <si>
    <t>Murray, AE; Kenig, F; Fritsen, CH; McKay, CP; Cawley, KM; Edwards, R; Kuhn, E; McKnight, DM; Ostrom, NE; Peng, V; Ponce, A; Priscu, JC; Samarkin, V; Townsend, AT; Wagh, P; Young, SA; Yung, PT; Doran, PT</t>
  </si>
  <si>
    <t>Murray, Alison E.; Kenig, Fabien; Fritsen, Christian H.; McKay, Christopher P.; Cawley, Kaelin M.; Edwards, Ross; Kuhn, Emanuele; McKnight, Diane M.; Ostrom, Nathaniel E.; Peng, Vivian; Ponce, Adrian; Priscu, John C.; Samarkin, Vladimir; Townsend, Ashley T.; Wagh, Protima; Young, Seth A.; Yung, Pung To; Doran, Peter T.</t>
  </si>
  <si>
    <t>Microbial life at -13 °C in the brine of an ice-sealed Antarctic lake</t>
  </si>
  <si>
    <t>astrobiology; geomicrobiology; microbial ecology; extreme environment</t>
  </si>
  <si>
    <t>ISOTOPIC COMPOSITION; NITROUS-OXIDE; DEEP; METHANE; FRACTIONATION; ECOSYSTEMS; DIVERSITY; GROWTH; COVER; RATES</t>
  </si>
  <si>
    <t>The permanent ice cover of Lake Vida (Antarctica) encapsulates an extreme cryogenic brine ecosystem (-13 degrees C; salinity, 200). This aphotic ecosystem is anoxic and consists of a slightly acidic (pH 6.2) sodium chloride-dominated brine. Expeditions in 2005 and 2010 were conducted to investigate the biogeochemistry of Lake Vida's brine system. A phylogenetically diverse and metabolically active Bacteria dominated microbial assemblage was observed in the brine. These bacteria live under very high levels of reduced metals, ammonia, molecular hydrogen (H-2), and dissolved organic carbon, as well as high concentrations of oxidized species of nitrogen (i.e., supersaturated nitrous oxide and similar to 1 mmol.L-1 nitrate) and sulfur (as sulfate). The existence of this system, with active biota, and a suite of reduced as well as oxidized compounds, is unusual given the millennial scale of its isolation from external sources of energy. The geochemistry of the brine suggests that abiotic brine-rock reactions may occur in this system and that the rich sources of dissolved electron acceptors prevent sulfate reduction and methanogenesis from being energetically favorable. The discovery of this ecosystem and the in situ biotic and abiotic processes occurring at low temperature provides a tractable system to study habitability of isolated terrestrial cryoenvironments (e.g., permafrost cryopegs and subglacial ecosystems), and is a potential analog for habitats on other icy worlds where water-rock reactions may cooccur with saline deposits and subsurface oceans.</t>
  </si>
  <si>
    <t>[Murray, Alison E.; Fritsen, Christian H.; Kuhn, Emanuele; Peng, Vivian; Wagh, Protima] Desert Res Inst, Div Earth &amp; Ecosyst Sci, Reno, NV 89512 USA; [Kenig, Fabien; Doran, Peter T.] Univ Illinois, Dept Earth &amp; Environm Sci, Chicago, IL 60607 USA; [McKay, Christopher P.] NASA, Div Space Sci, Ames Res Ctr, Moffett Field, CA 94035 USA; [Cawley, Kaelin M.; McKnight, Diane M.] Univ Colorado, Inst Arctic &amp; Alpine Res, Boulder, CO 80309 USA; [Edwards, Ross] Curtin Univ Technol, Dept Imaging &amp; Appl Phys, Perth, WA 6845, Australia; [Ostrom, Nathaniel E.] Michigan State Univ, Dept Zool, E Lansing, MI 48824 USA; [Ponce, Adrian; Yung, Pung To] CALTECH, Jet Prop Lab, Pasadena, CA 91109 USA; [Priscu, John C.] Montana State Univ, Dept Land Resources &amp; Environm Sci, Bozeman, MT 59717 USA; [Samarkin, Vladimir] Univ Georgia, Dept Marine Sci, Athens, GA 30602 USA; [Townsend, Ashley T.] Univ Tasmania, Cent Sci Lab, Hobart, Tas 7001, Australia; [Young, Seth A.] Indiana Univ, Dept Geol Sci, Bloomington, IN 47405 USA</t>
  </si>
  <si>
    <t>Nevada System of Higher Education (NSHE); Desert Research Institute NSHE; University of Illinois System; University of Illinois Chicago; University of Illinois Chicago Hospital; National Aeronautics &amp; Space Administration (NASA); NASA Ames Research Center; University of Colorado System; University of Colorado Boulder; Curtin University; Michigan State University; California Institute of Technology; National Aeronautics &amp; Space Administration (NASA); NASA Jet Propulsion Laboratory (JPL); Montana State University System; Montana State University Bozeman; University System of Georgia; University of Georgia; University of Tasmania; Indiana University System; Indiana University Bloomington</t>
  </si>
  <si>
    <t>Murray, AE (corresponding author), Desert Res Inst, Div Earth &amp; Ecosyst Sci, Reno, NV 89512 USA.</t>
  </si>
  <si>
    <t>Alison.Murray@dri.edu</t>
  </si>
  <si>
    <t>Ponce, Adrian/P-3487-2019; Townsend, Ashley/J-7445-2014; Kenig, Fabien/A-4961-2008; Edwards, Ross/B-1433-2013</t>
  </si>
  <si>
    <t>Ponce, Adrian/0000-0001-7657-1617; Townsend, Ashley/0000-0002-2972-2678; Kenig, Fabien/0000-0003-4868-5232; Edwards, Ross/0000-0002-9233-8775; McKay, Christopher/0000-0002-6243-1362; MCKNIGHT, DIANE/0000-0002-4171-1533</t>
  </si>
  <si>
    <t>National Aeronautics and Space Administration (NASA) [ASTEP NAG5-12889]; NASA-NASA Astrobiology Institute Icy Worlds; National Science Foundation (NSF) [ANT-0739681, ANT-0739698]; Directorate For Geosciences; Office of Polar Programs (OPP) [0739698] Funding Source: National Science Foundation; Office of Polar Programs (OPP); Directorate For Geosciences [0739681] Funding Source: National Science Foundation</t>
  </si>
  <si>
    <t>National Aeronautics and Space Administration (NASA)(National Aeronautics &amp; Space Administration (NASA)); NASA-NASA Astrobiology Institute Icy Worlds; National Science Foundation (NSF)(National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</si>
  <si>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thank J. Kyne and B. Bergeron of Ice Coring and Drilling Services, H. Dugan (University of Illinois), B. Wagner (University of Cologne), B. Glazer (University of Hawaii), and P. Glenday for field assistance; C. Davis (Desert Research Institute), J. R. Henricksen (University of Georgia), and A. Johnson (Indiana University) for laboratory assistance; S. Ghobrial (University of North Carolina) for the carbohydrate concentration determinations; and F. Loffler (University of Texas at Knoxville) and P. McLoughlin (Microseeps) for contributing expertise to gas-sampling strategies. This work was supported in part by National Aeronautics and Space Administration (NASA)-ASTEP NAG5-12889 (to P.T.D.); NASA-NASA Astrobiology Institute Icy Worlds (to A.E.M.); and National Science Foundation (NSF) Awards ANT-0739681 (to A.E.M.) and ANT-0739698 (to P.T.D.). In 2005, The NSF Office of Polar Programs provided logistical support through a cooperative agreement with NASA.</t>
  </si>
  <si>
    <t>DEC 11</t>
  </si>
  <si>
    <t>10.1073/pnas.1208607109</t>
  </si>
  <si>
    <t>058AF</t>
  </si>
  <si>
    <t>Bronze, Green Published, Green Submitted</t>
  </si>
  <si>
    <t>WOS:000312605600097</t>
  </si>
  <si>
    <t>Simon, CJ; Carter, CG; Battaglene, SC</t>
  </si>
  <si>
    <t>Simon, C. J.; Carter, C. G.; Battaglene, S. C.</t>
  </si>
  <si>
    <t>Development and function of the filter-press in spiny lobster, Sagmariasus verreauxi, phyllosoma</t>
  </si>
  <si>
    <t>AQUACULTURE</t>
  </si>
  <si>
    <t>Larval morphology; Stage; Eastern rock lobster; Filter-press; Aquaculture</t>
  </si>
  <si>
    <t>SOUTHERN ROCK LOBSTER; EARLY-STAGE PHYLLOSOMA; JASUS-EDWARDSII; APPARENT DIGESTIBILITY; PACKHORSE LOBSTER; PYLORIC STOMACH; GLAND FILTERS; DECAPODA; LARVAE; CULTURE</t>
  </si>
  <si>
    <t>Mass propagation of spiny lobster phyllosoma is a critical bottleneck for the development of spiny lobster aquaculture. Eastern spiny lobster Sagmariasus verreauxi has been identified as a good candidate for temperate culture with a relatively short life cycle lasting 6 to 8 months and 17 stages. We investigated the development and functionality of the filter-press of S. verreauxi phyllosoma to better understand the size and quantity of dietary particles ingested over the entire larval cycle. Filter-press morphometrics were obtained from live phyllosoma larvae throughout development, and filtration capacity was ascertained using fluorescent microspheres and the rare earth metal markers yttrium oxide and ytterbium oxide. The filter-press of phyllosoma larvae was fully functional from stage 3, fully developed from stage 4, and the numbers (8 to 50), lengths (79 to 384 mu m), and widths (14.8 to 20.3 mu m) of food grooves increased with the development stage to accommodate a larger volume of ingested food. In contrast, there was no change in the widths of the lower ampullary setae (1.28 +/- 0.16 mu m) or the widths of the gap between these setae (0.91 +/- 0.07 mu m). Lower ampullary setae were arranged in a single layer perpendicular to the food grooves and restricted the entry of food particles into the digestive gland. From stage 3, the filter-press selectively excluded more than 99% of particles of &gt;1 mu m from reaching the digestive gland and demonstrated that only particles of &lt;= 1 mu m are available for digestion. In the absence of a gastric mill, phyllosoma larvae have no obvious structure for internally grinding prey and the present study shows that phyllosoma larvae are well adapted to feed from the body fluids of wild preys over their entire larval cycle. The results have important practical applications for the development of formulated feeds for spiny lobster larvae. (C) 2012 Elsevier B. V. All rights reserved.</t>
  </si>
  <si>
    <t>[Simon, C. J.; Carter, C. G.; Battaglene, S. C.] Univ Tasmania, Inst Marine &amp; Antarctic Studies, Taroona, Tas 7053, Australia</t>
  </si>
  <si>
    <t>Simon, CJ (corresponding author), Univ Tasmania, Inst Marine &amp; Antarctic Studies, Taroona, Tas 7053, Australia.</t>
  </si>
  <si>
    <t>cedric.simon@utas.edu.au</t>
  </si>
  <si>
    <t>Simon, Cedric/AET-0945-2022; Simon, Cedric/H-9692-2014; Battaglene, Stephen C/H-9683-2014; Carter, Chris Guy/A-3438-2008; Simon, Cedric/AAX-5264-2020</t>
  </si>
  <si>
    <t>Simon, Cedric/0000-0002-7535-3332; Simon, Cedric/0000-0002-7535-3332; Carter, Chris Guy/0000-0001-5210-1282; Simon, Cedric/0000-0002-7535-3332</t>
  </si>
  <si>
    <t>0044-8486</t>
  </si>
  <si>
    <t>1873-5622</t>
  </si>
  <si>
    <t>Aquaculture</t>
  </si>
  <si>
    <t>10.1016/j.aquaculture.2012.10.003</t>
  </si>
  <si>
    <t>039AR</t>
  </si>
  <si>
    <t>WOS:000311215700010</t>
  </si>
  <si>
    <t>Franzke, C</t>
  </si>
  <si>
    <t>Franzke, C.</t>
  </si>
  <si>
    <t>On the statistical significance of surface air temperature trends in the Eurasian Arctic region</t>
  </si>
  <si>
    <t>LONG-RANGE DEPENDENCE; EMPIRICAL MODE DECOMPOSITION; CLIMATE NOISE PROPERTIES; TIME-SERIES</t>
  </si>
  <si>
    <t>This study investigates the statistical significance of the trends of station temperature time series from the European Climate Assessment &amp; Data archive poleward of 60 degrees N. The trends are identified by different methods and their significance is assessed by three different null models of climate noise. All stations show a warming trend but only 17 out of the 109 considered stations have trends which cannot be explained as arising from intrinsic climate fluctuations when tested against any of the three null models. Out of those 17, only one station exhibits a warming trend which is significant against all three null models. The stations with significant warming trends are located mainly in Scandinavia and Iceland. Citation: Franzke, C. (2012), On the statistical significance of surface air temperature trends in the Eurasian Arctic region, Geophys. Res. Lett., 39, L23705, doi:10.1029/2012GL054244.</t>
  </si>
  <si>
    <t>British Antarctic Survey, NERC, Cambridge CB3 0ET, England</t>
  </si>
  <si>
    <t>Franzke, C (corresponding author), British Antarctic Survey, NERC, High Cross Madingley Rd, Cambridge CB3 0ET, England.</t>
  </si>
  <si>
    <t>chan1@bas.ac.uk</t>
  </si>
  <si>
    <t>Franzke, Christian/A-6191-2012</t>
  </si>
  <si>
    <t>Franzke, Christian/0000-0003-4111-1228</t>
  </si>
  <si>
    <t>Natural Environment Research Council; Natural Environment Research Council [bas0100026] Funding Source: researchfish; NERC [bas0100026] Funding Source: UKRI</t>
  </si>
  <si>
    <t>I thank M. Freeman and two anonymous reviewers for their helpful comments on an earlier version of this manuscript. I thank KNMI for providing me with the ECA&amp;D temperature data. This study is part of the British Antarctic Survey Polar Science for Planet Earth Programme. It was funded by the Natural Environment Research Council.</t>
  </si>
  <si>
    <t>L23705</t>
  </si>
  <si>
    <t>10.1029/2012GL054244</t>
  </si>
  <si>
    <t>055BN</t>
  </si>
  <si>
    <t>WOS:000312390100001</t>
  </si>
  <si>
    <t>Meijers, AJS; Shuckburgh, E; Bruneau, N; Sallee, JB; Bracegirdle, TJ; Wang, Z</t>
  </si>
  <si>
    <t>Meijers, A. J. S.; Shuckburgh, E.; Bruneau, N.; Sallee, J-B.; Bracegirdle, T. J.; Wang, Z.</t>
  </si>
  <si>
    <t>Representation of the Antarctic Circumpolar Current in the CMIP5 climate models and future changes under warming scenarios</t>
  </si>
  <si>
    <t>SOUTHERN-OCEAN; OVERTURNING CIRCULATION; VARIABILITY; TRANSPORT; WATERS; EDDIES; TRENDS; SINK</t>
  </si>
  <si>
    <t>The representation of the Antarctic Circumpolar Current (ACC) in the fifth Coupled Models Intercomparison Project (CMIP5) is generally improved over CMIP3. The range of modeled transports in the historical (1976-2006) scenario is reduced (90-264 Sv) compared with CMIP3 (33-337 Sv) with a mean of 155 +/- 51 Sv. The large intermodel range is associated with significant differences in the ACC density structure. The ACC position is accurately represented at most longitudes, with a small (1.27 degrees) standard deviation in mean latitude. The westerly wind jet driving the ACC is biased too strong and too far north on average. Unlike CMIP3 there is no correlation between modeled ACC latitude and the position of the westerly wind jet. Under future climate forcing scenarios (2070-2099 mean) the modeled ACC transport changes by between -26 to + 17 Sv and the ACC shifts polewards (equatorwards) in models where the transport increases (decreases). There is no significant correlation between the ACC position change and that of the westerly wind jet, which shifts polewards and strengthens. The subtropical gyres strengthen and expand southwards, while the change in subpolar gyre area varies between models. An increase in subpolar gyre area corresponds with a decreases in ACC transport and an equatorward shift in the ACC position, and vice versa for a contraction of the gyre area. There is a general decrease in density in the upper 1000 m, particularly equatorwards of the ACC core. Citation: Meijers, A. J. S., E. Shuckburgh, N. Bruneau, J.-B. Sallee, T. J. Bracegirdle, and Z. Wang (2012), Representation of the Antarctic Circumpolar Current in the CMIP5 climate models and future changes under warming scenarios, J. Geophys. Res., 117, C12008, doi:10.1029/2012JC008412.</t>
  </si>
  <si>
    <t>[Meijers, A. J. S.; Shuckburgh, E.; Bruneau, N.; Sallee, J-B.; Bracegirdle, T. J.] British Antarctic Survey, Cambridge CB3 0ET, England; [Wang, Z.] Nanjing Univ Informat Sci &amp; Technol, Sch Marine Sci, Nanjing, Jiangsu, Peoples R China</t>
  </si>
  <si>
    <t>UK Research &amp; Innovation (UKRI); Natural Environment Research Council (NERC); NERC British Antarctic Survey; Nanjing University of Information Science &amp; Technology</t>
  </si>
  <si>
    <t>Meijers, AJS (corresponding author), British Antarctic Survey, Madingley Rd, Cambridge CB3 0ET, England.</t>
  </si>
  <si>
    <t>andmei@bas.ac.uk</t>
  </si>
  <si>
    <t>SALLEE, Jean baptiste/HDO-5355-2022; Bruneau, Nicolas/AAS-8232-2021; Bracegirdle, Tom/AAD-6060-2020; SALLEE, Jean baptiste/A-5837-2010</t>
  </si>
  <si>
    <t>Bruneau, Nicolas/0000-0002-9017-1000; SALLEE, Jean baptiste/0000-0002-6109-5176; Bracegirdle, Thomas/0000-0002-8868-4739; Shuckburgh, Emily/0000-0001-9206-3444</t>
  </si>
  <si>
    <t>UK Natural Environment Research Council [NE/J005339/1]; Cnes; Chinese National Key Basic Research Program [2010CB950301]; PriorityAcademic Program Development of Jiangsu Higher Education Institutions (PAPD); NERC [bas0100023, NE/J005339/1, bas0100028] Funding Source: UKRI; Natural Environment Research Council [bas0100023, bas0100028, NE/J005339/1] Funding Source: researchfish</t>
  </si>
  <si>
    <t>UK Natural Environment Research Council(UK Research &amp; Innovation (UKRI)Natural Environment Research Council (NERC)); Cnes(Centre National D'etudes Spatiales); Chinese National Key Basic Research Program(National Basic Research Program of China); PriorityAcademic Program Development of Jiangsu Higher Education Institutions (PAPD);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</si>
  <si>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The UK Natural Environment Research Council (grant reference number NE/J005339/1). We acknowledge the World Climate Research Programme's Working Group on Coupled Modeling,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MDT CNES-CLS09 was produced by CLS Space Oceanography Division and distributed by Aviso, with support from Cnes. Z. Wang was supported by Chinese National Key Basic Research Program (2010CB950301) and by a project funded by the PriorityAcademic Program Development of Jiangsu Higher Education Institutions (PAPD).</t>
  </si>
  <si>
    <t>C12008</t>
  </si>
  <si>
    <t>10.1029/2012JC008412</t>
  </si>
  <si>
    <t>055DU</t>
  </si>
  <si>
    <t>hybrid, Green Submitted, Green Accepted</t>
  </si>
  <si>
    <t>WOS:000312396200002</t>
  </si>
  <si>
    <t>Clilverd, MA; Rodger, CJ; Danskin, D; Usanova, ME; Raita, T; Ulich, T; Spanswick, EL</t>
  </si>
  <si>
    <t>Clilverd, Mark A.; Rodger, Craig J.; Danskin, Donald; Usanova, Maria E.; Raita, Tero; Ulich, Thomas; Spanswick, Emma L.</t>
  </si>
  <si>
    <t>Energetic particle injection, acceleration, and loss during the geomagnetic disturbances which upset Galaxy 15</t>
  </si>
  <si>
    <t>PRECIPITATION; AURORA; ELECTRONS; SUBSTORM; ELF</t>
  </si>
  <si>
    <t>On 5 April 2010 a series of energetic electron injections, acceleration, and loss events appeared to induce an operational anomaly in the Galaxy 15 geosynchronous communications satellite. We describe the energetic electron precipitation conditions leading to the anomaly. A few hours prior to the anomaly electron acceleration at &gt;0.6 MeV, and loss at &gt;30 keV, were observed simultaneously. The acceleration took place in the region of the Galaxy 15 satellite on the nightside and the precipitation of electrons primarily on the dayside. The precipitation was confined to L-shells outside of the plasmapause and appeared to be driven by chorus waves via a weak diffusion process. An hour prior to the anomaly, a solar wind shock event generated a few minutes of 30-150 keV electron precipitation but only on the dayside, over a large L-shell range (4.8 &lt; L &lt; 13). The timing of the precipitation burst was consistent with electromagnetic ion cyclotron (EMIC) waves seen on the dayside, but the high geomagnetic latitude of the precipitation suggests that EMIC wave growth associated with high cold density regions in the plasmasphere is unlikely to have played a role. A substorm injection event shortly after the shock appears to have ultimately triggered the upset on Galaxy 15. However, the peak &gt;30 keV electron precipitation fluxes of 1.35 x 10(7) el cm(-2) s(-1) sr(-1) were roughly the same level as other large substorm events previously analyzed, indicating either a sensitivity to the energetic electron environment prior to the event or that the satellite was in a vulnerable situation. Citation: Clilverd, M. A., C. J. Rodger, D. Danskin, M. E. Usanova, T. Raita, T. Ulich, and E. L. Spanswick (2012), Energetic particle injection, acceleration, and loss during the geomagnetic disturbances which upset Galaxy 15, J. Geophys. Res., 117, A12213, doi: 10.1029/2012JA018175.</t>
  </si>
  <si>
    <t>[Clilverd, Mark A.] British Antarctic Survey, Cambridge CB3 0ET, England; [Rodger, Craig J.] Univ Otago, Dept Phys, Dunedin, New Zealand; [Danskin, Donald] Nat Resources Canada, Geomagnet Lab, Ottawa, ON, Canada; [Usanova, Maria E.] Univ Alberta, Dept Phys, Edmonton, AB, Canada; [Raita, Tero; Ulich, Thomas] Univ Oulu, Sodankyla Geophys Observ, Sodankyla, Finland; [Spanswick, Emma L.] Univ Calgary, Dept Phys &amp; Astron, Calgary, AB T2N 1N4, Canada</t>
  </si>
  <si>
    <t>UK Research &amp; Innovation (UKRI); Natural Environment Research Council (NERC); NERC British Antarctic Survey; University of Otago; Natural Resources Canada; University of Alberta; University of Oulu; University of Calgary</t>
  </si>
  <si>
    <t>Clilverd, MA (corresponding author), British Antarctic Survey, Madingley Rd, Cambridge CB3 0ET, England.</t>
  </si>
  <si>
    <t>macl@bas.ac.uk</t>
  </si>
  <si>
    <t>Spanswick, Emma/JDC-7880-2023; Ulich, Thomas/G-3727-2018; Rodger, Craig/A-1501-2011</t>
  </si>
  <si>
    <t>Ulich, Thomas/0000-0001-8217-022X; Danskin, Donald William/0000-0002-4968-9094; Raita, Tero/0000-0002-0455-5746; Rodger, Craig J./0000-0002-6770-2707; Spanswick, Emma/0000-0001-8003-5091</t>
  </si>
  <si>
    <t>Australian Antarctic Division project [ASAC 1324]; Antarctica New Zealand; Canadian Space Agency; European Union Seventh Framework Programme [263218]; New Zealand Marsden Fund; NERC [bas0100023] Funding Source: UKRI; Natural Environment Research Council [bas0100023] Funding Source: researchfish</t>
  </si>
  <si>
    <t>Australian Antarctic Division project; Antarctica New Zealand; Canadian Space Agency(Canadian Space Agency); European Union Seventh Framework Programme(European Union (EU)); New Zealand Marsden Fund(Royal Society of New ZealandMarsden Fund (NZ)); NERC(UK Research &amp; Innovation (UKRI)Natural Environment Research Council (NERC)); Natural Environment Research Council(UK Research &amp; Innovation (UKRI)Natural Environment Research Council (NERC))</t>
  </si>
  <si>
    <t>The authors would like to acknowledge the support of the Australian Antarctic Division project ASAC 1324 for the Casey data. We would also like to acknowledge the use of the AAD data system for the provision of the Macquarie Island Riometer data, http://www.ips.gov.au/World_Data_Centre/1/8. The Scott Base experiment is supported by Antarctica New Zealand, event K060. M. U. is funded by the Canadian Space Agency. The research leading to these results has received funding from the European Union Seventh Framework Programme (FP7/2007-2013) under grant agreement no 263218. C.J.R. was supported by the New Zealand Marsden Fund.</t>
  </si>
  <si>
    <t>A12213</t>
  </si>
  <si>
    <t>10.1029/2012JA018175</t>
  </si>
  <si>
    <t>055ED</t>
  </si>
  <si>
    <t>WOS:000312397100003</t>
  </si>
  <si>
    <t>Teets, NM; Peyton, JT; Colinet, H; Renault, D; Kelley, JL; Kawarasaki, Y; Lee, RE; Denlinger, DL</t>
  </si>
  <si>
    <t>Teets, Nicholas M.; Peyton, Justin T.; Colinet, Herve; Renault, David; Kelley, Joanna L.; Kawarasaki, Yuta; Lee, Richard E., Jr.; Denlinger, David L.</t>
  </si>
  <si>
    <t>Gene expression changes governing extreme dehydration tolerance in an Antarctic insect</t>
  </si>
  <si>
    <t>physiological ecology; environmental stress</t>
  </si>
  <si>
    <t>HEAT-SHOCK PROTEINS; CRYOPROTECTIVE DEHYDRATION; MOLECULAR CHAPERONES; MIDGE; MECHANISMS; DESICCATION; LARVAE; WATER; RESISTANCE; AQUAPORIN</t>
  </si>
  <si>
    <t>Among terrestrial organisms, arthropods are especially susceptible to dehydration, given their small body size and high surface area to volume ratio. This challenge is particularly acute for polar arthropods that face near-constant desiccating conditions, as water is frozen and thus unavailable for much of the year. The molecular mechanisms that govern extreme dehydration tolerance in insects remain largely undefined. In this study, we used RNA sequencing to quantify transcriptional mechanisms of extreme dehydration tolerance in the Antarctic midge, Belgica antarctica, the world's southernmost insect and only insect endemic to Antarctica. Larvae of B. antarctica are remarkably tolerant of dehydration, surviving losses up to 70% of their body water. Gene expression changes in response to dehydration indicated up-regulation of cellular recycling pathways including the ubiquitin-mediated proteasome and autophagy, with concurrent down-regulation of genes involved in general metabolism and ATP production. Metabolomics results revealed shifts in metabolite pools that correlated closely with changes in gene expression, indicating that coordinated changes in gene expression and metabolism are a critical component of the dehydration response. Finally, using comparative genomics, we compared our gene expression results with a transcriptomic dataset for the Arctic collembolan, Megaphorura arctica. Although B. antarctica and M. arctica are adapted to similar environments, our analysis indicated very little overlap in expression profiles between these two arthropods. Whereas several orthologous genes showed similar expression patterns, transcriptional changes were largely species specific, indicating these polar arthropods have developed distinct transcriptional mechanisms to cope with similar desiccating conditions.</t>
  </si>
  <si>
    <t>[Teets, Nicholas M.; Denlinger, David L.] Ohio State Univ, Dept Entomol, Columbus, OH 43210 USA; [Peyton, Justin T.; Denlinger, David L.] Ohio State Univ, Dept Ecol Evolut &amp; Organismal Biol, Columbus, OH 43210 USA; [Colinet, Herve; Renault, David] Univ Rennes 1, Unite Mixte Rech, Ctr Natl Rech Sci Ecobio 6553, F-35042 Rennes, France; [Colinet, Herve] Catholic Univ Louvain, Biodivers Res Ctr BDIV, Earth &amp; Life Inst, B-1348 Louvain, Belgium; [Kelley, Joanna L.] Stanford Univ, Dept Genet, Stanford, CA 94305 USA; [Kawarasaki, Yuta; Lee, Richard E., Jr.] Miami Univ, Dept Zool, Oxford, OH 45056 USA</t>
  </si>
  <si>
    <t>University System of Ohio; Ohio State University; University System of Ohio; Ohio State University; Universite de Rennes; Universite Catholique Louvain; Stanford University; University System of Ohio; Miami University</t>
  </si>
  <si>
    <t>teets.23@osu.edu; denlinger.1@osu.edu</t>
  </si>
  <si>
    <t>Colinet, hervé/B-3677-2019; Kelley, Joanna L/H-1693-2012; Teets, Nicholas/IQT-5328-2023; Colinet, hervé/K-8768-2019; Kawarasaki, Yuta/AAD-4032-2019; Teets, Nicholas/H-7386-2013</t>
  </si>
  <si>
    <t>Colinet, hervé/0000-0002-8806-3107; Kelley, Joanna L/0000-0002-7731-605X; Colinet, hervé/0000-0002-8806-3107; RENAULT, David/0000-0003-3644-1759; Teets, Nicholas/0000-0003-0963-7457</t>
  </si>
  <si>
    <t>National Science Foundation [OPP-ANT-0837613, ANT-0837559]; French Polar Institute (Institut Polaire Francais Paul-Emile Victor) [136]; Office of Polar Programs (OPP); Directorate For Geosciences [0837559, 0837613] Funding Source: National Science Foundation</t>
  </si>
  <si>
    <t>National Science Foundation(National Science Foundation (NSF)); French Polar Institute (Institut Polaire Francais Paul-Emile Victor); Office of Polar Programs (OPP); Directorate For Geosciences(National Science Foundation (NSF)NSF - Directorate for Geosciences (GEO))</t>
  </si>
  <si>
    <t>We thank the staff of Palmer Station for support during our field season. We also acknowledge Asela Wijeratne and members of the Ohio Agricultural Research and Development Center Molecular and Cellular Imaging Center for running the sequencing reactions. We appreciate input from Xiaodong Bai during the initial planning phase of this study, and we thank Martin Holmstrup (Aarhus University) and Melody Clark (British Antarctic Survey) for critically reading the paper. We acknowledge Vanessa Larvor for technical assistance in the GC-MS experiments. This work was supported by National Science Foundation OPP-ANT-0837613 and ANT-0837559. Funding for the metabolomics experiments was provided by the French Polar Institute (Institut Polaire Francais Paul-Emile Victor 136) and is linked with the Scientific Committee on Antarctic Research Evolution and Biodiversity in the Antarctic research program.</t>
  </si>
  <si>
    <t>1091-6490</t>
  </si>
  <si>
    <t>10.1073/pnas.1218661109</t>
  </si>
  <si>
    <t>WOS:000312605600117</t>
  </si>
  <si>
    <t>Alvarez-Muñiz, J; Carvalho, WR; Romero-Wolf, A; Tueros, M; Zas, E</t>
  </si>
  <si>
    <t>Alvarez-Muniz, Jaime; Carvalho, Washington R., Jr.; Romero-Wolf, Andres; Tueros, Matias; Zas, Enrique</t>
  </si>
  <si>
    <t>Coherent radiation from extensive air showers in the ultrahigh frequency band</t>
  </si>
  <si>
    <t>PHYSICAL REVIEW D</t>
  </si>
  <si>
    <t>MONTE-CARLO SIMULATIONS; RADIO PULSES; EMISSION</t>
  </si>
  <si>
    <t>Using detailed Monte Carlo simulations we have characterized the features of the radio emission of inclined air showers in the ultrahigh frequency band (300 MHz-3 GHz). The Fourier spectrum of the radiation is shown to have a sizable intensity well into the GHz frequency range. The emission is mainly due to transverse currents induced by the geomagnetic field and the excess charge produced by the Askaryan effect. At these frequencies only a significantly reduced volume of the shower around the axis contributes coherently to the signal observed on the ground. The size of the coherently emitting volume depends on frequency, shower geometry and observer position, and is interpreted in terms of the relative time delays at observation dominated by the curvature of the shower front. At ground level, the maximum emission at high frequencies is concentrated in an elliptical ringlike region around the intersection of a Cherenkov cone with its vertex at shower maximum and the ground. The frequency spectrum of inclined showers when observed at positions that view shower maximum in the Cherenkov direction, is shown to be in broad agreement with the pulses detected by the Antarctic Impulsive Transient Antenna experiment, making the interpretation that they are due to ultrahigh energy cosmic ray atmospheric showers consistent with our simulations. These results are also of great importance for experiments aiming to detect molecular bremsstrahlung radiation in the GHz range as they present an important background for its detection. DOI: 10.1103/PhysRevD.86.123007</t>
  </si>
  <si>
    <t>[Alvarez-Muniz, Jaime; Carvalho, Washington R., Jr.; Tueros, Matias; Zas, Enrique] Univ Santiago de Compostela, Dept Fis Particulas, Santiago De Compostela 15782, Spain; [Alvarez-Muniz, Jaime; Carvalho, Washington R., Jr.; Tueros, Matias; Zas, Enrique] Univ Santiago de Compostela, Inst Galego Fis Altas Enerxias, Santiago De Compostela 15782, Spain; [Romero-Wolf, Andres] CALTECH, Jet Prop Lab, Pasadena, CA 91109 USA</t>
  </si>
  <si>
    <t>Universidade de Santiago de Compostela; Universidade de Santiago de Compostela; California Institute of Technology; National Aeronautics &amp; Space Administration (NASA); NASA Jet Propulsion Laboratory (JPL)</t>
  </si>
  <si>
    <t>Alvarez-Muñiz, J (corresponding author), Univ Santiago de Compostela, Dept Fis Particulas, Santiago De Compostela 15782, Spain.</t>
  </si>
  <si>
    <t>Carvalho Jr., Washington/H-9855-2015; Alvarez-Muniz, Jaime/H-1857-2015; de Paula Carvalho, Wagner/V-3343-2019; Zas, Enrique/I-5556-2015</t>
  </si>
  <si>
    <t>Carvalho Jr., Washington/0000-0002-2328-7628; Alvarez-Muniz, Jaime/0000-0002-2367-0803; de Paula Carvalho, Wagner/0000-0003-0738-6615; Tueros, Matias/0000-0003-1570-1419; Zas, Enrique/0000-0002-4430-8117</t>
  </si>
  <si>
    <t>Xunta de Galicia [INCITE09 206 336 PR]; Conselleria de Educacion (Grupos de Referencia Competitivos-Consolider Xunta de Galicia) [2006/51]; Ministerio de Educacion, Cultura y Deporte [FPA 2010-18410]; ASPERA-AugerNext [PRI-PIMASP-2011-1154]; Feder Funds, Spain</t>
  </si>
  <si>
    <t>Xunta de Galicia(Xunta de Galicia); Conselleria de Educacion (Grupos de Referencia Competitivos-Consolider Xunta de Galicia); Ministerio de Educacion, Cultura y Deporte(Spanish Government); ASPERA-AugerNext; Feder Funds, Spain(European Union (EU)Spanish Government)</t>
  </si>
  <si>
    <t>J.A.-M., W.R.C., M.T., and E.Z. thank Xunta de Galicia (INCITE09 206 336 PR) and Conselleria de Educacion (Grupos de Referencia Competitivos-Consolider Xunta de Galicia 2006/51); Ministerio de Educacion, Cultura y Deporte (FPA 2010-18410 and Consolider CPAN-Ingenio 2010); ASPERA-AugerNext (PRI-PIMASP-2011-1154) and Feder Funds, Spain. We thank Centro de SuperComputacion de Galicia (CESGA) for computing resources. Part of this research was carried out at the Jet Propulsion Laboratory, California Institute of Technology, under a contract with the National Aeronautics and Space Administration.</t>
  </si>
  <si>
    <t>AMER PHYSICAL SOC</t>
  </si>
  <si>
    <t>COLLEGE PK</t>
  </si>
  <si>
    <t>ONE PHYSICS ELLIPSE, COLLEGE PK, MD 20740-3844 USA</t>
  </si>
  <si>
    <t>1550-7998</t>
  </si>
  <si>
    <t>1550-2368</t>
  </si>
  <si>
    <t>PHYS REV D</t>
  </si>
  <si>
    <t>Phys. Rev. D</t>
  </si>
  <si>
    <t>DEC 10</t>
  </si>
  <si>
    <t>10.1103/PhysRevD.86.123007</t>
  </si>
  <si>
    <t>Astronomy &amp; Astrophysics; Physics, Particles &amp; Fields</t>
  </si>
  <si>
    <t>050PT</t>
  </si>
  <si>
    <t>WOS:000312067200002</t>
  </si>
  <si>
    <t>George, A</t>
  </si>
  <si>
    <t>George, Alison</t>
  </si>
  <si>
    <t>Last march of the penguins</t>
  </si>
  <si>
    <t>NEW SCIENTIST</t>
  </si>
  <si>
    <t>[George, Alison] British Antarctic Survey, London, England</t>
  </si>
  <si>
    <t>REED BUSINESS INFORMATION LTD</t>
  </si>
  <si>
    <t>SUTTON</t>
  </si>
  <si>
    <t>QUADRANT HOUSE THE QUADRANT, SUTTON SM2 5AS, SURREY, ENGLAND</t>
  </si>
  <si>
    <t>0262-4079</t>
  </si>
  <si>
    <t>NEW SCI</t>
  </si>
  <si>
    <t>New Sci.</t>
  </si>
  <si>
    <t>DEC 8</t>
  </si>
  <si>
    <t>10.1016/S0262-4079(12)63143-1</t>
  </si>
  <si>
    <t>052BW</t>
  </si>
  <si>
    <t>WOS:000312173700036</t>
  </si>
  <si>
    <t>McKibben, SM; Strutton, PG; Foley, DG; Peterson, TD; White, AE</t>
  </si>
  <si>
    <t>McKibben, S. M.; Strutton, P. G.; Foley, D. G.; Peterson, T. D.; White, A. E.</t>
  </si>
  <si>
    <t>Satellite-based detection and monitoring of phytoplankton blooms along the Oregon coast</t>
  </si>
  <si>
    <t>CALIFORNIA CURRENT SYSTEM; NORTHEAST PACIFIC; FISH PRODUCTION; ORGANIC-MATTER; OCEAN; ECOSYSTEM; MODIS; VALIDATION; ALGORITHMS; DYNAMICS</t>
  </si>
  <si>
    <t>We have applied a normalized difference algorithm to 8 day composite chlorophyll-a (CHL) and fluorescence line height (FLH) imagery obtained from the Moderate Resolution Imaging Spectroradiometer aboard the Aqua spacecraft in order to detect and monitor phytoplankton blooms in the Oregon coastal region. The resulting bloom products, termed CHLrel and FLHrel, respectively, describe the onset and advection of algal blooms as a function of the percent relative change observed in standard 8 day CHL or FLH imagery over time. Bloom product performance was optimized to consider local time scales of biological variability (days) and cloud cover. Comparison of CHLrel and FLHrel retrievals to in situ mooring data collected off the central Oregon coast from summer 2009 through winter 2010 shows that the products are a robust means to detect bloom events during the summer upwelling season. Evaluation of winter performance was inconclusive due to persistent cloud cover and limited in situ chl-a records. Pairing the products with coincident in situ physical proxies provides a tool to elucidate the conditions that induce bloom onset and identify the physical mechanisms that affect bloom advection, persistence, and decay. These products offer an excellent foundation for remote bloom detection and monitoring in this region, and the methods developed herein are applicable to any region with sufficient CHL and FLH coverage. Citation: McKibben, S. M., P. G. Strutton, D. G. Foley, T. D. Peterson, and A. E. White (2012), Satellite-based detection and monitoring of phytoplankton blooms along the Oregon coast, J. Geophys. Res., 117, C12002, doi: 10.1029/2012JC008114.</t>
  </si>
  <si>
    <t>[McKibben, S. M.; White, A. E.] Oregon State Univ, Coll Earth Ocean &amp; Atmospher Sci, Corvallis, OR 97330 USA; [Strutton, P. G.] Univ Tasmania, Inst Marine &amp; Antarctic Studies, Hobart, Tas, Australia; [Foley, D. G.] NOAA, Div Environm Res, SW Fisheries Sci Ctr, Pacific Grove, CA USA; [Peterson, T. D.] Oregon Hlth &amp; Sci Univ, Div Environm &amp; Biomol Syst, Inst Environm Hlth, Beaverton, OR USA</t>
  </si>
  <si>
    <t>Oregon State University; University of Tasmania; National Oceanic Atmospheric Admin (NOAA) - USA; Oregon Health &amp; Science University</t>
  </si>
  <si>
    <t>McKibben, SM (corresponding author), Oregon State Univ, Coll Earth Ocean &amp; Atmospher Sci, 103 CEOAS Adm Bldg, Corvallis, OR 97330 USA.</t>
  </si>
  <si>
    <t>morgaine@coas.oregonstate.edu</t>
  </si>
  <si>
    <t>Strutton, Peter/C-4466-2011</t>
  </si>
  <si>
    <t>Strutton, Peter/0000-0002-2395-9471; White, angelicque/0000-0002-0938-7948</t>
  </si>
  <si>
    <t>National Oceanic and Atmospheric Administration (NOAA) from the Monitoring and Event Response for Harmful Algal Blooms (MERHAB) program [NA07NOS4780195]; NOAA Oceans and Human Health grant [NA04OAR4600202]; [NA08NES4400013]</t>
  </si>
  <si>
    <t>National Oceanic and Atmospheric Administration (NOAA) from the Monitoring and Event Response for Harmful Algal Blooms (MERHAB) program(National Oceanic Atmospheric Admin (NOAA) - USA); NOAA Oceans and Human Health grant(National Oceanic Atmospheric Admin (NOAA) - USA);</t>
  </si>
  <si>
    <t>This study was supported by National Oceanic and Atmospheric Administration (NOAA) grant NA07NOS4780195 from the Monitoring and Event Response for Harmful Algal Blooms (MERHAB) program and NA08NES4400013 to the Cooperative Institute for Oceanographic Satellite Studies. This is MERHAB publication 165. Thank you to Stephen Pierce and Wiley Evans for data provided and to Michelle Wood for helpful discussion. Initial concept of chlorophyll anomaly product development for Oregon was supported by NOAA Oceans and Human Health grant NA04OAR4600202. The statements, findings, conclusions, and recommendations are those of the authors and do not necessarily reflect the views of the National Oceanic and Atmospheric Administration or the Department of Commerce.</t>
  </si>
  <si>
    <t>DEC 7</t>
  </si>
  <si>
    <t>C12002</t>
  </si>
  <si>
    <t>10.1029/2012JC008114</t>
  </si>
  <si>
    <t>050ZN</t>
  </si>
  <si>
    <t>WOS:000312093700002</t>
  </si>
  <si>
    <t>Nai, YH; Powell, SM; Breadmore, MC</t>
  </si>
  <si>
    <t>Nai, Yi H.; Powell, Shane M.; Breadmore, Michael C.</t>
  </si>
  <si>
    <t>Capillary electrophoretic system of ribonucleic acid molecules</t>
  </si>
  <si>
    <t>JOURNAL OF CHROMATOGRAPHY A</t>
  </si>
  <si>
    <t>Capillary electrophoresis; Sieving electrophoresis; Sieving polymer; DNA; Laser-induced fluorescence; RNA; Denaturant; Hybridization probe</t>
  </si>
  <si>
    <t>DIRECT QUANTIFICATION; DNA SEPARATIONS; RNA SEPARATION; STRANDED-DNA; OLIGONUCLEOTIDES; MICRORNA; FRAGMENTS; PRODUCTS; CELLS</t>
  </si>
  <si>
    <t>Over the past two decades, capillary electrophoresis (CE) has been the subject of extensive development and progress in various DNA based sieving electrophoresis applications, namely Sanger sequencing. forensic short tandem repeat (STR) analysis, clinical genotype screening (SNP). and phylogenetic fingerprinting. Yet, this trend has not been emulated in the RNA field. This review will highlight the development and key analysis parameters of RNA electrophoresis by CE and provide possible explanations for the low research interest in this area. (C) 2012 Elsevier B.V. All rights reserved.</t>
  </si>
  <si>
    <t>[Nai, Yi H.; Breadmore, Michael C.] Univ Tasmania, Sch Chem, Australian Ctr Res Separat Sci ACROSS, Hobart, Tas 7001, Australia; [Powell, Shane M.] Univ Tasmania, Tasmanian Inst Agr TIA, Hobart, Tas 7001, Australia</t>
  </si>
  <si>
    <t>Breadmore, MC (corresponding author), Univ Tasmania, Sch Chem, Australian Ctr Res Separat Sci ACROSS, Private Bag 75, Hobart, Tas 7001, Australia.</t>
  </si>
  <si>
    <t>mcb@utas.edu.au</t>
  </si>
  <si>
    <t>Powell, Shane M/C-2391-2014; Breadmore, Michael/J-7628-2014</t>
  </si>
  <si>
    <t>Powell, Shane/0000-0001-5082-1630; Nai, Ryan/0000-0003-4998-7574; Breadmore, Michael/0000-0001-5591-4326</t>
  </si>
  <si>
    <t>University of Tasmania; Australian Research Council [DP0984745]; Australian Antarctic Division through Australia Antarctic science program grant; Australian Research Council [DP0984745] Funding Source: Australian Research Council</t>
  </si>
  <si>
    <t>University of Tasmania; Australian Research Council(Australian Research Council); Australian Antarctic Division through Australia Antarctic science program grant; Australian Research Council(Australian Research Council)</t>
  </si>
  <si>
    <t>The authors would like to acknowledge the University of Tasmania for Tasmania Postgraduate Research Scholarship awarded to YHN and the Australian Research Council for funding and provision of a QEII Fellowship (DP0984745) to MCB. This study was supported by the Australian Antarctic Division through Australia Antarctic science program grant.</t>
  </si>
  <si>
    <t>0021-9673</t>
  </si>
  <si>
    <t>1873-3778</t>
  </si>
  <si>
    <t>J CHROMATOGR A</t>
  </si>
  <si>
    <t>J. Chromatogr. A</t>
  </si>
  <si>
    <t>10.1016/j.chroma.2012.08.017</t>
  </si>
  <si>
    <t>044XI</t>
  </si>
  <si>
    <t>WOS:000311658100002</t>
  </si>
  <si>
    <t>Schmidt-Roach, S; Miller, KJ; Woolsey, E; Gerlach, G; Baird, AH</t>
  </si>
  <si>
    <t>Schmidt-Roach, Sebastian; Miller, Karen J.; Woolsey, Erika; Gerlach, Gabriele; Baird, Andrew H.</t>
  </si>
  <si>
    <t>Broadcast Spawning by Pocillopora Species on the Great Barrier Reef</t>
  </si>
  <si>
    <t>ASEXUAL REPRODUCTION; GENOTYPIC DIVERSITY; LUNAR PERIODICITY; GENETIC-STRUCTURE; EASTERN PACIFIC; CORALS; POPULATIONS; DAMICORNIS; PATTERNS; SCLERACTINIA</t>
  </si>
  <si>
    <t>The coral genus Pocillopora is one of the few to include some species that broadcast spawn gametes and some species that brood larvae, although reports of reproductive mode and timing vary within and among species across their range. Notably, the ubiquitous Pocillopora damicornis has been described as both a brooder and spawner, although evidence of broadcast spawning is rare. Here, we report observations of broadcast-spawning in four species of Pocillopora on the Great Barrier Reef (GBR), including P. damicornis. All species spawned predictably during the early morning, two days following the full moon, and spawning was observed in multiple months over the summer period (November to February). Eggs and sperm were free-spawned concurrently. Eggs were negatively buoyant and contained Symbiodinium. This newfound knowledge on the mode, timing and regularity of broadcast spawning in Pocillopora spp. on the GBR brings us one step closer to elucidating the complex reproductive ecology of these species.</t>
  </si>
  <si>
    <t>[Schmidt-Roach, Sebastian; Miller, Karen J.] Univ Tasmania, Inst Marine &amp; Antarctic Studies, Hobart, Tas, Australia; [Schmidt-Roach, Sebastian] Australian Inst Marine Sci, Townsville, Qld 4810, Australia; [Woolsey, Erika; Baird, Andrew H.] James Cook Univ, Australian Res Council Ctr Excellence Coral Reef, Townsville, Qld 4811, Australia; [Gerlach, Gabriele] Carl von Ossietzky Univ Oldenburg, Inst Biol &amp; Environm Sci, D-2900 Oldenburg, Germany</t>
  </si>
  <si>
    <t>University of Tasmania; Australian Institute of Marine Science; James Cook University; Carl von Ossietzky Universitat Oldenburg</t>
  </si>
  <si>
    <t>Schmidt-Roach, S (corresponding author), Univ Tasmania, Inst Marine &amp; Antarctic Studies, Hobart, Tas, Australia.</t>
  </si>
  <si>
    <t>s.schmidt-roach@aims.gov.au</t>
  </si>
  <si>
    <t>Schmidt-Roach, Sebastian/N-7129-2013; Miller, Karen/V-4098-2019; Baird, Andrew Hamilton/C-8449-2009; Miller, Karen/A-7902-2011; Gerlach, Gabriele/K-5919-2012</t>
  </si>
  <si>
    <t>Baird, Andrew Hamilton/0000-0001-8504-4077; Woolsey, Erika/0000-0002-5339-3499; Gerlach, Gabriele/0000-0001-5246-944X</t>
  </si>
  <si>
    <t>Commonwealth Environment Research Facilities (CERF) program; Australian Government initiative supporting world class, public good research; Winifred Violet Scott Estate Trust; Endeavour International Postgraduate Research Scholarship (EIPRS); CERF Marine Biodiversity Hub scholarship</t>
  </si>
  <si>
    <t>Commonwealth Environment Research Facilities (CERF) program; Australian Government initiative supporting world class, public good research(Australian Government); Winifred Violet Scott Estate Trust; Endeavour International Postgraduate Research Scholarship (EIPRS)(Australian Government); CERF Marine Biodiversity Hub scholarship</t>
  </si>
  <si>
    <t>This work has been funded through the Commonwealth Environment Research Facilities (CERF) program, an Australian Government initiative supporting world class, public good research. The CERF Marine Biodiversity Hub is a collaborative partnership between the University of Tasmania, CSIRO Wealth from Oceans Flagship, Geoscience Australia, Australian Institute of Marine Science and Museum Victoria. Additionally this study was kindly supported by a research award from the Winifred Violet Scott Estate Trust. S. S-R is also supported by an Endeavour International Postgraduate Research Scholarship (EIPRS) and CERF Marine Biodiversity Hub scholarship. The funders had no role in study design, data collection and analysis, decision to publish, or preparation of the manuscript.</t>
  </si>
  <si>
    <t>DEC 5</t>
  </si>
  <si>
    <t>e50847</t>
  </si>
  <si>
    <t>10.1371/journal.pone.0050847</t>
  </si>
  <si>
    <t>057TZ</t>
  </si>
  <si>
    <t>WOS:000312588200076</t>
  </si>
  <si>
    <t>Piani, L; Remusat, L; Robert, F</t>
  </si>
  <si>
    <t>Piani, Laurette; Remusat, Laurent; Robert, Francois</t>
  </si>
  <si>
    <t>Determination of the H Isotopic Composition of Individual Components in Fine-Scale Mixtures of Organic Matter and Phyllosilicates with the Nanoscale Secondary Ion Mass Spectrometry</t>
  </si>
  <si>
    <t>ANALYTICAL CHEMISTRY</t>
  </si>
  <si>
    <t>CARBONACEOUS CHONDRITES; METEORITES; HYDROGEN; ORGUEIL; ORIGIN; SEMARKONA; EVOLUTION</t>
  </si>
  <si>
    <t>When organic matter is mixed on a nanometer scale with clay minerals, the individual D/H ratios of the two H-bearing phases cannot be directly measured even with the nominal spatial resolution of nanoscale secondary ion mass spectrometry (NanoSIMS, 50-100 nm). To overcome this limitation, a new analytical protocol is proposed based on the deconvolution of the D-/H- and (OD-)-O-16/(OH-)-O-16 ionic ratios measured by NanoSIMS. Indeed, since the yields of H- and (OH-)-O-16 are different for organics and clays, it should be theoretically possible to determine the mixing ratio of these two components in the area analyzed by the ion probe. Using organics with different D/H ratios, the interdependence of the D-/H- and (OD-)-O-16/(OH-)-O-16 ionic ratios was determined in pure samples. Then using the H- and (OH-)-O-16 yields and the isotopic ratios measured on pure organic matter and clays, the expected D-/H- and (OD-)-O-16/(OH-)-O-16 variations as a function of the mixing proportions were determined. These numerical predictions are consistent with measurements on laboratory prepared mixtures of D-rich organic matter and D-poor phyllosilicates, validating both the proposed experimental protocol and its use for meteorites. With an improvement of the precision of the ionic ratios by a factor of 10, it should possible to expend this protocol to samples having natural terrestrial D/H variations. Such an improvement could be attainable with the development of synthetic deuterated reference samples.</t>
  </si>
  <si>
    <t>[Piani, Laurette; Remusat, Laurent; Robert, Francois] Museum Natl Hist Nat, Lab Mineral &amp; Cosmochim Museum LMCM, F-75005 Paris, France</t>
  </si>
  <si>
    <t>Museum National d'Histoire Naturelle (MNHN)</t>
  </si>
  <si>
    <t>Piani, L (corresponding author), Museum Natl Hist Nat, Lab Mineral &amp; Cosmochim Museum LMCM, 61 Rue Buffon, F-75005 Paris, France.</t>
  </si>
  <si>
    <t>piani@crpg.cnrs-nancy.fr</t>
  </si>
  <si>
    <t>IMPMC, ROCKS @/U-8478-2017; Piani, Laurette/J-9541-2016; Remusat, Laurent/A-8298-2016; Piani, Laurette/S-2249-2019</t>
  </si>
  <si>
    <t>Piani, Laurette/0000-0003-0854-7468; Piani, Laurette/0000-0003-0854-7468</t>
  </si>
  <si>
    <t>Programme National de Planetologie (PNP INSU); ANR T-Tauri Chem; CNRS; Region Ile de France, Ministere delegue a l'Enseignement superieur et a la Recherche; Museum National d'Histoire Naturelle</t>
  </si>
  <si>
    <t>Programme National de Planetologie (PNP INSU); ANR T-Tauri Chem(Agence Nationale de la Recherche (ANR)); CNRS(Centre National de la Recherche Scientifique (CNRS)); Region Ile de France, Ministere delegue a l'Enseignement superieur et a la Recherche(Region Ile-de-France); Museum National d'Histoire Naturelle</t>
  </si>
  <si>
    <t>We gratefully thank the Antarctic meteorite collection curators who have provided us with the GRO95502 ordinary chondrite and the members of the Bioemco laboratory (UPMC Paris) for their help during the IOM isolation. Aurelien Thomen, Anders Meibom, and Roger Hewins are thanked for helpful discussions and manuscript corrections. We are really grateful to the anonymous reviewers for their comments and reviews that helped us to clarify and improve the manuscript and to Editor-in-Chief Jonathan V. Sweedler for careful editing. This work has been supported by the Programme National de Planetologie (PNP INSU) and the ANR T-Tauri Chem. The National NanoSIMS facility at the Museum National d'Histoire Naturelle was established by funds from the CNRS, Region Ile de France, Ministere delegue a l'Enseignement superieur et a la Recherche, and the Museum itself.</t>
  </si>
  <si>
    <t>0003-2700</t>
  </si>
  <si>
    <t>1520-6882</t>
  </si>
  <si>
    <t>ANAL CHEM</t>
  </si>
  <si>
    <t>Anal. Chem.</t>
  </si>
  <si>
    <t>DEC 4</t>
  </si>
  <si>
    <t>10.1021/ac301099u</t>
  </si>
  <si>
    <t>Chemistry, Analytical</t>
  </si>
  <si>
    <t>047CM</t>
  </si>
  <si>
    <t>WOS:000311815300010</t>
  </si>
  <si>
    <t>Broecker, W; Putnam, AE</t>
  </si>
  <si>
    <t>Broecker, Wally; Putnam, Aaron E.</t>
  </si>
  <si>
    <t>How did the hydrologic cycle respond to the two-phase mystery interval?</t>
  </si>
  <si>
    <t>Mystery interval</t>
  </si>
  <si>
    <t>HIGH-RESOLUTION RECORD; GREAT-BASIN; RADIOCARBON CHRONOLOGY; HULU CAVE; LAKE; C-14; ATLANTIC; CIRCULATION; BONNEVILLE; ALTIPLANO</t>
  </si>
  <si>
    <t>Lake Estancia's transition from a Big Dry episode during the first half of the Mystery Interval to a Big Wet episode during the second half has equivalents in records from across the planet. At the time of this transition, Chinese monsoons experienced pronounced weakening, closed-basin lakes in both the Great Basin of the western United States and in the southern Altiplano of South America underwent a major expansion, mountain glaciers in Southern Hemisphere middle latitudes had retreated, and the rates of increase of CO2 and of delta O-18 in Antarctic ice underwent a decrease. Finally, the precipitous drop in dust rain over Antarctica and the Southern Ocean terminated as did a similar drop in the C-13 to C-12 ratio in atmospheric CO2. These changes are consistent with a southward shift of the thermal equator. The cause of such a shift is thought to be an expansion of sea ice caused by a shutdown in deep water production in the northern Atlantic. This creates a dilemma because a similar southward shift is an expected consequence of the Heinrich event #1 which initiated the Mystery Interval. (C) 2012 Elsevier Ltd. All rights reserved.</t>
  </si>
  <si>
    <t>[Broecker, Wally; Putnam, Aaron E.] Columbia Univ, Lamont Doherty Earth Observ, Palisades, NY 10964 USA</t>
  </si>
  <si>
    <t>Broecker, W (corresponding author), Columbia Univ, Lamont Doherty Earth Observ, 61 Route 9W,POB 1000, Palisades, NY 10964 USA.</t>
  </si>
  <si>
    <t>broecker@ldeo.columbia.edu</t>
  </si>
  <si>
    <t>Putnam, Aaron/0000-0002-5358-1473</t>
  </si>
  <si>
    <t>10.1016/j.quascirev.2012.09.024</t>
  </si>
  <si>
    <t>054PO</t>
  </si>
  <si>
    <t>WOS:000312355900002</t>
  </si>
  <si>
    <t>McKinnon, KA; Mackintosh, AN; Anderson, BM; Barrell, DJA</t>
  </si>
  <si>
    <t>McKinnon, Karen A.; Mackintosh, Andrew N.; Anderson, Brian M.; Barrell, David J. A.</t>
  </si>
  <si>
    <t>The influence of sub-glacial bed evolution on ice extent: a model-based evaluation of the Last Glacial Maximum Pukaki glacier, New Zealand</t>
  </si>
  <si>
    <t>Glacier bed profiles; Glacier modeling; Paleoclimate; New Zealand; Last Glacial Maximum</t>
  </si>
  <si>
    <t>SOUTHERN ALPS; TASMAN GLACIER; CLIMATE SENSITIVITY; CRUSTAL STRUCTURE; LAKE PUKAKI; OHAU RANGE; TEMPERATURE; EROSION; RECORD; ISLAND</t>
  </si>
  <si>
    <t>A potential complication in using glacier extent to estimate paleoclimatic conditions is the influence of glacier bed evolution on changes in ice extent over time. Here, we examine this issue through model-based reconstructions of the Last Glacial Maximum (LGM) Pukaki glacier, Southern Alps, New Zealand, whose LGM extents are exceptionally well defined by lateral and terminal moraines. Using the well-dated moraine limits as an empirical constraint on maximum ice extents, we employ a one-dimensional glacier flowline model driven by a mass balance model in order to evaluate the influence of climate and glacier bed profile on the extent of the LGM Pukaki glacier. The LGM glacier bed is buried by Lateglacial and post-glacial sediment, so we calculate bed profiles using a modified version of the one-dimensional model and available geologic constraints. A best fit to the moraine record occurs with a LGM temperature of 7-8 degrees C cooler than present, with precipitation ranging from 80% to 100% of present levels. Modeling of the bed profile evolution indicates that bed changes alone could account for kilometer-scale changes in glacier width and length. (C) 2012 Elsevier Ltd. All rights reserved.</t>
  </si>
  <si>
    <t>[McKinnon, Karen A.] Harvard Univ, Cambridge, MA 02138 USA; [McKinnon, Karen A.; Mackintosh, Andrew N.; Anderson, Brian M.] Victoria Univ Wellington, Antarctic Res Ctr, Wellington 6140, New Zealand; [Barrell, David J. A.] GNS Sci, Dunedin 9054, New Zealand</t>
  </si>
  <si>
    <t>Harvard University; Victoria University Wellington; GNS Science - New Zealand</t>
  </si>
  <si>
    <t>McKinnon, KA (corresponding author), Harvard Univ, 20 Oxford St, Cambridge, MA 02138 USA.</t>
  </si>
  <si>
    <t>mckinnon@fas.harvard.edu</t>
  </si>
  <si>
    <t>McKinnon, Karen/IAR-7268-2023</t>
  </si>
  <si>
    <t>McKinnon, Karen/0000-0003-3314-8442; Mackintosh, Andrew/0000-0002-6430-4711</t>
  </si>
  <si>
    <t>Packard Foundation; NSF GRFP; NZ MSI</t>
  </si>
  <si>
    <t>Packard Foundation(The David &amp; Lucile Packard Foundation); NSF GRFP(National Science Foundation (NSF)NSF - Office of the Director (OD)); NZ MSI</t>
  </si>
  <si>
    <t>Funding for KAM was provided through the Packard Foundation and the NSF GRFP. ANM and BMA were supported by NZ MSI Program ANZICE. DJAB was supported by the NZ MSI Program Margins - Source to sink. KAM thanks Alice Doughty, Mike Kaplan, George Denton and Aaron Putnam for their insight into the Pukaki catchment, Nicholas Golledge for discussions regarding glacier modeling, Euan Smith and Richard Alley for comments on a previous version of this work, Peter Huybers for manuscript comments and revisions, and Andreas Vieli and Ann Rowan for their constructive reviews.</t>
  </si>
  <si>
    <t>10.1016/j.quascirev.2012.10.002</t>
  </si>
  <si>
    <t>WOS:000312355900004</t>
  </si>
  <si>
    <t>Di Nicola, L; Baroni, C; Strasky, S; Salvatore, MC; Schlüchter, C; Akçar, N; Kubik, PW; Wieler, R</t>
  </si>
  <si>
    <t>Di Nicola, Luigia; Baroni, Carlo; Strasky, Stefan; Salvatore, Maria Cristina; Schluechter, Christian; Akcar, Naki; Kubik, Peter W.; Wieler, Rainer</t>
  </si>
  <si>
    <t>Multiple cosmogenic nuclides document the stability of the East Antarctic Ice Sheet in northern Victoria Land since the Late Miocene (5-7 Ma)</t>
  </si>
  <si>
    <t>Antarctica; Northern Victoria Land; Multiple cosmogenic nuclide approach; Exposure ages; Glacial geomorphology; Erosion rate; Climate stability of East Antarctic Ice Sheet</t>
  </si>
  <si>
    <t>TERRA-NOVA BAY; SURFACE EXPOSURE AGES; ROSS SEA REGION; TRANSANTARCTIC-MOUNTAINS; PRODUCTION-RATES; DRY VALLEYS; HALF-LIFE; LANDSCAPE EVOLUTION; BEACON SUPERGROUP; TERRESTRIAL ROCKS</t>
  </si>
  <si>
    <t>The timing and amplitude of changes in the Antarctic ice level are relevant to understanding past climate fluctuations and ongoing changes in the global climate and sea levels. In this study, we present surface exposure ages based on in situ produced cosmogenic Be-10 and Ne-21 in the bedrock samples of glacially eroded relict surfaces from the Deep Freeze Range, northern Victoria Land. The proximity of this region to the East Antarctic Ice Sheet indicates that the area is sensitive to variations in inland ice volume, permitting the investigation of the behavioural relationship between the East Antarctic Ice Sheet and the alpine glacial system in northern Victoria Land. Dating erosional surfaces provides a precise chronology of northern Victoria Land paleoclimate evolution and allows us to correlate the East Antarctic Ice Sheet response to global climate events and local ice level variations. The Be-10 and Ne-21 concentrations from the highest peaks of the Deep Freeze Range strongly indicate that the relict landscape features were continuously exposed for 5-7 Ma. Denudation rates inferred from our data show that the erosion rate of the summits has been extremely low (similar to 5 cm/Ma) for at least 5-7 Ma. Along with evidence of persistent climate stability (cold and arid conditions) from other sectors of the Transantarctic Mountains. our results indicate that the transition from the wet-based to the cold-based glacial regime in northern Victoria Land occurred after the creation of the polar East Antarctic Ice Sheet in the Middle Miocene. (C) 2012 Elsevier Ltd. All rights reserved.</t>
  </si>
  <si>
    <t>[Di Nicola, Luigia] SUERC, E Kilbride G75 0QF, Lanark, Scotland; [Baroni, Carlo; Salvatore, Maria Cristina] Univ Pisa, Dipartimento Sci Terra, I-56126 Pisa, Italy; [Baroni, Carlo] CNR, Ist Geosci &amp; Georisorse, I-56126 Pisa, Italy; [Strasky, Stefan; Wieler, Rainer] ETH, Inst Geochem &amp; Petrol, CH-8092 Zurich, Switzerland; [Schluechter, Christian; Akcar, Naki] Univ Bern, Inst Geol Sci, CH-3012 Bern, Switzerland; [Kubik, Peter W.] ETH, Lab Ion Beam Phys, CH-8093 Zurich, Switzerland</t>
  </si>
  <si>
    <t>Scottish Universities Research &amp; Reactor Center; University of Pisa; Consiglio Nazionale delle Ricerche (CNR); Istituto di Geoscienze e Georisorse (IGG-CNR); Swiss Federal Institutes of Technology Domain; ETH Zurich; University of Bern; Swiss Federal Institutes of Technology Domain; ETH Zurich</t>
  </si>
  <si>
    <t>Di Nicola, L (corresponding author), SUERC, Rankine Ave,Scottish Enterprise Technol Pk, E Kilbride G75 0QF, Lanark, Scotland.</t>
  </si>
  <si>
    <t>l.dinicola@suerc.gla.ac.uk</t>
  </si>
  <si>
    <t>akcar, Naki/C-1417-2008; Salvatore, Maria Cristina/AAS-4000-2020; Baroni, Carlo/D-8184-2012; Wieler, Rainer/A-1355-2010</t>
  </si>
  <si>
    <t>akcar, Naki/0000-0002-5604-3179; Salvatore, Maria Cristina/0000-0002-1590-7284; Baroni, Carlo/0000-0001-5905-4650; Wieler, Rainer/0000-0001-5666-7494</t>
  </si>
  <si>
    <t>Italian National Program on Antarctic Research (PNRA); Swiss National Science Foundation [200020-105220/1]</t>
  </si>
  <si>
    <t>Italian National Program on Antarctic Research (PNRA)(Ministry of Education, Universities and Research (MIUR)); Swiss National Science Foundation(Swiss National Science Foundation (SNSF))</t>
  </si>
  <si>
    <t>This work was carried out through a joint research program of the School of Polar Science of Siena, Department of Earth Science of Pisa, the Institutes of Geological Science of Bern and ETH Zurich. The Italian National Program on Antarctic Research (PNRA) and the Swiss National Science Foundation supported this research (grant No. 200020-105220/1). We are thankful to Fin Stuart for his constructive review and useful suggestions, Angel Rodes for his support with the calculations and graphics, and to the American Journal Experts for reviewing the English text. Finally, the authors wish to thank an anonymous reviewer and Brent Goehring for their constructive and helpful comments.</t>
  </si>
  <si>
    <t>1873-457X</t>
  </si>
  <si>
    <t>10.1016/j.quascirev.2012.09.026</t>
  </si>
  <si>
    <t>WOS:000312355900007</t>
  </si>
  <si>
    <t>Giordano, D; Boron, I; Abbruzzetti, S; Van Leuven, W; Nicoletti, FP; Forti, F; Bruno, S; Cheng, CHC; Moens, L; di Prisco, G; Nadra, AD; Estrin, D; Smulevich, G; Dewilde, S; Viappiani, C; Verde, C</t>
  </si>
  <si>
    <t>Giordano, Daniela; Boron, Ignacio; Abbruzzetti, Stefania; Van Leuven, Wendy; Nicoletti, Francesco P.; Forti, Flavio; Bruno, Stefano; Cheng, C. -H. Christina; Moens, Luc; di Prisco, Guido; Nadra, Alejandro D.; Estrin, Dario; Smulevich, Giulietta; Dewilde, Sylvia; Viappiani, Cristiano; Verde, Cinzia</t>
  </si>
  <si>
    <t>Biophysical Characterisation of Neuroglobin of the Icefish, a Natural Knockout for Hemoglobin and Myoglobin. Comparison with Human Neuroglobin</t>
  </si>
  <si>
    <t>NITRIC-OXIDE; LIGAND-BINDING; MIGRATION PATHWAYS; NOTOTHENIOID FISH; SKELETAL-MUSCLE; HEME-PROTEINS; EXPRESSION; DYNAMICS; REVEALS; OXYGEN</t>
  </si>
  <si>
    <t>The Antarctic icefish Chaenocephalus aceratus lacks the globins common to most vertebrates, hemoglobin and myoglobin, but has retained neuroglobin in the brain. This conserved globin has been cloned, over-expressed and purified. To highlight similarities and differences, the structural features of the neuroglobin of this colourless-blooded fish were compared with those of the well characterised human neuroglobin as well as with the neuroglobin from the retina of the red blooded, hemoglobin and myoglobin-containing, closely related Antarctic notothenioid Dissostichus mawsoni. A detailed structural and functional analysis of the two Antarctic fish neuroglobins was carried out by UV-visible and Resonance Raman spectroscopies, molecular dynamics simulations and laser-flash photolysis. Similar to the human protein, Antarctic fish neuroglobins can reversibly bind oxygen and CO in the Fe2+ form, and show six-coordination by distal His in the absence of exogenous ligands. A very large and structured internal cavity, with discrete docking sites, was identified in the modelled three-dimensional structures of the Antarctic neuroglobins. Estimate of the free-energy barriers from laser-flash photolysis and Implicit Ligand Sampling showed that the cavities are accessible from the solvent in both proteins. Comparison of structural and functional properties suggests that the two Antarctic fish neuroglobins most likely preserved and possibly improved the function recently proposed for human neuroglobin in ligand multichemistry. Despite subtle differences, the adaptation of Antarctic fish neuroglobins does not seem to parallel the dramatic adaptation of the oxygen carrying globins, hemoglobin and myoglobin, in the same organisms.</t>
  </si>
  <si>
    <t>[Abbruzzetti, Stefania; Viappiani, Cristiano] Univ Parma, Dept Phys, NEST Ist Nanosci CNR, I-43100 Parma, Italy; [Giordano, Daniela; di Prisco, Guido; Verde, Cinzia] CNR, Inst Prot Biochem, I-80125 Naples, Italy; [Boron, Ignacio; Nadra, Alejandro D.; Estrin, Dario] Univ Buenos Aires, Fac Ciencias Exactas &amp; Nat, Dept Quim Biol, Buenos Aires, DF, Argentina; [Boron, Ignacio] Univ Buenos Aires, Fac Ciencias Exactas &amp; Nat, Dept Quim Inorgan Analit &amp; Quim Fis INQUIMAE CONI, Buenos Aires, DF, Argentina; [Van Leuven, Wendy; Moens, Luc; Dewilde, Sylvia] Univ Antwerp, Dept Biomed Sci, PPES, Antwerp, Belgium; [Nicoletti, Francesco P.; Smulevich, Giulietta] Univ Firenze, Dipartimento Chim Ugo Schiff, Sesto Fiorentino, FI, Italy; [Forti, Flavio] Univ Barcelona, Fac Farm, Dept Fis Quim, E-08028 Barcelona, Spain; [Forti, Flavio] Univ Barcelona, Inst Biomed, Barcelona, Spain; [Bruno, Stefano] Univ Parma, Dept Biochem &amp; Mol Biol, I-43100 Parma, Italy; [Cheng, C. -H. Christina] Univ Illinois, Dept Anim Biol, Urbana, IL 61801 USA; [Nadra, Alejandro D.] Univ Buenos Aires, Fac Ciencias Exactas &amp; Nat, Dept Fisiol Biol Mol &amp; Celular, Buenos Aires, DF, Argentina; [Smulevich, Giulietta] Consorzio Interuniv Ric Chim Met Sistemi Biol, Bari, Italy</t>
  </si>
  <si>
    <t>Consiglio Nazionale delle Ricerche (CNR); Istituto Nanoscienze (NANO-CNR); University of Parma; Consiglio Nazionale delle Ricerche (CNR); Istituto di Biochimica delle Proteine (IBP-CNR); University of Buenos Aires; University of Buenos Aires; University of Antwerp; University of Florence; University of Barcelona; University of Barcelona; University of Parma; University of Illinois System; University of Illinois Urbana-Champaign; University of Buenos Aires</t>
  </si>
  <si>
    <t>Viappiani, C (corresponding author), Univ Parma, Dept Phys, NEST Ist Nanosci CNR, I-43100 Parma, Italy.</t>
  </si>
  <si>
    <t>cristiano.viappiani@fis.unipr.it; c.verde@ibp.cnr.it</t>
  </si>
  <si>
    <t>abbruzzetti, stefania/AAE-5518-2020; Giordano, Daniela/AFK-7772-2022; Viappiani, Cristiano/AAC-7579-2019; Estrin, Dario/AAY-7549-2020; Boron, Ignacio/AAE-1965-2021; Nadra, Alejandro/A-5668-2009; Bruno, Stefano/A-4582-2011</t>
  </si>
  <si>
    <t>abbruzzetti, stefania/0000-0001-7685-8554; Giordano, Daniela/0000-0002-8891-6245; Viappiani, Cristiano/0000-0001-7470-4770; Smulevich, Giulietta/0000-0003-3021-8919; Nadra, Alejandro/0000-0002-7860-3245; VERDE, Cinzia/0000-0001-6185-282X; Estrin, Dario/0000-0002-5006-7225; Boron, Ignacio/0000-0003-3751-6724; Bruno, Stefano/0000-0002-7890-2472</t>
  </si>
  <si>
    <t>Italian National Programme for Antarctic Research (PNRA) [PdR 2009/C1.03]; National Science Foundation (NSF) [OPP 0636696]; Ministero degli Affari Esteri; Direzione generale per la promozione del sistema Paese (Progetti di Grande Rilevanza, Italia-Argentina); University of Buenos Aires [20020090300117]; Agencia Nacional de Promocion Cientifica y Tecnologica [PICT 732]; CONICET [PIP 02508]; European Union; Fund for Scientific Research (FWO); CNR; Agency for Innovation by Science and Technology (IWT, Belgium)</t>
  </si>
  <si>
    <t>Italian National Programme for Antarctic Research (PNRA); National Science Foundation (NSF)(National Science Foundation (NSF)); Ministero degli Affari Esteri(Ministry of Foreign Affairs and International Cooperation (Italy)); Direzione generale per la promozione del sistema Paese (Progetti di Grande Rilevanza, Italia-Argentina); University of Buenos Aires(University of Buenos Aires); Agencia Nacional de Promocion Cientifica y Tecnologica(ANPCyTSpanish Government); CONICET(Consejo Nacional de Investigaciones Cientificas y Tecnicas (CONICET)); European Union(European Union (EU)); Fund for Scientific Research (FWO)(FWO); CNR(Consiglio Nazionale delle Ricerche (CNR)); Agency for Innovation by Science and Technology (IWT, Belgium)(Institute for the Promotion of Innovation by Science and Technology in Flanders (IWT))</t>
  </si>
  <si>
    <t>This study has been supported by the Italian National Programme for Antarctic Research (PNRA) PdR 2009/C1.03, National Science Foundation (NSF) support-OPP 0636696, Ministero degli Affari Esteri, Direzione generale per la promozione del sistema Paese (Progetti di Grande Rilevanza, Italia-Argentina 2011-2013), University of Buenos Aires (20020090300117), http://www.uba.ar/ingles/index04.php, Agencia Nacional de Promocion Cientifica y Tecnologica (PICT 732), http://www.agencia.gov.ar/, CONICET (PIP 02508), http://www.conicet.gov.ar/, European Union Project FP7-Nostress and Fund for Scientific Research (FWO). DG acknowledges CNR for a Short-Term Mobility fellowship, http://www.cnr.it/sitocnr/home.html. Research of WVL is funded by a PhD grant of the Agency for Innovation by Science and Technology (IWT, Belgium), http://www.iwt.be/english/welcome. The funders had no role in study design, data collection and analysis, decision to publish, or preparation of the manuscript.</t>
  </si>
  <si>
    <t>DEC 3</t>
  </si>
  <si>
    <t>e44508</t>
  </si>
  <si>
    <t>10.1371/journal.pone.0044508</t>
  </si>
  <si>
    <t>051DH</t>
  </si>
  <si>
    <t>WOS:000312104700001</t>
  </si>
  <si>
    <t>van den Hoff, J; Burton, H; Robins, J</t>
  </si>
  <si>
    <t>van den Hoff, John; Burton, Harry; Robins, Judith</t>
  </si>
  <si>
    <t>A Sealers Midden Provides Evidence a Live Pig (Sus scrofa) was Taken Ashore at Heard Island During the Elephanting Industry (1855-1882)</t>
  </si>
  <si>
    <t>JOURNAL OF MARITIME ARCHAEOLOGY</t>
  </si>
  <si>
    <t>Heard Island; Pig mandible; Sus scrofa; Sealing</t>
  </si>
  <si>
    <t>ANCIENT DNA</t>
  </si>
  <si>
    <t>Livestock was often released onto remote Southern Ocean islands as a food source for shipwreck survivors during the industrial whaling and sealing era. Although animals were put ashore at nearby Isles Kerguelen and Crozet, the historical records make no mention of domesticated livestock ever being set ashore at Heard Island between 1855 and 1882. Here we report a pig (Sus scrofa) mandible discovered amongst other bones and artefacts in an 'elephanters' midden found at Spit Bay, Heard Island. The find provides very strong evidence a live pig was shipped ashore and eaten as part of the sealers meagre provisions. Archaeological investigations of middens at other sealing locations could produce new insights into the dietary habits of these men.</t>
  </si>
  <si>
    <t>[van den Hoff, John; Burton, Harry] Australian Antarctic Div, Kingston, Tas 7050, Australia; [Robins, Judith] Univ Auckland, Dept Anthropol, Auckland, New Zealand; [Robins, Judith] Univ Auckland, Sch Biol Sci, Auckland, New Zealand</t>
  </si>
  <si>
    <t>Australian Antarctic Division; University of Auckland; University of Auckland</t>
  </si>
  <si>
    <t>1557-2285</t>
  </si>
  <si>
    <t>1557-2293</t>
  </si>
  <si>
    <t>J MARIT ARCHAEOL</t>
  </si>
  <si>
    <t>J. Marit. Archaeol.</t>
  </si>
  <si>
    <t>DEC</t>
  </si>
  <si>
    <t>10.1007/s11457-012-9085-x</t>
  </si>
  <si>
    <t>Archaeology</t>
  </si>
  <si>
    <t>Arts &amp; Humanities Citation Index (A&amp;HCI)</t>
  </si>
  <si>
    <t>165BM</t>
  </si>
  <si>
    <t>WOS:000320457600001</t>
  </si>
  <si>
    <t>Jovanovic, B; Braganza, K; Collins, D; Jones, D</t>
  </si>
  <si>
    <t>Jovanovic, Branislava; Braganza, Karl; Collins, Dean; Jones, David</t>
  </si>
  <si>
    <t>Climate variations and change evident in high-quality climate data for Australia's Antarctic and remote island weather stations</t>
  </si>
  <si>
    <t>TEMPERATURE; INTENSIFICATION; VARIABILITY; TRENDS</t>
  </si>
  <si>
    <t>High-quality homogeneous rainfall and temperature time series have been developed from observations taken by the Australian Bureau of Meteorology for remote island sites: the subantarctic Macquarie Island, Lord Howe Island in the Tasman Sea, Norfolk Island in the southwest Pacific Ocean, Willis Island in the Coral Sea and Cocos Island in the eastern Indian Ocean. In addition, high-quality monthly temperature time series have been developed for three east Antarctic stations operated by Australia (Davis, Mawson and Casey). The quality control process for developing the high-quality data involved two steps. Firstly, a thorough examination of historical station metadata was conducted, with the aim of reconstructing the history of measurements at all stations. An objective statistical test was then applied to detect possible break points in the data series. Where an inhomegeneity was detected by the statistical test and subsequently confirmed based on metadata (historical information about stations and recordings), adjustment was applied at the monthly timescale (as the size of adjustments generally vary from month to month and from season to season). While annual mean surface temperature at Australian Antarctic stations is characterised by high year-to-year variability, results for the homogenised series indicate an increase in mean annual temperatures at Mawson and Davis by 0.35 degrees C and 0.40 degrees C respectively in the period 1958-2009. At Casey the mean annual temperature has decreased by -0.2 degrees C since the beginning of 1970s. This decreasing trend is not statistically significant and is, most likely, related to the existence of the ozone hole. Annual mean surface temperature at the remote island stations is characterised by a relatively small year-to-year variability with all stations showing a warming trend. The annual mean total temperature increase ranges from 0.3 to 0.6 degrees C over the period 1950-2009 for Macquarie, Norfolk, Lord Howe and Willis Islands, while at Cocos Island temperature increased by 0.3 degrees C since 1960. Rainfall declined at most subtropical and tropical sites analysed in this study: 20 mm/decade at Norfolk Island (since 1915), 23 mm/decade at Lord Howe Island (since 1950), 17 mm/decade at Cocos Island (since 1916), while little change was found for Willis Island (an increase of 3 mm/decade since 1924). In percent of the annual mean for the indicated period of measurements, rainfall declined about 15 per cent at Norfolk Island, 9 per cent at Lord Howe Island and 8 per cent at Cocos Island, while it slightly increased (about 2.5 per cent) at Willis Island. In contrast, Macquarie island has experienced a sharp increase in rainfall of 30 mm/decade since 1949 (or about 20 per cent of the annual mean for the whole period of record), suggesting that areas south of Australia may have become wetter over recent decades. The patterns of change are broadly consistent with climate change simulations (Trenberth et al. 2007) under the enhanced greenhouse effect which show general warming and a tendency for rainfall declines in subtropical parts and rainfall increases in the subantarctic.</t>
  </si>
  <si>
    <t>[Jovanovic, Branislava; Braganza, Karl; Collins, Dean; Jones, David] Australian Bur Meteorol, Climate &amp; Water Div, Melbourne, Vic 3001, Australia</t>
  </si>
  <si>
    <t>Melbourne Genomics Health Alliance; Bureau of Meteorology - Australia</t>
  </si>
  <si>
    <t>Jovanovic, B (corresponding author), Australian Bur Meteorol, Natl Climate Ctr, GPO Box 1289, Melbourne, Vic 3001, Australia.</t>
  </si>
  <si>
    <t>b.jovanovic@bom.gov.au</t>
  </si>
  <si>
    <t>Braganza, Karl/AAQ-1508-2020</t>
  </si>
  <si>
    <t>141TR</t>
  </si>
  <si>
    <t>WOS:000318749900005</t>
  </si>
  <si>
    <t>Leppe, M; Mihoc, M; Varela, N; Stinnesbeck, W; Mansilla, H; Bierma, H; Cisterna, K; Frey, E; Jujihara, T</t>
  </si>
  <si>
    <t>Leppe, Marcelo; Mihoc, Maritza; Varela, Natalia; Stinnesbeck, Wolfgang; Mansilla, Hector; Bierma, Hessel; Cisterna, Katherine; Frey, Eberhard; Jujihara, Toshiro</t>
  </si>
  <si>
    <t>Evolution of the Austral-Antarctic flora during the Cretaceous: New insights from a paleobiogeographic perspective</t>
  </si>
  <si>
    <t>REVISTA CHILENA DE HISTORIA NATURAL</t>
  </si>
  <si>
    <t>Antarctica; Cretaceous; Magellan's basin; paleobotany; Patagonia</t>
  </si>
  <si>
    <t>SOUTH SHETLAND ISLANDS; KING GEORGE ISLAND; JAMES-ROSS-BASIN; ALEXANDER-ISLAND; EARLY TERTIARY; ARC; AREAS; PALEOGEOGRAPHY; STRATIGRAPHY; PALEOCLIMATE</t>
  </si>
  <si>
    <t>Forest environments have continuously existed in Antarctica since the late Paleozoic and only disappeared from this continent since the Neogene. Nevertheless, the structure of these forests underwent substantial evolutionary changes. During the late Cretaceous, forests dominated by conifers and pteridophytes were gradually replaced by angiosperm-dominated forests. Elements common to these Antarctic forests are important constituents of the recent Valdivian Forest. During the Turonian stage of the Late Cretaceous, the Antarctic Peninsula and Patagonia were reconnected by a land bridge after a separation since the end of the Jurassic. Using biogeographic tools applied to the palynological and leaf imprint record, outcrops of Campanian-Maastrichtian age were studied from the Snow Hill, James Ross and Seymour (Marambio) Islands in the James Ross basin, Antarctica; Skua Bay, Half Three Point, Price Point and Zamek Hill on King George Island, Antarctica, and Rocallosa Point, Cerro Guido, Las Chinas, Dorotea Hill, Cazador Hill and La Irene in Chilean-Argentinian Patagonia, comparing the current distribution and the paleogeography, as well as the influence of potential areas of endemism and vicariants events. The analysis indicates that vegetation evolved under environmental conditions subject to intense volcanic and climatic disturbances, with changes from a period with extreme greenhouse climate (Turonian-Campanian) to strong cooling during the Maastrichtian. We suggest that a continuous forest existed in southern South America and Antarctica, which was shaped during the Latest Cretaceous by the presence of marine basins and and intermittent connection and disconnection of the flora.</t>
  </si>
  <si>
    <t>[Leppe, Marcelo] Inst Antartico Chileno, Lab Paleobiol, Plaza Munoz Gamero 1055, Punta Arenas, Chile; [Mihoc, Maritza; Cisterna, Katherine] Univ Concepcion, Dept Bot, Concepcion, Chile; [Varela, Natalia; Bierma, Hessel] Univ Concepcion, Dept Ciencias Tierra, Concepcion, Chile; [Stinnesbeck, Wolfgang] Heidelberg Univ, Inst Geowissensch, D-69120 Heidelberg, Germany; [Mansilla, Hector; Jujihara, Toshiro] Univ Magallanes, Punta Arenas, Chile; [Frey, Eberhard] SMNK, D-76133 Karlsruhe, Germany</t>
  </si>
  <si>
    <t>Universidad de Concepcion; Universidad de Concepcion; Ruprecht Karls University Heidelberg; Universidad de Magallanes</t>
  </si>
  <si>
    <t>Leppe, M (corresponding author), Inst Antartico Chileno, Lab Paleobiol, Plaza Munoz Gamero 1055, Punta Arenas, Chile.</t>
  </si>
  <si>
    <t>mleppe@inach.cl</t>
  </si>
  <si>
    <t>Leppe, Marcelo/L-5447-2014</t>
  </si>
  <si>
    <t>Leppe, Marcelo/0000-0002-1545-8167; Varela, Natalia/0000-0002-9611-9393</t>
  </si>
  <si>
    <t>FONDECYT [11080223]; BMBF [CHL 10A/09]</t>
  </si>
  <si>
    <t>FONDECYT(Comision Nacional de Investigacion Cientifica y Tecnologica (CONICYT)CONICYT FONDECYT); BMBF(Federal Ministry of Education &amp; Research (BMBF))</t>
  </si>
  <si>
    <t>We are grateful to the crew of Estancia Cerro Guido for their support for our field campaigns to this area, the logistic team of the Chilean Antarctic Institute and the Chilean Navy for their important role in the Antarctic campaigns and to FONDECYT 11080223 (2009-2011), BMBF CHL 10A/09 for their financial support. We also thank Prof. Sylvia Palma-Heldt for her collaborative efforts to improve Chilean palaeobotany.</t>
  </si>
  <si>
    <t>SOC BIOLGIA CHILE</t>
  </si>
  <si>
    <t>CASILLA 16164, SANTIAGO 9, CHILE</t>
  </si>
  <si>
    <t>0716-078X</t>
  </si>
  <si>
    <t>0717-6317</t>
  </si>
  <si>
    <t>REV CHIL HIST NAT</t>
  </si>
  <si>
    <t>Rev. Chil. Hist. Nat.</t>
  </si>
  <si>
    <t>10.4067/S0716-078X2012000400002</t>
  </si>
  <si>
    <t>112GO</t>
  </si>
  <si>
    <t>WOS:000316580900002</t>
  </si>
  <si>
    <t>Macdonell, SA; Fitzsimons, SJ</t>
  </si>
  <si>
    <t>Macdonell, Shelley A.; Fitzsimons, Sean J.</t>
  </si>
  <si>
    <t>Observations of cryoconite hole system processes on an Antarctic glacier</t>
  </si>
  <si>
    <t>biogeochemistry; drainage system; glacier hydrology; meltwater; solute</t>
  </si>
  <si>
    <t>MCMURDO DRY VALLEYS; SOUTHERN VICTORIA LAND; CANADA GLACIER; POLAR GLACIERS; SVALBARD; HYDROLOGY; RUNOFF; BIOGEOCHEMISTRY; ECOSYSTEMS; EVOLUTION</t>
  </si>
  <si>
    <t>Cryoconite holes are water-filled depressions that form on glacier surfaces when uneven distributions of sediment cause differential melting to occur. Cryoconite holes are important features of cold glacier systems, as they enhance meltwater generation, enable the development of complex drainage networks and facilitate the growth of microbial communities on the glacier surface. This paper describes the development of a cryoconite hole hydrological network on an Antarctic glacier, and explores the implications for nutrient storage and delivery within the glacier system. Field measurements included measuring the internal dimensions and repeat mapping of cryoconite holes across the glacier surface, and laboratory analysis included cation and anion analysis on clean ice and cryoconite hole samples. Results showed the distribution of cryoconite holes was determined by surface topography and local ablation rates. Planar surfaces are characterised by the highest density of cryoconite holes. Cryoconite holes are rare within supraglacial channels and surfaces with high ablation rates. The negative correlation between cryoconite hole density and ablation rate means that the glacier surface need to be relatively stable in order for the cryoconite hole to develop and persist. Furthermore, cryoconite holes are likely to contribute up to 1/3 of the meltwater generated on planar surfaces, however not all of this water is stored in the holes. Water may be drained via channels, cracks and intergranular drainage, however the relative importance of each is not yet known. As cryconite holes are relatively nutrient rich compared with clean glacier ice, the nature of connections between cryoconite holes are important for determining nutrient delivery both across the glacier, and to the proglacial region.</t>
  </si>
  <si>
    <t>[Macdonell, Shelley A.; Fitzsimons, Sean J.] Univ Otago, Dept Geog, Dunedin, New Zealand; [Macdonell, Shelley A.] CEAZA, La Serena, Chile</t>
  </si>
  <si>
    <t>Macdonell, SA (corresponding author), Univ Otago, Dept Geog, POB 56, Dunedin, New Zealand.</t>
  </si>
  <si>
    <t>MacDonell, Shelley/J-2480-2016</t>
  </si>
  <si>
    <t>MacDonell, Shelley/0000-0001-9641-4547</t>
  </si>
  <si>
    <t>University of Otago Postgraduate Scholarship; Sir Robin Irvine Antarctica New Zealand Doctoral Scholarship; University of Otago Research Grant</t>
  </si>
  <si>
    <t>Financial assistance for SM was provided by a University of Otago Postgraduate Scholarship, and the Sir Robin Irvine Antarctica New Zealand Doctoral Scholarship. Financial support for SF was provided by a University of Otago Research Grant. Logistical support was provided by Antarctica New Zealand. We are grateful for field assistance provided by Martin Sharp, Laurel Morrison, Lawrence Kees, Ben Varkalis, Dorothea Stumm and Frank Pattyn; Tracy Connolly for drawing Fig. 1; and for fantastic helicopter support from Helicopters NZ pilot Rob McPhail. Helpful reviews from Andrew Fountain and an anonymous reviewer greatly improved the manuscript.</t>
  </si>
  <si>
    <t>10.4067/S0716-078X2012000400003</t>
  </si>
  <si>
    <t>WOS:000316580900003</t>
  </si>
  <si>
    <t>Hebel, I; Galleguillos, C; Jaña, R; Dacasa-Rüdinger, MDC</t>
  </si>
  <si>
    <t>Hebel, Ingrid; Galleguillos, Carolina; Jana, Ricardo; Dacasa-Ruedinger, Maria D. C.</t>
  </si>
  <si>
    <t>Early knowledge of Antarctica's vegetation: Expanding past and current evidence</t>
  </si>
  <si>
    <t>Amundsen; ice-free areas; moss; niche conservation; Sanionia uncinata</t>
  </si>
  <si>
    <t>SOUTHERN VICTORIA LAND; GENETIC DIVERSITY; PENINSULA; POPULATIONS; DISPERSAL; HISTORY</t>
  </si>
  <si>
    <t>To commemorate one hundred years of Roald Amundsen's reaching the South Pole, we provide a summary of early explorations to Antarctica, in which botanists played an almost anonymous role. Based on multiple observations of vegetation they found and recorded, we review the knowledge available at the end of the nineteenth century to compare with contemporary scientific beliefs; connecting them with observations we have collected in field-work. Using the aerial photography from the end of the 1950s of sites we visited, it is noted that opportunities are arising for the understanding of colonization phenomena in areas where ice is retreating. Accounts of research on colonization of new ice-free areas are analyzed as well as how molecular genetics attempts to deduce the early settlements. Finally, an analysis of conservation in Antarctica is provided and its outlook discussed.</t>
  </si>
  <si>
    <t>[Hebel, Ingrid; Galleguillos, Carolina] Univ Magallanes, Fac Ciencias, Dept Agr &amp; Acuicola, Punta Arenas, Chile; [Jana, Ricardo] Inst Antartico Chileno, Punta Arenas, Chile; [Jana, Ricardo] Fdn Ctr Estudios Cuaternario Antartica, Punta Arenas, Chile; [Dacasa-Ruedinger, Maria D. C.] Publ Enterprise Sachsenforst, Wood &amp; Forestry Competence Ctr, Forest Genet &amp; Forest Plant Breeding, D-01796 Pirna Ot Graupa, Germany</t>
  </si>
  <si>
    <t>Universidad de Magallanes</t>
  </si>
  <si>
    <t>Hebel, I (corresponding author), Univ Magallanes, Fac Ciencias, Dept Agr &amp; Acuicola, Casilla 113-D, Punta Arenas, Chile.</t>
  </si>
  <si>
    <t>ingrid.hebel@umag.cl</t>
  </si>
  <si>
    <t>Hebel, Ingrid/AAN-2278-2020; Jaña, Ricardo/AAR-1225-2020</t>
  </si>
  <si>
    <t>Jaña, Ricardo/0000-0003-3319-1168; Hebel, Ingrid/0000-0002-3253-1928</t>
  </si>
  <si>
    <t>Chilean Antarctic Institute (INACH) [T_17-09]</t>
  </si>
  <si>
    <t>Chilean Antarctic Institute (INACH)</t>
  </si>
  <si>
    <t>We thank the Chilean Antarctic Institute (INACH) for financial support through project T_17-09, and the Chilean Navy for the support of our fieldwork in Antarctica. We thank especially to the crew of the ship Almirante Oscar Viel, year 2011. We are grateful to Captain Jorge Montenegro to provide information on maritime expeditions in Antarctica.</t>
  </si>
  <si>
    <t>10.4067/S0716-078X2012000400004</t>
  </si>
  <si>
    <t>WOS:000316580900004</t>
  </si>
  <si>
    <t>Navarrete-Gallegos, AA; Bravo, LA; Molina-Montenegro, MA; Corcuera, LJ</t>
  </si>
  <si>
    <t>Navarrete-Gallegos, Alejandro A.; Bravo, Leon A.; Molina-Montenegro, Marco A.; Corcuera, Luis J.</t>
  </si>
  <si>
    <t>Antioxidant responses in two Colobanthus quitensis (Caryophyllaceae) ecotypes exposed to high UV-B radiation and low temperature</t>
  </si>
  <si>
    <t>Antarctic; antioxidants; oxidative damage; UV-B</t>
  </si>
  <si>
    <t>ULTRAVIOLET-B; SUPEROXIDE-DISMUTASE; STRESS RESPONSES; PHOTOSYNTHETIC PERFORMANCE; COLD-ACCLIMATION; HIGHER-PLANTS; GLOBAL CHANGE; OXYGEN; EXPRESSION; ANDES</t>
  </si>
  <si>
    <t>Colobanthus quitensis (Kunth) Bartl. (Caryophyllaceae) is distributed from Mexico to the Maritime Antarctica forming colonies adapted to several micro environmental conditions along its distribution. The Maritime Antarctica is characterized by a colder and short season with increasing radiation levels of UV-B. On the other hand, The Andes range in Central Chile has ample thermal oscillations and a high UV-B radiation. The purpose of this study is to knowthe antioxidant strategies and mechanisms adopted by the C. quitensis Antarctic and Andean ecotypes to tolerated the damaging effects of the UV-B radiation and cold under controlled laboratory conditions. We postulate that individuals of C. quitensis from the Central Chilean Andes (Andean ecotype), where UV-B levels are higher than in the Antarctica would have more effective antioxidant mechanisms than the Antarctic ecotype. Plants of the Antarctic and Andean ecotypes grown under laboratory were subjected to three intensities of UV-B radiation (70, 35 Y 3 mu W cm(-2)), 4 and 15 degrees C respectively. Antioxidant mechanisms, such as total antioxidant activity (TAS), superoxide dismutase (SOD) activity, and leaf morphological attributes with a putative protective role against UV-B were assessed. Finally damaging effects of UV-B such as: malonaldialdehide (MDA) accumulation, maximum photochemical efficiency of the PSII and photoinacitvation were assessed at each treatment. Both ecotypes showed reduced leaf area and thickening of leaf parenchyma. The Andean ecotype exhibited higher levels of TAS with high and medium UV-B radiation. The highest SOD activity was measured in the Andean ecotype. It was detected and increase of up to eight times of the basal level at four hours of radiation. The Antarctic ecotype exposed to UV-B and cold showed a higher damage in membranes (MDA), also a greater degree of photoinactivation. Additionally, the accumulation a new Cu-Zn/SOD isoform, insensitive to H2O2 was detected in UV-B treated plants. In conclusion, the Andean ecotype presents a more effective antioxidant response against UV-B than the Antarctic ecotype.</t>
  </si>
  <si>
    <t>[Navarrete-Gallegos, Alejandro A.; Corcuera, Luis J.] Univ Concepcion, Dept Bot, Lab Fisiol Vegetal, Concepcion, Chile; [Bravo, Leon A.] Univ La Frontera, Fac Ciencias Agr &amp; Forestales, Lab Fisiol &amp; Biol Mol Vegetal, Temuco, Chile; [Molina-Montenegro, Marco A.] Univ Catolica Norte, Fac Ciencias Mar, CEAZA, Coquimbo, Chile</t>
  </si>
  <si>
    <t>Universidad de Concepcion; Universidad de La Frontera; Universidad Catolica del Norte</t>
  </si>
  <si>
    <t>Navarrete-Gallegos, AA (corresponding author), Univ Concepcion, Dept Bot, Lab Fisiol Vegetal, Casilla 160-C, Concepcion, Chile.</t>
  </si>
  <si>
    <t>anavarre@udec.cl</t>
  </si>
  <si>
    <t>Bravo, Leon/H-9251-2018; Bravo, León/AAO-8437-2020; Corcuera, Luis J/G-1714-2014</t>
  </si>
  <si>
    <t>Bravo, Leon/0000-0003-4705-4842; Bravo, León/0000-0003-4705-4842; Molina-Montenegro, Marco/0000-0001-6801-8942</t>
  </si>
  <si>
    <t>10.4067/S0716-078X2012000400005</t>
  </si>
  <si>
    <t>WOS:000316580900005</t>
  </si>
  <si>
    <t>De La Iglesia, R; Trefault, N</t>
  </si>
  <si>
    <t>De La Iglesia, Rodrigo; Trefault, Nicole</t>
  </si>
  <si>
    <t>Marine photosynthetic eukaryotes in polar systems: Unveiling phytoplankton diversity and composition in Antarctic waters</t>
  </si>
  <si>
    <t>Antarctic; biodiversity; photosynthetic eukaryotes; phytoplankton</t>
  </si>
  <si>
    <t>SOUTHERN-OCEAN; CLIMATE-CHANGE; SEA; PICOPLANKTON; COMMUNITIES; ABUNDANCE; ECOSYSTEM; DYNAMICS; BIOMASS; PICOPHYTOPLANKTON</t>
  </si>
  <si>
    <t>Antarctic waters are a particular marine environment mainly due to the strong seasonal variations that various parameters are subject to, like light availability and temperature. As in all oceanographic regions, food webs are sustained by photosynthetic microorganisms, which in the case of Antarctic environments seem to be strongly dominated by its eukaryote component. Assessing the ecological role of photosynthetic microbial eukaryotes requires a basic knowledge of their diversity and community composition. This review integrates the available information regarding this component of Antarctic phytoplankton as a way to unveil its diversity and how they respond to the strong changes that occur in this environment. Although several studies indicate the presence of a highly endemic biota in Antarctica, data sets on marine photosynthetic eukaryotes diversity suggests that endemism may be strongly influenced by the low coverage that Antarctic marine areas have been subjected. Moreover, most studies demonstrate that climate change is occurring faster than expected, especially in the Antarctic Peninsula and that this could result in a significant loss of global microbial biodiversity. The changes that eukaryote phytoplankton experience due to this phenomenon may have strong repercussion on the food webs in the Southern Ocean. The knowledge of both the diversity and variation of marine eukaryote phytoplankton in Antarctic waters is crucial for the proper understanding and predictability regarding how these environments can respond to a changing ocean.</t>
  </si>
  <si>
    <t>[De La Iglesia, Rodrigo; Trefault, Nicole] Pontificia Univ Catolica Chile, Fac Ciencias Biol, Dept Genet Mol &amp; Microbiol, Santiago, Chile; [Trefault, Nicole] Univ Mayor, Ctr Genom &amp; Bioinformat, Santiago, Chile; [Trefault, Nicole] Univ Mayor, Inst Biotecnol, Santiago, Chile; [De La Iglesia, Rodrigo] Pontificia Univ Catolica Chile, CASEB, Ctr Adv Studies Ecol &amp; Biodivers, Santiago, Chile</t>
  </si>
  <si>
    <t>Pontificia Universidad Catolica de Chile; Universidad Mayor; Universidad Mayor; Pontificia Universidad Catolica de Chile</t>
  </si>
  <si>
    <t>De La Iglesia, R (corresponding author), Pontificia Univ Catolica Chile, Fac Ciencias Biol, Dept Genet Mol &amp; Microbiol, Portugal 49, Santiago, Chile.</t>
  </si>
  <si>
    <t>rdelaiglesia@bio.puc.cl</t>
  </si>
  <si>
    <t>Instituto Antartico Chileno (INACH) Grant [T16-10]</t>
  </si>
  <si>
    <t>Instituto Antartico Chileno (INACH) Grant</t>
  </si>
  <si>
    <t>We are thankful of the invitation to participate in this special feature of the Revista Chilena de Historia Natural. We also thank Daniel la Spooner for kindly revising and correcting our English and to AK and VK for his patience during the writing of this manuscript. We also thank two anonymous reviewers that help us to improve the quality of the manuscript and to Cristian Henriquez for helping us with the figure. This work has been funded by Instituto Antartico Chileno (INACH) Grant T16-10.</t>
  </si>
  <si>
    <t>10.4067/S0716-078X2012000400006</t>
  </si>
  <si>
    <t>WOS:000316580900006</t>
  </si>
  <si>
    <t>González-Wevar, CA; Díaz, A; Gerard, K; Cañete, JI; Poulin, E</t>
  </si>
  <si>
    <t>Alejandro Gonzalez-Wevar, Claudio; Diaz, Angie; Gerard, Karin; Ivan Canete, Juan; Poulin, Elie</t>
  </si>
  <si>
    <t>Divergence time estimations and contrasting patterns of genetic diversity between Antarctic and southern South America benthic invertebrates</t>
  </si>
  <si>
    <t>Antarctic Circumpolar Current; COI; oceanographic barrier; planktotrophy; Pliocene separation</t>
  </si>
  <si>
    <t>MOLECULAR PHYLOGENY; CLIMATE-CHANGE; POLAR FRONT; SEA-ICE; MITOCHONDRIAL LINEAGES; CIRCUMPOLAR CURRENT; SOFTWARE PACKAGE; OCEAN BARRIERS; DRAKE PASSAGE; EVOLUTION</t>
  </si>
  <si>
    <t>Diversity, abundance and composition of taxonomic groups in the Southern Ocean differ from elsewhere in the planet, since the biogeography in this region reflects the complex interactions of tectonics, oceanography, climate and biological elements since the Eocene. Several groups of marine benthic organisms exhibit high levels of genetic divergence among provinces in this region, supporting the existence of a vicariance process through plate tectonics, while other groups with high dispersive capacity exhibit recent divergence processes. Moreover, the discovery of non-Antarctic decapod larvae in Antarctic Peninsula suggests that some groups can travel across the Antarctic Circumpolar Current. Here we analyzed levels of genetic divergence in congeneric species of three Southern Ocean's benthic invertebrate groups with dispersive potential. For this purpose we included in the analyses COI sequences of an echinoid (Sterechinus), a gastropod (Nacella), and a bivalve (Yoldia). Considering the levels of genetic differentiation and assuming the molecular clock hypothesis we estimated the separation of invertebrates from the two continents. We also compared levels of genetic variation between Antarctic and sub-Antarctic species of Nacella and Sterechinus to determine the effect of the Quaternary glacial episodes in the demography of these species. We detected clear genetic differences between Antarctic and sub-Antarctic congeneric species of Sterechinus, Nacella, and Yoldia. According to our results, the installation of an effective barrier between Antarctica and sub-Antarctica occurred almost at the same time (between 3.7 and 5.0 Ma) for these groups of organisms, long after the physical separation of both continents. Genetic comparisons between Antarctic and Sub-Antarctic species of Nacella and Sterechinus detected lower levels of genetic diversity in Antarctic species, suggesting more pronounced effects of the glacial episodes in Antarctica than in South America. These results may reflect the dramatic effect of the Quaternary glacial cycles on Antarctic population sizes, especially in groups with narrow bathymetric ranges. The present study provides new evidence about the differentiation processes between Antarctic and South American organisms. None of the analyzed genera showed evidence for recurrent gene flow across the Antarctic Circumpolar Current since the Mio-Pliocene. Genetic comparisons indicate that Antarctic and Sub-Antarctic species were differentially affected by glacial periods.</t>
  </si>
  <si>
    <t>[Alejandro Gonzalez-Wevar, Claudio; Diaz, Angie; Gerard, Karin; Poulin, Elie] Univ Chile, Fac Ciencias, IEB, Dept Ciencias Ecol,Lab Ecol Mol, Santiago, Chile; [Ivan Canete, Juan] Univ Magallanes, Dept Recursos Nat, Punta Arenas, Chile</t>
  </si>
  <si>
    <t>Universidad de Chile; Universidad de Magallanes</t>
  </si>
  <si>
    <t>González-Wevar, CA (corresponding author), Univ Chile, Fac Ciencias, IEB, Dept Ciencias Ecol,Lab Ecol Mol, Las Palmeras 3425, Santiago, Chile.</t>
  </si>
  <si>
    <t>omeuno01@hotmail.com</t>
  </si>
  <si>
    <t>González-Wevar, Claudio Alejandro/AAD-6513-2021; Canete, Juan/GRS-4620-2022; Gérard, Karin/AAC-4911-2021; Gerard, Karin/H-6245-2014; Poulin, Elie/C-2654-2012; Diaz, Angie/I-8033-2016</t>
  </si>
  <si>
    <t>Gérard, Karin/0000-0003-0596-1348; Poulin, Elie/0000-0001-7736-0969; Diaz, Angie/0000-0003-4944-588X</t>
  </si>
  <si>
    <t>INACH Office project [G_04-11]; Conicyt [D-21060218, D_21-08]; IDEAWILD; Fondecyt [3100139]; INACH [D_05-09]; FIP Project [200544]; Universidad de Magallanes; Institute of Ecology and Biodiversity IEB, Universidad de Chile [P05-002 ICM, PFB 023]; CAML; EBA-SCAR; PROSUL-Brazil; [INACH B_01_07]; [PR-F2-01CNR-10]; [0273]; [INACH 02-02]; [INACH 13-05]; [ECOS C06B02]</t>
  </si>
  <si>
    <t>INACH Office project; Conicyt(Comision Nacional de Investigacion Cientifica y Tecnologica (CONICYT)); IDEAWILD; Fondecyt(Comision Nacional de Investigacion Cientifica y Tecnologica (CONICYT)CONICYT FONDECYT); INACH; FIP Project; Universidad de Magallanes; Institute of Ecology and Biodiversity IEB, Universidad de Chile; CAML; EBA-SCAR; PROSUL-Brazil; ; ; ; ; ;</t>
  </si>
  <si>
    <t>This study was supported by the following institutions and grants: Thesis projects INACH B_01_07 and INACH Office project G_04-11, Conicyt Ph.D. D-21060218 and IDEAWILD to C.G-W; Fondecyt post-doctorate 3100139 to KG; INACH D_05-09 and Conicyt Ph.D. D_21-08 to A.D; FIP Project 200544 and Research Programs PR-F2-01CNR-10 and 0273, Universidad de Magallanes (J.I.C.). At the same time, this research was supported by the Projects P05-002 ICM and PFB 023 (Institute of Ecology and Biodiversity IEB, Universidad de Chile), INACH 02-02, INACH 13-05, and ECOS C06B02 to E.P. Thanks are also due to international program as CAML, EBA-SCAR and PROSUL-Brazil for encouraging and supporting Antarctic research in Evolution.</t>
  </si>
  <si>
    <t>10.4067/S0716-078X2012000400007</t>
  </si>
  <si>
    <t>WOS:000316580900007</t>
  </si>
  <si>
    <t>Díaz, A; González-Wevar, CA; Maturana, CS; Palma, AT; Poulin, E; Gerard, K</t>
  </si>
  <si>
    <t>Diaz, Angie; Alejandro Gonzalez-Wevar, Claudio; Maturana, Claudia S.; Palma, Alvaro T.; Poulin, Elie; Gerard, Karin</t>
  </si>
  <si>
    <t>Restricted geographic distribution and low genetic diversity of the brooding sea urchin Abatus agassizii (Spatangoidea: Schizasteridae) in the South Shetland Islands: A bridgehead population before the spread to the northern Antarctic Peninsula?</t>
  </si>
  <si>
    <t>Antarctic benthic fauna; COI phylogenetic relationships; King George Island; Southern Ocean; survivor population</t>
  </si>
  <si>
    <t>DNA; OCEAN; GLACIATION; ECHINOIDEA; EVOLUTION; SOFTWARE; NIMRODI; IMPACT</t>
  </si>
  <si>
    <t>The glacial cycles of the Pleistocene have promoted the principal climatic changes of the Southern Ocean, and motivated scientific interest regarding the strategies developed by marine benthic invertebrates to tolerate and overcome the extension and contraction of the ice sheet on the Antarctic continental platform. A recent study of the bathymetric zonation and distribution of macro-invertebrates in a shallow subtidal area of Fildes Bay (King George Island, South Shetlands Islands, Antarctica) highlighted the presence of a large aggregation of the brooding sea urchin Abatus agassizii, whose geographic distribution is known only for localities south of the Antarctic convergence (Antarctic Peninsula and South Shetland and South Georgia Islands in the Scotia Arc). Its presence is atypical, given that these shallow populations should have been erased from the vicinity of the Antarctic Peninsula by the advances and retreats of the ice sheet, and the absence of a larval stage associated with brooding should limit re-colonization from northern Subantarctic areas. The aim of the study was to evaluate whether A. agassizii may have survived the glaciations in its narrow bathymetric range in the South Shetland Islands, or whether this population corresponds to a newcomer that re-colonized the area despite its low dispersal capacities. For this, we combined multidisciplinary approaches based on the geographical distribution of A. agassizii, its genetic diversity and its phylogenetic relationships with other species of the genus. In spite of an intensive sampling effort, the low occurrence of A. agassizii indicated that its distribution is very scarce along the Shetlands Islands and the Antarctic Peninsula, and seems to be restricted to protected and ice-free areas of Fildes Bay in King George Island. Moreover, this population presented very low genetic diversity associated with the signal of a recent demographic expansion. Finally, the reconstruction of the phylogenetic relationships among species of Abates using mitochondrial COI sequences established the affinity of the Antarctic A. agassizii with Subantarctic species. Based on these results we consider that the presence of this species in the Shetland Islands more likely corresponds to a recent re-colonization from Antarctic Islands located further north.</t>
  </si>
  <si>
    <t>[Diaz, Angie; Alejandro Gonzalez-Wevar, Claudio; Maturana, Claudia S.; Poulin, Elie; Gerard, Karin] Univ Chile, Fac Ciencias, Dept Ciencias Ecol, Lab Ecol Mol,IEB, Santiago, Chile; [Palma, Alvaro T.] Pontificia Univ Catolica Chile, Dept Ecol, Santiago, Chile</t>
  </si>
  <si>
    <t>Universidad de Chile; Pontificia Universidad Catolica de Chile</t>
  </si>
  <si>
    <t>Gerard, K (corresponding author), Univ Chile, Fac Ciencias, Dept Ciencias Ecol, Lab Ecol Mol,IEB, Las Palmeras 3425, Santiago, Chile.</t>
  </si>
  <si>
    <t>gerardkarin@yahoo.fr</t>
  </si>
  <si>
    <t>Poulin, Elie/C-2654-2012; Gérard, Karin/AAC-4911-2021; González-Wevar, Claudio Alejandro/AAD-6513-2021; Gerard, Karin/H-6245-2014; Maturana, Claudia/JOK-7975-2023; Diaz, Angie/I-8033-2016</t>
  </si>
  <si>
    <t>Poulin, Elie/0000-0001-7736-0969; Gérard, Karin/0000-0003-0596-1348; Maturana, Claudia/0000-0002-4427-8093; Diaz, Angie/0000-0003-4944-588X</t>
  </si>
  <si>
    <t>Fondecyt [3100139]; Conicyt [D-21060218, D_21-08]; IDEAWILD; French Polar Institute (IPEV) Program [195 MACROBENTHOS, 345 BENTHADEL]; Institute of Ecology and Biodiversity, Universidad de Chile [P05-002 ICM, PFB 023]; international program CAML; international program EBA-SCAR; international program PROSUL-Brazil; [INACH F_01_09]; [INACH B_01_07]; [G_04-11]; [INACH D_05-09]; [INACH 02-02]; [INACH 13-05]; [ECOS C06B02]</t>
  </si>
  <si>
    <t>Fondecyt(Comision Nacional de Investigacion Cientifica y Tecnologica (CONICYT)CONICYT FONDECYT); Conicyt(Comision Nacional de Investigacion Cientifica y Tecnologica (CONICYT)); IDEAWILD; French Polar Institute (IPEV) Program; Institute of Ecology and Biodiversity, Universidad de Chile; international program CAML; international program EBA-SCAR; international program PROSUL-Brazil; ; ; ; ; ; ;</t>
  </si>
  <si>
    <t>This study was supported by the following grants: INACH F_01_09 Fondecyt post-doctorate 3100139 to KG., thesis project INACH B_01_07 &amp; G_04-11, Conicyt Ph.D. D-21060218 and IDEAWILD to C.G., INACH D_05-09 and Conicyt Ph.D. D_21-08 to A.D. Kerguelen and East Antarctic samples were collected during expeditions through the French Polar Institute (IPEV) Program No 195 MACROBENTHOS and Program No 345 BENTHADEL. This research was supported by Projects P05-002 ICM and PFB 023 (Institute of Ecology and Biodiversity, Universidad de Chile), INACH 02-02 to ATP and EP and, INACH 13-05 and ECOS C06B02 to EP. Thanks are also due to international programs CAML, EBA-SCAR and PROSUL-Brazil for encouraging and supporting Antarctic research in evolution.</t>
  </si>
  <si>
    <t>10.4067/S0716-078X2012000400008</t>
  </si>
  <si>
    <t>WOS:000316580900008</t>
  </si>
  <si>
    <t>Sadowsky, A; Ott, S</t>
  </si>
  <si>
    <t>Sadowsky, Andres; Ott, Sieglinde</t>
  </si>
  <si>
    <t>Photosynthetic symbionts in Antarctic terrestrial ecosystems: the physiological response of lichen photobionts to drought and cold</t>
  </si>
  <si>
    <t>SYMBIOSIS</t>
  </si>
  <si>
    <t>Rehydration; Desiccation; Freezing; Xanthophyll cycle; Photosystem II; Isolated photobionts</t>
  </si>
  <si>
    <t>WATER; PHOTOPROTECTION; FLUORESCENCE; ANTIOXIDANTS; TEMPERATURE; CAROTENOIDS; CULTURE; ALGAL; SNOW</t>
  </si>
  <si>
    <t>Lichens form an important part of the biodiversity in terrestrial ecosystems of Antarctica where they represent the dominant vegetation. Previous studies on the genetic diversity of photobionts of lichens have indicated that clade S Trebouxia photobionts are the most widespread in continental Antarctica, predominantly in macrolichens. For the first time, a comparative study of the physiology of a variety of isolated Antarctic lichen photobionts (genus Trebouxia) was performed. Photosynthetic activity was examined by chlorophyll a fluorescence and correlated with freezing and desiccation under laboratory conditions and photosynthetic pigments were quantified in response to desiccation. Data were obtained from photobionts collected from the Antarctic regions of North Victoria Land, Coal Nunatak and Rothera Point, as well as from a European site (Gotland, Sweden). While the isolated algae reacted individually to stress treatments, they were highly susceptible to desiccation stress but could rapidly recover from freezing. Photobiont-specific physiological adaptations are considered to explain the dominance of clade S Trebouxia photobionts.</t>
  </si>
  <si>
    <t>[Sadowsky, Andres; Ott, Sieglinde] Univ Dusseldorf, Inst Bot, D-40225 Dusseldorf, Germany</t>
  </si>
  <si>
    <t>Heinrich Heine University Dusseldorf</t>
  </si>
  <si>
    <t>Sadowsky, A (corresponding author), Univ Dusseldorf, Inst Bot, Univ Str 1, D-40225 Dusseldorf, Germany.</t>
  </si>
  <si>
    <t>andres.sadowsky@hhu.de</t>
  </si>
  <si>
    <t>Deutsche Forschungsgemeinschaft [Ot 96/15-1, 1158]</t>
  </si>
  <si>
    <t>Special thanks are due to the BGR (Bundesanstalt fur Geologie und Rohstoffe), Andreas Laufer and Detlef Damaske for inviting the second author to the expedition GANOVEX X and logistic support. The staff of the Gondwana Station is thanked for their invaluable help. Sample collection during GANOVEX X was financially supported by the Deutsche Forschungsgemeinschaft (Ot 96/15-1), within the framework of the DFG Antarctic Priority Program 1158. Our special thanks are due to Eva Posthoff for her invaluable technical support. The results are included in the doctoral thesis of Andres Sadowsky. Thanks are also due to the anonymous reviewers for their helpful comments.</t>
  </si>
  <si>
    <t>0334-5114</t>
  </si>
  <si>
    <t>1878-7665</t>
  </si>
  <si>
    <t>Symbiosis</t>
  </si>
  <si>
    <t>1-3</t>
  </si>
  <si>
    <t>10.1007/s13199-012-0198-7</t>
  </si>
  <si>
    <t>104VA</t>
  </si>
  <si>
    <t>WOS:000316022700010</t>
  </si>
  <si>
    <t>Ibáñez, CM; Pardo-Gandarillas, MC; Poulin, E; Sellanes, J</t>
  </si>
  <si>
    <t>Ibanez, Christian M.; Cecilia Pardo-Gandarillas, M.; Poulin, Elie; Sellanes, Javier</t>
  </si>
  <si>
    <t>Morphological and molecular description of a new record of Graneledone (Cephalopoda, Octopodidae) in the southeastern Pacific Ocean</t>
  </si>
  <si>
    <t>REVISTA DE BIOLOGIA MARINA Y OCEANOGRAFIA</t>
  </si>
  <si>
    <t>Graneledone; deep-sea octopuses; bathyal zone; Chile</t>
  </si>
  <si>
    <t>SOUTHERN-OCEAN; SYSTEMATICS; MOLLUSCA; DNA</t>
  </si>
  <si>
    <t>Octopuses of the genus Graneledone inhabit in the deep-sea and are composed of 8 recognized species. Here we conduct phylogenetics analyses of 4 species of Graneledone using 2 molecular markers (16S and COI), and report a new record of Graneledone for the Pacific Ocean off south-central Chile. Four specimens of Graneledone sp. were collected from 436 to 1482 m depth. These octopuses are medium sized, have no ink sac and bear only one row of suckers in their arms, which are of similar length. They are characterized by having 43 to 45 suckers in the hectocotylized arm (third right); 6 to 7 lamellae per demibranch; VV-shaped funnel organ and 5 to 7 transverse creases in the ligulae. Some morphological traits show great variation compared with species from Pacific, Atlantic and Antarctic oceans. Molecular phylogenetic analysis supports the hypothesis of monophyly of Graneledone.</t>
  </si>
  <si>
    <t>[Ibanez, Christian M.; Cecilia Pardo-Gandarillas, M.; Poulin, Elie] Univ Chile, Fac Ciencias, Dept Ciencias Ecol, Inst Ecol &amp; Biodivers, Santiago, Chile; [Sellanes, Javier] Univ Catolica Norte, Fac Ciencias Mar, Dept Biol Marina, Coquimbo, Chile; [Sellanes, Javier] Univ Concepcion, Ctr Invest Oceanog Pacifico Sur Oriental COPAS, Concepcion, Chile</t>
  </si>
  <si>
    <t>Universidad de Chile; Universidad Catolica del Norte; Universidad de Concepcion</t>
  </si>
  <si>
    <t>Ibáñez, CM (corresponding author), Univ Chile, Fac Ciencias, Dept Ciencias Ecol, Inst Ecol &amp; Biodivers, Las Palmeras 3425, Santiago, Chile.</t>
  </si>
  <si>
    <t>ibanez.christian@gmail.com</t>
  </si>
  <si>
    <t>Sellanes, Javier/P-4699-2019; Ibáñez, Christian/AGK-8830-2022; Poulin, Elie/C-2654-2012; Sellanes, Javier/I-5722-2012; Ibáñez, Christian M/B-9700-2009; Pardo-Gandarillas, Maria/L-3790-2017</t>
  </si>
  <si>
    <t>Sellanes, Javier/0000-0002-6942-0762; Ibáñez, Christian/0000-0002-7390-2617; Poulin, Elie/0000-0001-7736-0969; Sellanes, Javier/0000-0002-6942-0762; Pardo-Gandarillas, Maria/0000-0003-2626-8243</t>
  </si>
  <si>
    <t>FONDECYT [3110152, 1061217, 1100166, ICM P05-002, PFB-23]; MECESUP-Chile Doctoral Fellowship</t>
  </si>
  <si>
    <t>FONDECYT(Comision Nacional de Investigacion Cientifica y Tecnologica (CONICYT)CONICYT FONDECYT); MECESUP-Chile Doctoral Fellowship</t>
  </si>
  <si>
    <t>We thank Janet Voight, Jan Strugnell and Jurgen Guerrero-Kommritz for their valuable comments of the early version of this manuscript. We are deeply indebted to captain and crew of AGOR Vidal Gormaz of the Chilean Navy, as well as scientific staff during VG07 cruise for their support at sea. We thank Sergio Letelier and Bernhard Hausdorf for help in examining specimens from the MNHNCL (Chile) and ZMH (Germany), and Milton Pedraza for collecting one specimen. FINANCIAL SUPPORT: This work was partially funded by grants to C.I. FONDECYT 3110152, to J.S., FONDECYT 1061217 and FONDECYT 1100166, and to E.P., ICM P05-002 and PFB-23. Support to M. C. Pardo-Gandarillas by a MECESUP-Chile Doctoral Fellowship are also acknowledged.</t>
  </si>
  <si>
    <t>UNIV VALPARAISO, Faculty Marine Sciences and Natural Resources</t>
  </si>
  <si>
    <t>VINA DEL MAR</t>
  </si>
  <si>
    <t>CASILLA 5080 - RENACA, VINA DEL MAR, 00000, CHILE</t>
  </si>
  <si>
    <t>0717-3326</t>
  </si>
  <si>
    <t>0718-1957</t>
  </si>
  <si>
    <t>REV BIOL MAR OCEANOG</t>
  </si>
  <si>
    <t>Rev. Biol. Mar. Oceanogr.</t>
  </si>
  <si>
    <t>10.4067/S0718-19572012000300007</t>
  </si>
  <si>
    <t>098ZE</t>
  </si>
  <si>
    <t>WOS:000315586800007</t>
  </si>
  <si>
    <t>Kaur, I; Kaur, C; Khan, F; Mayilraj, S</t>
  </si>
  <si>
    <t>Kaur, Ishwinder; Kaur, Chandandeep; Khan, Fazlurrahman; Mayilraj, Shanmugam</t>
  </si>
  <si>
    <t>Flavobacterium rakeshii sp nov., isolated from marine sediment, and emended description of Flavobacterium beibuense Fu et al. 2011</t>
  </si>
  <si>
    <t>BACTERIAL SYSTEMATICS; ANTARCTIC LAKES; MICROBIAL MATS; IDENTIFICATION; EXTRACTION; SEQUENCES; FAMILY</t>
  </si>
  <si>
    <t>A Gram-negative, non-motile bacterial strain that formed straight rods and straw yellow colonies, designated FCS-5(T), was isolated from a marine sediment from the Arabian Sea. The isolate exhibited most of the phenotypic properties expected for a member of the genus Flavobacterium. The major fatty acids were iso-C-15:0, iso-C-17:0 3-OH, C-17:1 omega 9c and summed feature 3 (comprising iso-C-(15:0) 2-OH and/or C-16:1 omega 7c). The only isoprenoid quinone was MK-6. The only polyamine was homospermidine and the major polar lipid was phosphatidylethanolamine. The G+C content of the genomic DNA was 32.4 mol%. According to 16S rRNA gene sequence analysis, strain FCS-5(T) belonged to the genus Flavobacterium and exhibited 99.3% 16S rRNA gene sequence similarity with Flavobacterium beibuense F44-8(T) and 90.9-94.6 % sequence similarity with other members of the genus Flavobacterium. The results of physiological and biochemical tests allowed the discrimination of the isolate from its phylogenetic relatives. Strain FCS-5(T) is a representative of a novel species of the genus Flavobacterium, for which the name Flavobacterium rakeshii sp. nov. is proposed. The type strain is FCS-5(T) (=MTCC 10967(T)=JCM 17928(T)). An emended description of F. beibuense is also proposed.</t>
  </si>
  <si>
    <t>[Kaur, Ishwinder; Kaur, Chandandeep; Khan, Fazlurrahman; Mayilraj, Shanmugam] Inst Microbial Technol IMTECH, Microbial Type Culture Collect &amp; Gene Bank MTCC, Chandigarh 160036, India</t>
  </si>
  <si>
    <t>Council of Scientific &amp; Industrial Research (CSIR) - India; CSIR - Institute of Microbial Technology (IMTECH)</t>
  </si>
  <si>
    <t>Mayilraj, S (corresponding author), Inst Microbial Technol IMTECH, Microbial Type Culture Collect &amp; Gene Bank MTCC, Chandigarh 160036, India.</t>
  </si>
  <si>
    <t>mayil@imtech.res.in</t>
  </si>
  <si>
    <t>Khan, Fazlurrahman/GNP-4177-2022</t>
  </si>
  <si>
    <t>Khan, Fazlurrahman/0000-0002-4902-3188</t>
  </si>
  <si>
    <t>CSIR, Government of India [NWP006]</t>
  </si>
  <si>
    <t>CSIR, Government of India(Council of Scientific &amp; Industrial Research (CSIR) - India)</t>
  </si>
  <si>
    <t>We would like to thank Mr Dheeraj, Ms Sathyabama, Mr KapilGoyal and Mr Malkit Singh for their excellent technical assistance. This work was supported by CSIR (network project NWP006) Government of India. This is IMTECH communication number 42/2011. This work is dedicated to the memory of Dr Rakesh Kumar Jain, friend and colleague, who passed away recently.</t>
  </si>
  <si>
    <t>SOC GENERAL MICROBIOLOGY</t>
  </si>
  <si>
    <t>READING</t>
  </si>
  <si>
    <t>MARLBOROUGH HOUSE, BASINGSTOKE RD, SPENCERS WOODS, READING RG7 1AG, BERKS, ENGLAND</t>
  </si>
  <si>
    <t>10.1099/ijs.0.035691-0</t>
  </si>
  <si>
    <t>091SL</t>
  </si>
  <si>
    <t>WOS:000315070000013</t>
  </si>
  <si>
    <t>Wijeratne, EMS; Pattiaratchi, CB; Eliot, M; Haigh, ID</t>
  </si>
  <si>
    <t>Wijeratne, E. M. S.; Pattiaratchi, C. B.; Eliot, Matt; Haigh, Ivan D.</t>
  </si>
  <si>
    <t>Tidal characteristics in Bass Strait, south-east Australia</t>
  </si>
  <si>
    <t>direct gravitational tidal forcing; half-wavelength resonance; tide-surge interaction; barotropic hydrodynamic model; Bass Strait; Australia</t>
  </si>
  <si>
    <t>NUMERICAL-MODEL; MEDITERRANEAN-SEA; RESONANT PERIOD; TIDES; BAY; CIRCULATION; CURRENTS; CHANNEL; TAIWAN; FUNDY</t>
  </si>
  <si>
    <t>We used a two-dimensional, barotropic, numerical model to examine the complex behaviour of the tides in Bass Strait. Bass Strait, located in south-east Australia between the Australian continent and Tasmania, has the appropriate dimensions to create a half-wave tidal resonance for the M-2 tides. The M-2 tidal wave (amplitude &lt; 0.4 m) enters the strait from both strait openings, increasing the M-2 tidal amplitude towards the central northern Tasmanian coast to a maximum of similar to 1.1 m. The tidal phases and current ellipses in the strait showed the M-2 tides resembled a half-wavelength resonance in a curved, open basin. The semidiurnal, S-2, and diurnal, K-1 and O-1, tidal amplitudes were comparatively small (&lt;0.2 m), progressive in nature and mostly constant through the strait. The model simulations revealed that when only open boundary tidal (OBT) forcing was included in the model, the model over predicted the M-2 amplitudes by similar to 10-15% in the strait's central region; when OBT and direct gravitational tidal (DGT) forcing were included, the model accurately reproduced the observed tidal amplitudes. DGT forcing was used to generate resonantly amplified M-2 tides (amplitudes of 0.1-0.3 m) locally, with destructive interference between the OBT-forced and DGT-forced tides occurring in the centre of the strait. The model simulations also revealed that storm systems propagating west to east attenuated the M2 tidal amplitudes in the strait. The greatest decrease in the tidal amplitudes occurred along the central northern Tasmanian coast and was attributed to tide surge interaction and resonance behaviour in the strait. (C) 2012 Elsevier Ltd. All rights reserved.</t>
  </si>
  <si>
    <t>[Wijeratne, E. M. S.; Pattiaratchi, C. B.; Eliot, Matt; Haigh, Ivan D.] Univ Western Australia, Sch Environm Syst Engn, Crawley, WA 6009, Australia; [Wijeratne, E. M. S.; Pattiaratchi, C. B.; Eliot, Matt; Haigh, Ivan D.] Univ Western Australia, UWA Oceans Inst, Crawley, WA 6009, Australia; [Haigh, Ivan D.] Univ Southampton, Natl Oceanog Ctr, Southampton, Hants, England</t>
  </si>
  <si>
    <t>University of Western Australia; University of Western Australia; University of Southampton; NERC National Oceanography Centre</t>
  </si>
  <si>
    <t>Wijeratne, EMS (corresponding author), Univ Western Australia, Sch Environm Syst Engn, 35 Stirling Highway,M470, Crawley, WA 6009, Australia.</t>
  </si>
  <si>
    <t>wijeratn@sese.uwa.edu.au</t>
  </si>
  <si>
    <t>Haigh, Ivan D/A-6575-2010; Eliot, Matthew/Q-7325-2019; Pattiaratchi, Charitha/E-6916-2011</t>
  </si>
  <si>
    <t>Eliot, Matthew/0000-0002-6685-9542; Pattiaratchi, Charitha/0000-0003-2229-6183</t>
  </si>
  <si>
    <t>Australian Department of Climate Change and Energy Efficiency (through the Antarctic Climate and Ecosystems Cooperative Research Centre); Western Australian Marine Science Institution (WAMSI)</t>
  </si>
  <si>
    <t>Australian Department of Climate Change and Energy Efficiency (through the Antarctic Climate and Ecosystems Cooperative Research Centre)(Australian Government); Western Australian Marine Science Institution (WAMSI)</t>
  </si>
  <si>
    <t>The model bathymetry was derived from 250-m resolution data from Geosciences Australia, and the tide gauge data were obtained from the Australian National Tide Centre. The Australian Department of Climate Change and Energy Efficiency (through the Antarctic Climate and Ecosystems Cooperative Research Centre) funded this study, which was built on an earlier study funded by the Western Australian Marine Science Institution (WAMSI). We are grateful to the three anonymous reviewers for their suggestions to improve this paper. We also thank Ruth Gongora-Mesas for her editorial suggestions.</t>
  </si>
  <si>
    <t>DEC 1</t>
  </si>
  <si>
    <t>10.1016/j.ecss.2012.08.027</t>
  </si>
  <si>
    <t>069VG</t>
  </si>
  <si>
    <t>WOS:000313464600018</t>
  </si>
  <si>
    <t>New understanding of Antarctic's weight-loss</t>
  </si>
  <si>
    <t>068QH</t>
  </si>
  <si>
    <t>WOS:000313380800005</t>
  </si>
  <si>
    <t>Cipro, CVZ; Bustamante, P; Taniguchi, S; Montone, RC</t>
  </si>
  <si>
    <t>Cipro, Caio V. Z.; Bustamante, Paco; Taniguchi, Satie; Montone, Rosalinda Carmela</t>
  </si>
  <si>
    <t>Persistent organic pollutants and stable isotopes in pinnipeds from King George Island, Antarctica</t>
  </si>
  <si>
    <t>Antarctica; Seal; Stable isotopes; Organochlorine; PBDEs; POPs</t>
  </si>
  <si>
    <t>POLYBROMINATED DIPHENYL ETHERS; TROPHIC RELATIONSHIPS; CALLORHINUS-URSINUS; MIROUNGA-LEONINA; FLAME RETARDANTS; MARINE MAMMALS; ELEPHANT SEALS; FOOD-WEB; CARBON; DIET</t>
  </si>
  <si>
    <t>In the present work, fat, skin, liver and muscle samples from Leptonychotes weddellii (Weddell seal, n = 2 individuals), Lobodon carcinophagus (crabeater seal, n = 2), Arctocephalus gazella (Antarctic fur seal, n = 3) and Mirounga leonina (southern elephant seal, n = 1) were collected from King George Island, Antarctica, and analysed for POPs (PCBs, organochlorine pesticides and PBDEs) and stable isotopes (delta C-13 and delta N-15 in all tissues but fat). PBDEs could be found in only one sample (L. weddellii fat). Generally, PCBs (from 74 to 523 ng g(-1) lw), DDTs (from 14 to 168 ng g(-1) lw) and chlordanes (from 9 to 78 ng g(-1) lw) were the prevailing compounds. Results showed a clear stratification in accordance with ecological data. Nonetheless, stable isotope analyses provide a deeper insight into fluctuations due to migrations and nutritional stress. Correlation between delta N-15 and pollutants suggests, to some degree, a considerable ability to metabolize and/or excrete the majority of them. (C) 2012 Elsevier Ltd. All rights reserved.</t>
  </si>
  <si>
    <t>[Cipro, Caio V. Z.; Taniguchi, Satie; Montone, Rosalinda Carmela] Univ Sao Paulo, Inst Oceanog, BR-05508120 Sao Paulo, Brazil; [Cipro, Caio V. Z.; Bustamante, Paco] Univ La Rochelle, CNRS, Littoral Environm &amp; Soc LIENSs, UMR 7266, F-17042 La Rochelle 01, France</t>
  </si>
  <si>
    <t>Universidade de Sao Paulo; Centre National de la Recherche Scientifique (CNRS); La Rochelle Universite</t>
  </si>
  <si>
    <t>Cipro, CVZ (corresponding author), Univ Sao Paulo, Inst Oceanog, Praca Oceanog 191, BR-05508120 Sao Paulo, Brazil.</t>
  </si>
  <si>
    <t>caiovzc@gmail.com</t>
  </si>
  <si>
    <t>Montone, Rosalinda C/J-9110-2012; Bustamante, Paco/G-5833-2011; Taniguchi, Satie/D-2552-2013; Zecchin Cipro, Caio Vinicius/C-6338-2014</t>
  </si>
  <si>
    <t>Bustamante, Paco/0000-0003-3877-9390; Taniguchi, Satie/0000-0002-6825-6390; Zecchin Cipro, Caio Vinicius/0000-0002-7028-6353</t>
  </si>
  <si>
    <t>Brazilian Antarctic Program (PROANTAR) [55.0348/2002-6, 550018/2007-7]; Ministry of the Environment (MMA); Conselho Nacional de Desenvolvimento Cientifico e Tecnologico (CNPq); FAPESP; University of La Rochelle; LIENSs; CPER (Contrat de Projet Etat-Region)</t>
  </si>
  <si>
    <t>Brazilian Antarctic Program (PROANTAR); Ministry of the Environment (MMA); Conselho Nacional de Desenvolvimento Cientifico e Tecnologico (CNPq)(Conselho Nacional de Desenvolvimento Cientifico e Tecnologico (CNPQ)); FAPESP(Fundacao de Amparo a Pesquisa do Estado de Sao Paulo (FAPESP)); University of La Rochelle; LIENSs; CPER (Contrat de Projet Etat-Region)</t>
  </si>
  <si>
    <t>This paper is part of the Projects Environmental Management at Admiralty Bay, King George Island, Antarctica: Persistent organic pollutants and sewage (process number: 55.0348/2002-6) and Modelling the fate of organic pollutants through Antarctic trophic web (process number: 550018/2007-7) funded by the Brazilian Antarctic Program (PROANTAR), sponsored by Ministry of the Environment (MMA) and Conselho Nacional de Desenvolvimento Cientifico e Tecnologico (CNPq) with logistical support from the Secretaria da Comissao Interministerial para os Recursos do Mar (SECIRM). This work contributes to the Brazilian National Science and Technology Institute on Antarctic Environmental Research (INCT-APA, acronym in Portuguese). C.V.Z. Cipro received financial support from FAPESP and University of La Rochelle.; Authors wish to thank G. Guillou and P. Richard for technical support during the stable isotope analyses. Part of the analyses were supported financially by LIENSs and the CPER (Contrat de Projet Etat-Region). The authors also thank the Ferraz Station staff, the eternal colleagues Denis da Silva, Silvio Sasaki and Mauricio Coimbra and fellow researchers for their support during the sampling programs from the austral summers of 2004/2005 and 2005/2006. We would also like to wish best luck in the efforts to reconstruct the Brazilian Antarctic Station and register our deepest sorrow for the decease of Carlos Alberto Vieira Figueiredo and Roberto Lopes dos Santos in the tragic fire from February 25th 2012.</t>
  </si>
  <si>
    <t>10.1016/j.marpolbul.2012.10.012</t>
  </si>
  <si>
    <t>WOS:000313380800019</t>
  </si>
  <si>
    <t>Martins, CC; Aguiar, SN; Bícego, MC; Montone, RC</t>
  </si>
  <si>
    <t>Martins, Cesar C.; Aguiar, Sabrina Nart; Bicego, Marcia C.; Montone, Rosalinda C.</t>
  </si>
  <si>
    <t>Sewage organic markers in surface sediments around the Brazilian Antarctic station: Results from the 2009/10 austral summer and historical tendencies</t>
  </si>
  <si>
    <t>Sediments; Sterols; Linear alkylbenzenes; Antarctica</t>
  </si>
  <si>
    <t>LINEAR ALKYLBENZENES LABS; KING-GEORGE ISLAND; MARINE-ENVIRONMENT; FECAL STEROIDS; ADMIRALTY BAY; CLOSTRIDIUM-PERFRINGENS; MATTER INPUTS; SW ATLANTIC; CONTAMINATION; POLLUTION</t>
  </si>
  <si>
    <t>The discharge of sewage into the Antarctic marine environments by scientific stations has resulted in local changes in these pristine sites. To assess the distribution and concentration of sewage indicators from the Brazilian Antarctic station, sediments were sampled during the 2009/10 austral summer at four points (water depth of 20 and 60 m). Concentrations of faecal sterols and linear alkylbenzenes (LABs) ranged from &lt;0.01 to 0.17 mu g g(-1) and &lt;1.0 to 46.5 ng g(-1) dry weight, respectively. Maximum concentration of faecal sterols was similar to the value previously calculated as the background level for this area (0.19 mu g g(-1)), and it is lower than the concentration observed in previous studies (1997-2008), whereas the LABs concentrations remained practically constant (35 ng g(-1)). Despite the low concentrations of sewage markers, the permanent human activities in the region require monitoring programs to determine continuing trends and prevent the increase of anthropogenic impacts. (C) 2012 Elsevier Ltd. All rights reserved.</t>
  </si>
  <si>
    <t>[Martins, Cesar C.; Aguiar, Sabrina Nart] Univ Fed Parana, Ctr Estudos Mar, BR-83255976 Pontal Do Parana, PR, Brazil; [Aguiar, Sabrina Nart] Univ Fed Fluminense, Dept Geoquim, Rio De Janeiro, RJ, Brazil; [Bicego, Marcia C.; Montone, Rosalinda C.] Univ Sao Paulo, Inst Oceanog, BR-05508120 Sao Paulo, Brazil</t>
  </si>
  <si>
    <t>Universidade Federal do Parana; Universidade Federal Fluminense; Universidade de Sao Paulo</t>
  </si>
  <si>
    <t>Martins, CC (corresponding author), Univ Fed Parana, Ctr Estudos Mar, Caixa Postal 61, BR-83255976 Pontal Do Parana, PR, Brazil.</t>
  </si>
  <si>
    <t>ccmart@ufpr.br</t>
  </si>
  <si>
    <t>de Castro Martins, Cesar C/I-1086-2012; Montone, Rosalinda C/J-9110-2012; Bicego, Marcia C/D-1996-2013</t>
  </si>
  <si>
    <t>de Castro Martins, Cesar/0000-0002-2515-5565; Bicego, Marcia/0000-0002-9939-9853</t>
  </si>
  <si>
    <t>PQ-2 Grant [CNPq 307110/2008-7]; PIBIC/CNPq; Brazilian National Science and Technology Institute on Antarctic Environmental Research (INCT-APA) [CNPq 574018/2008-5, FAPERJ E-16/170023/2008]; Ministerio do Meio Ambiente (MMA); Ministerio de Ciencia e Tecnologia (MCT); Conselho Nacional de Desenvolvimento Cientifico e Tecnologico (CNPq); Coordenacao de Aperfeicoamento de Pessoal de Ensino Superior (CAPES)</t>
  </si>
  <si>
    <t>PQ-2 Grant; PIBIC/CNPq(Conselho Nacional de Desenvolvimento Cientifico e Tecnologico (CNPQ)); Brazilian National Science and Technology Institute on Antarctic Environmental Research (INCT-APA); Ministerio do Meio Ambiente (MMA); Ministerio de Ciencia e Tecnologia (MCT); Conselho Nacional de Desenvolvimento Cientifico e Tecnologico (CNPq)(Conselho Nacional de Desenvolvimento Cientifico e Tecnologico (CNPQ)); Coordenacao de Aperfeicoamento de Pessoal de Ensino Superior (CAPES)(Coordenacao de Aperfeicoamento de Pessoal de Nivel Superior (CAPES))</t>
  </si>
  <si>
    <t>C.C. Martins and S.N. Aguiar are thankful for the PQ-2 Grant (CNPq 307110/2008-7) and the scholarship (PIBIC/CNPq), respectively. This study is related to the Brazilian National Science and Technology Institute on Antarctic Environmental Research (INCT-APA, CNPq 574018/2008-5 and FAPERJ E-16/170023/2008). The authors wish to thank the financial support obtained from the Ministerio do Meio Ambiente (MMA), Ministerio de Ciencia e Tecnologia (MCT), Conselho Nacional de Desenvolvimento Cientifico e Tecnologico (CNPq) and Coordenacao de Aperfeicoamento de Pessoal de Ensino Superior (CAPES - Grant by Ciencias do Mar-09/2009).</t>
  </si>
  <si>
    <t>10.1016/j.marpolbul.2012.08.019</t>
  </si>
  <si>
    <t>WOS:000313380800047</t>
  </si>
  <si>
    <t>Vallesi, A; Alimenti, C; Pedrini, B; Di Giuseppe, G; Dini, F; Wüthrich, K; Luporini, P</t>
  </si>
  <si>
    <t>Vallesi, Adriana; Alimenti, Claudio; Pedrini, Bill; Di Giuseppe, Graziano; Dini, Fernando; Wuethrich, Kurt; Luporini, Pierangelo</t>
  </si>
  <si>
    <t>Coding genes and molecular structures of the diffusible signalling proteins (pheromones) of the polar ciliate, Euplotes nobilii</t>
  </si>
  <si>
    <t>MARINE GENOMICS</t>
  </si>
  <si>
    <t>Polar microorganisms; Ciliate macronuclear genes; Cold-adapted proteins; Ciliate mating-types</t>
  </si>
  <si>
    <t>MACRONUCLEAR DNA-MOLECULES; PROTOZOAN CILIATE; THERMAL-STABILITY; MATING PHEROMONE; COLD-ADAPTATION; RAIKOVI; IDENTIFICATION; SEQUENCES; ENZYMES; SITES</t>
  </si>
  <si>
    <t>In protozoan ciliates, diffusible signalling proteins (pheromones) regulate the vegetative growth and mating interactions. Here, the coding genes and the structures of the encoded pheromones were studied in genetically distinct wild-type strains representing interbreeding Antarctic and Arctic populations of the marine ciliate Euplotes nobilii. Determination of seven allelic pheromone-coding DNA sequences revealed that an unusual extension and high structural conservation of the 5' non-coding region are peculiar traits of this gene family, implying that this region is directly involved in the mechanism of pheromone gene expression, possibly through phenomena of intron splicing and/or frame-shifting. For four pheromones, the three-dimensional structures were determined by nuclear magnetic resonance spectroscopy in solution. These structures show that the pheromones represent a protein family which adapts to its polar environment by combining a structurally stable core of a three-helix bundle with extended polypeptide segments that are devoid of regular secondary structures and concomitantly show enhanced structural flexibility. (C) 2012 Elsevier B.V. All rights reserved.</t>
  </si>
  <si>
    <t>[Vallesi, Adriana; Alimenti, Claudio; Luporini, Pierangelo] Univ Camerino, Dipartimento Sci Ambientali &amp; Nat, I-62032 Camerino, MC, Italy; [Pedrini, Bill; Wuethrich, Kurt] ETH, Inst Mol Biol &amp; Biophys, CH-8093 Zurich, Switzerland; [Di Giuseppe, Graziano; Dini, Fernando] Univ Pisa, Dipartimento Biol, I-56126 Pisa, Italy; [Wuethrich, Kurt] Scripps Res Inst, Dept Mol Biol, La Jolla, CA 92037 USA; [Wuethrich, Kurt] Scripps Res Inst, Skaggs Inst Chem Biol, La Jolla, CA 92037 USA</t>
  </si>
  <si>
    <t>University of Camerino; Swiss Federal Institutes of Technology Domain; ETH Zurich; University of Pisa; Scripps Research Institute; Scripps Research Institute</t>
  </si>
  <si>
    <t>Luporini, P (corresponding author), Univ Camerino, Dipartimento Sci Ambientali &amp; Nat, I-62032 Camerino, MC, Italy.</t>
  </si>
  <si>
    <t>piero.luporini@unicam.it</t>
  </si>
  <si>
    <t>Vallesi, Adriana/I-9933-2016; Pedrini, Bill/J-2237-2018</t>
  </si>
  <si>
    <t>Vallesi, Adriana/0000-0002-4127-090X; Pedrini, Bill/0000-0003-4228-7874; Di Giuseppe, Graziano/0000-0002-9999-7650; Alimenti, Claudio/0000-0003-2231-2948; Wuthrich, Kurt/0000-0001-8739-6965</t>
  </si>
  <si>
    <t>Programma Nazionale di Ricerche in Antartide (PNRA); Schweizerischer Nationalfonds; ETH Zurich; Skaggs Institute of Chemical Biology</t>
  </si>
  <si>
    <t>Programma Nazionale di Ricerche in Antartide (PNRA); Schweizerischer Nationalfonds(Swiss National Science Foundation (SNSF)); ETH Zurich(ETH Zurich); Skaggs Institute of Chemical Biology</t>
  </si>
  <si>
    <t>Research at the Universities of Camerino and Pisa was financially supported by the Programma Nazionale di Ricerche in Antartide (PNRA). B.P. acknowledges financial support from the Schweizerischer Nationalfonds, and K.W. acknowledges financial support from the ETH Zurich and the Skaggs Institute of Chemical Biology. K.W. is the Cecil H. and Ida M. Green Professor of Structural Biology at the Scripps Research Institute.</t>
  </si>
  <si>
    <t>1874-7787</t>
  </si>
  <si>
    <t>MAR GENOM</t>
  </si>
  <si>
    <t>Mar. Genom.</t>
  </si>
  <si>
    <t>10.1016/j.margen.2012.03.004</t>
  </si>
  <si>
    <t>Genetics &amp; Heredity; Marine &amp; Freshwater Biology</t>
  </si>
  <si>
    <t>068QJ</t>
  </si>
  <si>
    <t>WOS:000313381000003</t>
  </si>
  <si>
    <t>Van de Putte, AP; Janko, K; Kasparova, E; Maes, GE; Rock, J; Koubbi, P; Volckaert, FAM; Choleva, L; Fraser, KPP; Smykla, J; Van Houdt, JKJ; Marshall, C</t>
  </si>
  <si>
    <t>Van de Putte, Anton P.; Janko, Karel; Kasparova, Eva; Maes, Gregory E.; Rock, Jennifer; Koubbi, Philippe; Volckaert, Filip A. M.; Choleva, Lukas; Fraser, Keiron P. P.; Smykla, Jerzy; Van Houdt, Jeroen K. J.; Marshall, Craig</t>
  </si>
  <si>
    <t>Comparative phylogeography of three trematomid fishes reveals contrasting genetic structure patterns in benthic and pelagic species</t>
  </si>
  <si>
    <t>Microsatellite markers; Mitochondrial; Larval duration; Glaciations; Notothenioidei; Life history</t>
  </si>
  <si>
    <t>ANTARCTIC NOTOTHENIOID FISH; CORAL-REEF FISHES; POPULATION-STRUCTURE; CHAENOCEPHALUS-ACERATUS; MOLECULAR VARIANCE; LARVAL DISPERSAL; MARINE FISH; FLOW; SOFTWARE; DIFFERENTIATION</t>
  </si>
  <si>
    <t>Population genetics patterns of marine fish in general and of Southern Ocean fish in particular range from virtual panmixia over ocean-wide scale to deeply fragmented populations. However the causes underlying these different patterns are not properly understood. In this paper, we tested the hypotheses that population connectivity is positively related to a combination of life history traits, namely duration of pelagic larval period and the tendency towards pelagic life style in the adulthood. To do so, we analysed the variability of six microsatellite and one mitochondrial marker (cytochrome b) in three Southern Ocean fish species (Trematomus newnesi, Trematomus hansoni and Trematomus bernacchii). They share a recent common ancestor but notably differ in their duration of pelagic larval period as well as pelagic versus benthic lifestyle. We sampled over a range of more than 5000 km for all three species and used a number of population genetics tools to investigate past and contemporary levels of connectivity. All species experienced population fluctuations, but coalescent simulations suggested that contemporary populations are in migration-drift equilibrium. Although global F-ST values were rather low, a significant population structure separated the High-Antarctic from the Peninsular regions in all species. The level of genetic differentiation was much lower in the pelagic versus benthic species. Present data suggest that past and present genetic structuring in the Southern Ocean are indeed related with the ecological traits of Antarctic fish, however the relative importance of individual factors remains unclear. (C) 2012 Elsevier B.V. All rights reserved.</t>
  </si>
  <si>
    <t>[Van de Putte, Anton P.; Maes, Gregory E.; Volckaert, Filip A. M.] Katholieke Univ Leuven, Lab Biodivers &amp; Evolutionary Genom, B-3000 Louvain, Belgium; [Janko, Karel; Kasparova, Eva; Choleva, Lukas] Acad Sci Czech Republ, Inst Anim Physiol &amp; Genet, Lab Fish Genet, Libechov 27721, Czech Republic; [Rock, Jennifer] Univ Otago, Dept Zool, Dunedin 9054, New Zealand; [Koubbi, Philippe] Univ Paris 06, UMR 7093, Lab Ocanog Villefranche, F-06234 Villefranche Sur Mer, France; [Smykla, Jerzy] Polish Acad Sci, Inst Nat Conservat, Dept Biodivers, PL-31120 Krakow, Poland; [Smykla, Jerzy] Univ N Carolina, Dept Biol &amp; Marine Biol, Wilmington, NC 28403 USA; [Van Houdt, Jeroen K. J.] Katholieke Univ Leuven, Lab Cytogenet &amp; Genome Res, B-3000 Louvain, Belgium; [Marshall, Craig] Univ Otago, Dept Biochem &amp; Genet Otago, Dunedin 9054, New Zealand</t>
  </si>
  <si>
    <t>KU Leuven; Czech Academy of Sciences; Institute of Animal Physiology &amp; Genetics of the Czech Academy of Sciences; University of Otago; Centre National de la Recherche Scientifique (CNRS); CNRS - National Institute for Earth Sciences &amp; Astronomy (INSU); Sorbonne Universite; Polish Academy of Sciences; University of North Carolina; University of North Carolina Wilmington; KU Leuven; University of Otago</t>
  </si>
  <si>
    <t>Van de Putte, AP (corresponding author), Royal Belgian Inst Nat Sci, Vautierstr 29, B-1000 Brussels, Belgium.</t>
  </si>
  <si>
    <t>anton.vandeputte@naturalsciences.be</t>
  </si>
  <si>
    <t>Van de Putte, Anton/S-3729-2019; Kasparova, Eva/G-7184-2014; Volckaert, Filip/AAC-7691-2019; Maes, Gregory/N-4983-2019; Janko, Karel/G-7183-2014; Koubbi, Philippe/D-5873-2015; Marshall, Craig J./C-6668-2009; Maes, Gregory/C-5450-2008; Choleva, Lukas/G-7182-2014; Smykla, Jerzy/N-3288-2014</t>
  </si>
  <si>
    <t>Van de Putte, Anton/0000-0003-1336-5554; Maes, Gregory/0000-0002-1531-7321; Marshall, Craig J./0000-0003-4186-0368; Maes, Gregory/0000-0002-1531-7321; Stefkova Kasparova, Eva/0000-0003-4321-8213; Rock, Jenny/0000-0001-7250-6463; Fraser, Keiron/0000-0001-5491-8376; Smykla, Jerzy/0000-0001-8228-6695</t>
  </si>
  <si>
    <t>Belgian Science Policy (BELSPO) [EV/01/ 30B, PELAGANT, SD/BA/851, PADI]; Grant Agency of Academy of Sciences of the Czech Republic [KJB600450903]; European sixth framework program [FR-TAF-325]; IRP IAPG [AV0Z50450515]; Flemish Fund for Scientific Research; Polish Ministry of Science and Higher Education within the program 'Supporting International Mobility of Scientists' [NN305376438]; Natural Environment Resource Council UK [AFI 6/16]</t>
  </si>
  <si>
    <t>Belgian Science Policy (BELSPO)(Belgian Federal Science Policy Office); Grant Agency of Academy of Sciences of the Czech Republic(Grant Agency of the Czech Republic); European sixth framework program(European Union (EU)); IRP IAPG; Flemish Fund for Scientific Research(FWO); Polish Ministry of Science and Higher Education within the program 'Supporting International Mobility of Scientists'; Natural Environment Resource Council UK</t>
  </si>
  <si>
    <t>We thank Mark Belchier from the British Antarctic Survey, and the Australian Antarctic Division for providing tissue samples; The Alfred Wegener Institute for logistic support; Bait Hellemans, Sarka Pelikanova and Jana Cechova for invaluable help in laboratory work. This study was supported by: the Belgian Science Policy (BELSPO projects no. EV/01/ 30B, PELAGANT and SD/BA/851, PADI); the Grant Agency of Academy of Sciences of the Czech Republic No. KJB600450903 to KJ. and L.Ch.; the Synthesys project conducted at the Museum National d'Histoire Naturelle (Paris, France), part of the European sixth framework program FR-TAF-325 for K.J.; the Institute of Animal Physiology and Genetics AS CR that receives continuous support from IRP IAPG No. AV0Z50450515. G.E.M was funded by a post-doctoral fellowship provided by the Flemish Fund for Scientific Research (FWO Vlaanderen). J.S. was supported by the Polish Ministry of Science and Higher Education within the program 'Supporting International Mobility of Scientists' and a grant no. NN305376438. J.R. was supported by AFI 6/ 16 funded by the Natural Environment Resource Council UK. We thank the IPEV program 281 ICOTA coordinated by Philippe Koubbi and Catherine Ozouf-Costaz for samples from Adelie Land.</t>
  </si>
  <si>
    <t>1876-7478</t>
  </si>
  <si>
    <t>10.1016/j.margen.2012.05.002</t>
  </si>
  <si>
    <t>WOS:000313381000005</t>
  </si>
  <si>
    <t>Ghigliotti, L; Moller, PR; Cheng, CHC; Christiansen, JS; Fevolden, SE; Pisano, E</t>
  </si>
  <si>
    <t>Ghigliotti, L.; Moller, P. R.; Cheng, C. -H. C.; Christiansen, J. S.; Fevolden, S. -E.; Pisano, E.</t>
  </si>
  <si>
    <t>Exploring the diversity of Arctic eelpouts: First cytogenetic data on species of the genus Lycodes (Teleostei, Zoarcidae)</t>
  </si>
  <si>
    <t>Biodiversity; Eelpouts; Lycodes; Karyotype; Ribosomal genes</t>
  </si>
  <si>
    <t>IN-SITU HYBRIDIZATION; RIBOSOMAL DNA; FISH; NOTOTHENIOIDEI; PERCIFORMES; KARYOTYPE; PISCES; GENES; 5S; LOCALIZATION</t>
  </si>
  <si>
    <t>Zoarcidae (eelpouts), including 298 recognized valid species, is the most diverse family in the suborder Zoarcoidei (order Perciformes). Many of the species exhibit a great degree of phenotypic plasticity. In the present work, we analyze the genome of six Arctic species from the most diversified zoarcid genus Lycodes (L. eudipleurostictus, L. paamiuti, L. pallidus, L. seminudus, L. squamiventer, and L. reticulatus) providing the first information on the species-specific karyotype and pattern of major ribosomal genes chromosomal localization. The study revealed an unexpected consistency of the chromosomal features across species that apparently contrasts with the high level of inter-specific and intra-specific plasticity of morphological characters. The comparison between the chromosomal features of these Arctic eelpouts with those of the Antarctic species Lycodichthys dearborni (same subfamily, Lycodinae), suggests a conservative organization of the genome, at the level of gross architecture of chromosomes and karyotypes, within the family Zoarcidae. (C) 2012 Elsevier B.V. All rights reserved.</t>
  </si>
  <si>
    <t>[Ghigliotti, L.; Pisano, E.] Univ Genoa, DISTAV, I-16132 Genoa, Italy; [Moller, P. R.] Univ Copenhagen, Zool Museum, DK-2100 Copenhagen, Denmark; [Cheng, C. -H. C.] Univ Illinois, Dept Anim Biol, Urbana, IL 61801 USA; [Christiansen, J. S.; Fevolden, S. -E.] Univ Tromso, Dept Arctic &amp; Marine Biol, Fac Biosci Fisheries &amp; Econ, Tromso, Norway</t>
  </si>
  <si>
    <t>University of Genoa; University of Copenhagen; University of Illinois System; University of Illinois Urbana-Champaign; UiT The Arctic University of Tromso</t>
  </si>
  <si>
    <t>Ghigliotti, L (corresponding author), Univ Genoa, DISTAV, Viale Benedetto XV 5, I-16132 Genoa, Italy.</t>
  </si>
  <si>
    <t>laura.ghigliotti@unige.it</t>
  </si>
  <si>
    <t>Ghigliotti, Laura/J-3076-2012; Ghigliotti, Laura/AAN-6843-2021; Møller, Peter/A-8807-2013</t>
  </si>
  <si>
    <t>Ghigliotti, Laura/0000-0003-2139-1381; Møller, Peter/0000-0002-0177-0977</t>
  </si>
  <si>
    <t>Arctic Strategic Project (CNR); Italian National Programme for Antarctic Research (PNRA); US National Science Foundation Office of Polar Program; TUNU-Programme at the University of Tromso, Norway</t>
  </si>
  <si>
    <t>Arctic Strategic Project (CNR); Italian National Programme for Antarctic Research (PNRA); US National Science Foundation Office of Polar Program(National Science Foundation (NSF)); TUNU-Programme at the University of Tromso, Norway</t>
  </si>
  <si>
    <t>The research was supported by the Arctic Strategic Project (CNR), the Italian National Programme for Antarctic Research (PNRA), the US National Science Foundation Office of Polar Program, and the TUNU-Programme at the University of Tromso, Norway.</t>
  </si>
  <si>
    <t>10.1016/j.margen.2012.07.001</t>
  </si>
  <si>
    <t>WOS:000313381000006</t>
  </si>
  <si>
    <t>Coscia, MR; Giacomelli, S; Oreste, U</t>
  </si>
  <si>
    <t>Coscia, Maria Rosaria; Giacomelli, Stefano; Oreste, Umberto</t>
  </si>
  <si>
    <t>Allelic polymorphism of Immunoglobulin heavy chain genes in the Antarctic teleost Trematomus bernacchii</t>
  </si>
  <si>
    <t>Antarctic teleost; Allelic polymorphism; Fish immunoglobulin M; Hinge region; Positive selection</t>
  </si>
  <si>
    <t>IGA1 PROTEASES; EVOLUTION; HINGE; RATES; MHC; ANTIBODIES; ALLOTYPES; CLEAVAGE; PLASMA</t>
  </si>
  <si>
    <t>IgM represents the main immunoglobulin isotype shared by all teleost fish. However, Antarctic fish IgM possess a peculiar hinge region, which connects the CH2 and CH3 domains, not seen in any other teleost species. In the present study allelic polymorphism of IgM gene of the Antarctic teleost Trematomus benacchii was investigated. By nucleotide sequencing the entire Immunoglobulin heavy chain constant region from ten T. bernacchii individuals, 47 positions were found to be polymorphic. The largest number of polymorphic positions, accounting for 51% of the total, was found to fall within the hinge region. This region not only displayed extensive nucleotide variation, but also length diversity: in fact several sequences were one amino acid shorter as resulting from the usage of a different splice acceptor site of the CH3 exon, as demonstrated by genomic DNA analysis. The Ka/Ks ratios of the polymorphic positions showed typical values higher than I, indicative of positive selection acting to polymorphic codons to favor amino acid replacements and maintain allelic variants. (C) 2012 Elsevier B.V. All rights reserved.</t>
  </si>
  <si>
    <t>[Coscia, Maria Rosaria; Giacomelli, Stefano; Oreste, Umberto] CNR, Inst Prot Biochem, I-80131 Naples, Italy</t>
  </si>
  <si>
    <t>Consiglio Nazionale delle Ricerche (CNR); Istituto di Biochimica delle Proteine (IBP-CNR)</t>
  </si>
  <si>
    <t>Coscia, MR (corresponding author), CNR, Inst Prot Biochem, Via P Castellino 111, I-80131 Naples, Italy.</t>
  </si>
  <si>
    <t>mr.coscia@ibp.cnr.it; s.giacorrielli@ibp.cnr.it; u.oreste@ibp.cnr.it</t>
  </si>
  <si>
    <t>Coscia, Maria Rosaria/AAU-1808-2021</t>
  </si>
  <si>
    <t>Italian Antarctic Research Program (PNRA) [2005.1.2]</t>
  </si>
  <si>
    <t>This study was conducted in the framework of the Italian Antarctic Research Program (PNRA), project 2005.1.2.</t>
  </si>
  <si>
    <t>10.1016/j.margen.2012.04.002</t>
  </si>
  <si>
    <t>WOS:000313381000007</t>
  </si>
  <si>
    <t>Dettai, A; Berkani, M; Lautredou, AC; Couloux, A; Lecointre, G; Ozouf-Costaz, C; Gallut, C</t>
  </si>
  <si>
    <t>Dettai, A.; Berkani, M.; Lautredou, A. -C.; Couloux, A.; Lecointre, G.; Ozouf-Costaz, C.; Gallut, C.</t>
  </si>
  <si>
    <t>Tracking the elusive monophyly of nototheniid fishes (Teleostei) with multiple mitochondrial and nuclear markers</t>
  </si>
  <si>
    <t>Cytochrome oxidase 1; Phylogeny; Congruence; Simultaneous analysis</t>
  </si>
  <si>
    <t>EVOLUTION; PHYLOGENETICS; GENE; ACANTHOMORPHA; CRITERION; DNA</t>
  </si>
  <si>
    <t>Since the first molecular study of the suborder Notothenioidei in 1994, many phylogenetic studies have been published. Among these, those with a sufficient number of taxa have all suggested that the Nototheniidae, as currently defined, is monophyletic only with the inclusion of the Channichthyidae, Artedidraconidae, Bathydraconidae and Harpagiferidae. This is corroborated by more recent studies including more taxa, but in these studies either the number of nuclear markers or the number of taxa included remained low. We obtained sequences for a large sampling covering most nototheniid genera for five markers described previously for other samplings (COI, Rhodopsin retrogene, Pkd1, HECW2, and SSRP1) and one nuclear marker never used before in phylogenetic inference (PPM1d). The topology for the combined analysis of the nuclear coding genes, as well as the topology for SSRP1 (non-coding) and the combined analysis for all markers all support the paraphyly of Nototheniidae, the genus Notothenia (including Paranotothenia) is the sister group of the clade Channichthyidae, Artedidraconidae, Bathydraconidae and Harpagiferidae, and genus Gobionotothen is a sister group to both. As in previous studies, Trematomus, Lepidonotothen and Patagonotothen form a clade that also includes Indonotothenia cyanobrancha. The position of Pleuragramma antarctica, Dissostichus species and Aethotaxis mitopteryx remains unstable and dependant on markers and analyses. We therefore propose the inclusion of the four families of the High Antarctic clade in the Nototheniidae, and their transformation into subfamilies. We transfer Paranotothenia magellanica to the genus Notothenia, as Notothenia magellanica. (C) 2012 Elsevier B.V. All rights reserved.</t>
  </si>
  <si>
    <t>[Dettai, A.; Berkani, M.; Lautredou, A. -C.; Lecointre, G.; Ozouf-Costaz, C.; Gallut, C.] Museum Natl Hist Nat, Dept Systemat &amp; Evolut, UMR 7138, F-75231 Paris 05, France; [Couloux, A.] Ctr Natl Sequencage, F-91057 Evry, France</t>
  </si>
  <si>
    <t>Museum National d'Histoire Naturelle (MNHN); Sorbonne Universite; Centre National de la Recherche Scientifique (CNRS); CNRS - National Institute for Biology (INSB); Universite Paris Saclay</t>
  </si>
  <si>
    <t>Dettai, A (corresponding author), Museum Natl Hist Nat, Dept Systemat &amp; Evolut, UMR 7138, CP 26,43 Rue Cuvier, F-75231 Paris 05, France.</t>
  </si>
  <si>
    <t>adettai@mnhn.fr; mohamed.berkani@hotmail.fr; ac.lautredou@orange.fr; acouloux@genoscope.cns.fr; lecointr@mnhn.fr; ozouf@mnhn.fr; cyril.gallut@upmc.fr</t>
  </si>
  <si>
    <t>Dettai, Agnes/Q-6743-2019</t>
  </si>
  <si>
    <t>Couloux, Arnaud/0000-0003-2356-0062; Gallut, Cyril/0000-0002-6486-0179</t>
  </si>
  <si>
    <t>Australian Antarctic Division; Japanese Science Foundation; French Polar Institute IPEV; CNRS; ANR [07-BLAN-0213-01]; National Science Foundation [OPP 01-32032]; EPOS cruise; BQR from the Museum national d'Histoire naturelle Isolation de marqueurs moleculaires pour la phylogenie inter-ordinate et la cytogenetique intra-familiale des acanthomorphes (teleosteens); 'Service de Systematique Moleculaire' of the MNHN [UMS 2700 CNRS]; Consortium National de Recherche en Genomique [2005/67]; MNHN</t>
  </si>
  <si>
    <t>Australian Antarctic Division; Japanese Science Foundation; French Polar Institute IPEV; CNRS(Centre National de la Recherche Scientifique (CNRS)); ANR(Agence Nationale de la Recherche (ANR)); National Science Foundation(National Science Foundation (NSF)); EPOS cruise; BQR from the Museum national d'Histoire naturelle Isolation de marqueurs moleculaires pour la phylogenie inter-ordinate et la cytogenetique intra-familiale des acanthomorphes (teleosteens); 'Service de Systematique Moleculaire' of the MNHN; Consortium National de Recherche en Genomique(General Electric); MNHN</t>
  </si>
  <si>
    <t>We thank the crew and participants of the cruises involved in the capture of the samples, and especially the chief scientists of the CAML-CEAMARC cruises (IPY project no. 53) were supported by the Australian Antarctic Division, the Japanese Science Foundation, the French Polar Institute IPEV, the CNRS, the MNHN and the ANR (White Project ANTFLOCKS USAR no. 07-BLAN-0213-01 directed by Guillaume Lecointre). G. Lancelot is thanked for his help for language corrections and many constructive comments. The present work was also partly based on samples collected during the ICEFISH 2004 cruise (supported by National Science Foundation grant OPP 01-32032 to H. William Detrich (Northestern University)) and the EPOS cruise (1989) for which we are grateful to the Alfred Wegener Institute and the European Science Foundation. We also thank C. Cheng for additional samples. This project is a contribution to the EBA-SCAR program.; This work was supported by a BQR from the Museum national d'Histoire naturelle Isolation de marqueurs moleculaires pour la phylogenie inter-ordinate et la cytogenetique intra-familiale des acanthomorphes (teleosteens); by the 'Service de Systematique Moleculaire' of the MNHN (UMS 2700 CNRS and the 'Consortium National de Recherche en Genomique': it is part of the agreement number 2005/67 between the Genoscope and the Museum national d'Histoire naturelle on the project 'Macrophylogeny of life' directed by G. Lecointre.</t>
  </si>
  <si>
    <t>10.1016/j.margen.2012.02.003</t>
  </si>
  <si>
    <t>WOS:000313381000008</t>
  </si>
  <si>
    <t>Casaux, R; Ramón, A; Tartara, MA; Borrell, V; Gonc, R</t>
  </si>
  <si>
    <t>Casaux, Ricardo; Ramon, Analia; Alejandra Tartara, Maria; Borrell, Veronica; Gonc, Romina</t>
  </si>
  <si>
    <t>DIET OF BREEDING NEOTROPIC CORMORANTS AT THE CARRILEUFU RIVER, PATAGONIA: IS THERE ANY IMPACT ON RECREATIONAL FISH RESOURCES?</t>
  </si>
  <si>
    <t>ARDEOLA</t>
  </si>
  <si>
    <t>diet composition; fish intake; impact on fish resources</t>
  </si>
  <si>
    <t>SHAGS PHALACROCORAX-ARISTOTELIS; ANTARCTIC SHAG; PREDATION; ARGENTINA; BEHAVIOR; OVERLAP; DENSITY; SEABIRD; COLONY; CARBO</t>
  </si>
  <si>
    <t>Some cormorant species are perceived as negatively interacting with fish resources but conclusive evidence supporting such suggestions are scarce. Here we studied the diet of the neotropic cormorant and assessed its impact on recreational fish resources. A total of 33 pellets (regurgitated casts) and 73 regurgitations produced by the Neotropic cormorant were collected between 19 October 2006 and 24 February 2007 at a colony on the Carrileufu River, Patagonia, Argentina. Fish (94.3%) were the most abundant prey, followed by crustaceans (5.1%) and molluscs (0.6%). The Patagonian silverside Odontesthes hatcheri was the most frequent fish prey, followed by the rainbow trout Oncorhynchus mykiss and the creole perch Percichthys trucha. The contribution of fish species to the diet varied throughout the breeding season. The fish intake estimate for the colony based on parameters drawn from previous studies was 4.708 tons, which represents a consumption of 41,504 fish specimens. Native species were the major component of the cormorant diet, comprising 75.7% of the specimens and 73.2% of the biomass consumed during the course of the breeding season. Given fish availability and productivity within the study area, the impact on recreational fish resources by Neotropic cormorants can be estimated to be of minor importance.</t>
  </si>
  <si>
    <t>[Casaux, Ricardo] Inst Antartico Argentino, RA-1010 Buenos Aires, DF, Argentina; [Casaux, Ricardo; Alejandra Tartara, Maria; Borrell, Veronica; Gonc, Romina] Consejo Nacl Invest Cient &amp; Tecn CONICET, RA-1033 Buenos Aires, DF, Argentina; [Casaux, Ricardo; Alejandra Tartara, Maria] Univ Nacl Patagonia, LIESA, RA-9200 Esquel, Chubut, Argentina; [Ramon, Analia] Municipalidad Esquel, RA-9200 Esquel, Chubut, Argentina</t>
  </si>
  <si>
    <t>Instituto Antartico Argentino; Consejo Nacional de Investigaciones Cientificas y Tecnicas (CONICET); Universidad Nacional de la Patagonia San Juan Bosco</t>
  </si>
  <si>
    <t>Casaux, R (corresponding author), Inst Antartico Argentino, Cerrito 1248, RA-1010 Buenos Aires, DF, Argentina.</t>
  </si>
  <si>
    <t>SOC ESPANOLA ORNITOLGIA</t>
  </si>
  <si>
    <t>MADRID</t>
  </si>
  <si>
    <t>MELQUIADAS BIENCINTO 34, E-28053 MADRID, SPAIN</t>
  </si>
  <si>
    <t>0570-7358</t>
  </si>
  <si>
    <t>Ardeola</t>
  </si>
  <si>
    <t>10.13157/arla.59.2.2012.279</t>
  </si>
  <si>
    <t>080RJ</t>
  </si>
  <si>
    <t>WOS:000314260700006</t>
  </si>
  <si>
    <t>Stinnesbeck, W; Ifrim, C; Salazar, C</t>
  </si>
  <si>
    <t>Stinnesbeck, Wolfgang; Ifrim, Christina; Salazar, Christian</t>
  </si>
  <si>
    <t>The last Cretaceous ammonites in Latin America</t>
  </si>
  <si>
    <t>ACTA PALAEONTOLOGICA POLONICA</t>
  </si>
  <si>
    <t>Ammonoidea; Cretaceous-Paleogene (K-Pg) boundary; Maastrichtian; Chile; Argentina; South America; Mexico</t>
  </si>
  <si>
    <t>TERMINAL MAASTRICHTIAN AMMONITES; HETEROMORPH AMMONITES; PLANKTIC FORAMINIFERA; SEYMOUR-ISLAND; BASIN; TERTIARY; STRATIGRAPHY; AREA; KOSSMATICERATIDAE; PONDICHERRY</t>
  </si>
  <si>
    <t>Stinnesbeck, W., Ifrim, C., and Salazar, C. 2012. The last Cretaceous ammonites in Latin America. Acta Palaeontologica Polonica 57 (4): 717-728. Sections yielding late Maastrichtian ammonite assemblages are rare in Latin America and precise biostratigraphic correlation with European type sections remains difficult. In all, the extinction pattern of ammonites appears to differ between sites in southern high latitudes and those in the tropics to subtropics. In austral sections of Chile, and possibly also in southern Argentina, diverse assemblages range throughout most of the substage and then show a gradual decline prior to the Cretaceous-Paleogene (K-Pg) boundary. Further north, in northeast Brazil, only two genera (Diplomoceras, Pachydiscus) range into the uppermost Maastrichtian, but disappear within the last 0.3 Ma of the Cretaceous. In tropical sections of Columbia and Mexico, the decline of ammonites started earlier and Sphenodiscus is the last ammonite known to occur in the late Maastrichtian. In all sections revised here the disappearance of ammonites was completed prior to the end of the Maastrichtian and was thus independent of the asteroid impact at, or near, the end of the Cretaceous.</t>
  </si>
  <si>
    <t>[Stinnesbeck, Wolfgang; Ifrim, Christina; Salazar, Christian] Heidelberg Univ, Inst Geowissensch, D-69120 Heidelberg, Germany</t>
  </si>
  <si>
    <t>Ruprecht Karls University Heidelberg</t>
  </si>
  <si>
    <t>Stinnesbeck, W (corresponding author), Heidelberg Univ, Inst Geowissensch, Neuenheimer Feld 234, D-69120 Heidelberg, Germany.</t>
  </si>
  <si>
    <t>wolfgang.stinnesbeck@geow.uni-heidelberg.de; christina.ifrim@geow.uni-heidelberg.de; geosalazar@gmail.com</t>
  </si>
  <si>
    <t>Salazar, Christian/GQQ-3188-2022</t>
  </si>
  <si>
    <t>Salazar, Christian/0000-0002-9436-4950</t>
  </si>
  <si>
    <t>Deutsche Forschungsgemeinschaft [STI/128/6, STI/128/20]; BMBF [CHL10/A09]</t>
  </si>
  <si>
    <t>Deutsche Forschungsgemeinschaft(German Research Foundation (DFG)); BMBF(Federal Ministry of Education &amp; Research (BMBF))</t>
  </si>
  <si>
    <t>The Universidad de Concepcion and the Instituto Antarctic Chileno provided transportation and logistic assistance in the field in Chile; special thanks to Luis Arturo Quinzio, Gerardo Flores (both Universidad de Concepcion, Chile), and Marcelo Leppe Cartes (Instituto Nacional Antarctic Chileno, Punta Arenas, Chile). Research in Argentina would have been impossible without the assistance in the field of Hector Leanza (Servicio Geologic Minero Argentino, Buenos Aires, Argentina). In Mexico, Jose Guadelupe Lopez Oliva (Facultad de Ciencias de la Tierra, UANL, Linares, Mexico) and Arturo Gonzalez Gonzalez (Museo del Desierto, Saltillo, Mexico) worked closely with us in the field and provided logistic assistance. We especially appreciate the valuable suggestions made to this manuscript by reviewers Marcin Machalski (Institut of Paleobiology, Polish Akademy of Sciences, Warsaw, Poland) and Neil H. Landman (American Museum of Natural History, New York, USA) and guest editors Elena A. Jagt-Yazykova (University of Opole, Poland) and John W.M. Jagt (Natuurhistorisch Museum Maastricht, the Netherlands). WS acknowledges support from the Deutsche Forschungsgemeinschaft (STI/128/6; STI/128/20) and BMBF project (CHL10/A09).</t>
  </si>
  <si>
    <t>INST PALEOBIOLOGII PAN</t>
  </si>
  <si>
    <t>UL TWARDA 51/55, 00-818 WARSAW, POLAND</t>
  </si>
  <si>
    <t>0567-7920</t>
  </si>
  <si>
    <t>1732-2421</t>
  </si>
  <si>
    <t>ACTA PALAEONTOL POL</t>
  </si>
  <si>
    <t>Acta Palaeontol. Pol.</t>
  </si>
  <si>
    <t>10.4202/app.2011.0042</t>
  </si>
  <si>
    <t>073WS</t>
  </si>
  <si>
    <t>WOS:000313774400006</t>
  </si>
  <si>
    <t>Wang, TQ; Zhu, LH; Peng, CL</t>
  </si>
  <si>
    <t>Wang, Tingqin; Zhu, Linghong; Peng, Changlian</t>
  </si>
  <si>
    <t>EFFECT OF OVER-EXPRESSION OF V-ATPase SUBUNIT C FROM ANTARCTIC NOTOTHENIOID FISHES ON COLD TOLERANCE IN TOBACCO</t>
  </si>
  <si>
    <t>BIOTECHNOLOGY &amp; BIOTECHNOLOGICAL EQUIPMENT</t>
  </si>
  <si>
    <t>ATP; pEBV-VIGS; transgenic plants; electrolyte leakage activity; MDA; proline; soluble protein; Fv/Fm</t>
  </si>
  <si>
    <t>FREEZING TOLERANCE; CHLOROPHYLL FLUORESCENCE; LOW-TEMPERATURE; ARABIDOPSIS-THALIANA; PLASMA-MEMBRANE; H+-ATPASE; STRESS; GENE; ACCLIMATION; PROTEINS</t>
  </si>
  <si>
    <t>In order to elucidate the function of ATPase subuinit C from Antarctic notothenioid fishes, we designed and adopted a modified pEBV-VIGS (pea early browning virus, pEB V; virus-induced gene silencing, VIGS) virus infection technique (10) to introduce the ATPase gene into tobacco plants. The result of RT-PCR confirmed that the ATPase subuinit C gene was over-expressed in tobacco. In contrast to wild-type plants, these transgenic lines grew faster under low temperature. The physiological and biochemical effects of high-level expression of the pCAPE2-ATP in tobacco were then analyzed; the changes in electrolyte leakage activity, MDA content, proline content, soluble protein content and the ratio of Fv/Fm showed that ATP over-expression in tobacco increased the cold tolerance of plants. These results demonstrated that ATP can possibly be used to enhance the low temperature-tolerance of plants. Biotechnol. &amp; Biotechnol. Eq. 2012, 26(6), 3359-3364</t>
  </si>
  <si>
    <t>[Wang, Tingqin; Zhu, Linghong; Peng, Changlian] S China Normal Univ, Guangdong Prov Key Lab Biotechnol Plant Dev, Key Lab Ecol &amp; Environm Sci Guangdong Higher Educ, Coll Life Sci, Guangzhou 510631, Guangdong, Peoples R China; [Wang, Tingqin] Guangdong Ocean Univ, Coll Agr, Zhanjiang 524088, Peoples R China</t>
  </si>
  <si>
    <t>South China Normal University; Guangdong Ocean University</t>
  </si>
  <si>
    <t>Peng, CL (corresponding author), S China Normal Univ, Guangdong Prov Key Lab Biotechnol Plant Dev, Key Lab Ecol &amp; Environm Sci Guangdong Higher Educ, Coll Life Sci, Guangzhou 510631, Guangdong, Peoples R China.</t>
  </si>
  <si>
    <t>pengchl@scib.ac.cn</t>
  </si>
  <si>
    <t>1310-2818</t>
  </si>
  <si>
    <t>1314-3530</t>
  </si>
  <si>
    <t>BIOTECHNOL BIOTEC EQ</t>
  </si>
  <si>
    <t>Biotechnol. Biotechnol. Equip.</t>
  </si>
  <si>
    <t>10.5504/BBEQ.2012.0113</t>
  </si>
  <si>
    <t>075AM</t>
  </si>
  <si>
    <t>WOS:000313856200005</t>
  </si>
  <si>
    <t>Zezina, ON</t>
  </si>
  <si>
    <t>Zezina, O. N.</t>
  </si>
  <si>
    <t>On the estimated age of recent fauna in different latitudinal zones (by the example of brachiopods)</t>
  </si>
  <si>
    <t>PALEONTOLOGICAL JOURNAL</t>
  </si>
  <si>
    <t>recent brachiopods; endemic genera in the latitudinal zones; comparison of endemics by their age</t>
  </si>
  <si>
    <t>RECENT MARINE FAUNA; BIOGEOGRAPHY</t>
  </si>
  <si>
    <t>Maximum period of existence of endemic genera in the temperately warm-water (subtropical) and temperately cold-water (low boreal and subantarctic) faunal belts is revealed on the base of latest data on the composition of brachiopod fauna of recent seas and oceans and most full data on the paleontological finds of recent brachiopod genera. Most of the subtropical endemics inhabit southern hemisphere; one of them is Bouchardia, which is known beginning with the Late Cretaceous (Maastrichtian), that brings together southern subtropical faunal belt with the tropical zone and suggests that subtropical waters could serve as a refuge for representatives of ancient warm-water faunas during large geological and hydrological reconstructions at the Mesozoic-Cenozoic boundary. Most of the younger endemics of low boreal and subantarctic faunal belts appeared at the Paleogene-Neogene boundary, during the period of formation of modern contrast climate on the Earth that was caused by the formation of Antarctic Circumpolar Current. The appearance of recent species and genera in the Holocene was influenced by last considerable postglacial reconstruction of climate.</t>
  </si>
  <si>
    <t>Russian Acad Sci, PP Shirshov Oceanol Inst, Moscow 117997, Russia</t>
  </si>
  <si>
    <t>Zezina, ON (corresponding author), Russian Acad Sci, PP Shirshov Oceanol Inst, Nakhimovskii Pr 36, Moscow 117997, Russia.</t>
  </si>
  <si>
    <t>kap@ocean.ru</t>
  </si>
  <si>
    <t>Presidium of Russian Academy of Sciences Origin of the biosphere and evolution of geobiological systems [25]; Russian Foundation for Basic Research [09-05-00868]</t>
  </si>
  <si>
    <t>Presidium of Russian Academy of Sciences Origin of the biosphere and evolution of geobiological systems; Russian Foundation for Basic Research(Russian Foundation for Basic Research (RFBR)Spanish Government)</t>
  </si>
  <si>
    <t>This study was supported by the program no. 25 of the Presidium of Russian Academy of Sciences Origin of the biosphere and evolution of geobiological systems and partly by the Russian Foundation for Basic Research, project no. 09-05-00868.</t>
  </si>
  <si>
    <t>PLEIADES PUBLISHING INC</t>
  </si>
  <si>
    <t>MOSCOW</t>
  </si>
  <si>
    <t>PLEIADES PUBLISHING INC, MOSCOW, 00000, RUSSIA</t>
  </si>
  <si>
    <t>0031-0301</t>
  </si>
  <si>
    <t>1555-6174</t>
  </si>
  <si>
    <t>PALEONTOL J+</t>
  </si>
  <si>
    <t>Paleontol. J.</t>
  </si>
  <si>
    <t>10.1134/S0031030112120118</t>
  </si>
  <si>
    <t>077SN</t>
  </si>
  <si>
    <t>WOS:000314048300006</t>
  </si>
  <si>
    <t>Zhang, F; Ma, YX; Lin, L; He, JF</t>
  </si>
  <si>
    <t>Zhang, Fang; Ma, Yuxin; Lin, Ling; He, Jianfeng</t>
  </si>
  <si>
    <t>Hydrophysical correlation and water mass indication of optical physiological parameters of picophytoplankton in Prydz Bay during autumn 2008</t>
  </si>
  <si>
    <t>JOURNAL OF MICROBIOLOGICAL METHODS</t>
  </si>
  <si>
    <t>Prydz Bay; Picophytoplankton; Flow cytometty; Ecophysiology; CCA analysis</t>
  </si>
  <si>
    <t>FLOW-CYTOMETRY; COMMUNITY STRUCTURE; SOUTHERN-OCEAN; PACIFIC-OCEAN; ABUNDANCE; SEA; PICOPLANKTON; BIOMASS; WEST</t>
  </si>
  <si>
    <t>Flow cytometry (FCM) is efficient in detecting both abundance and optical physiological parameters including cell size and cellular carbon content-side scatter (SSC), carotenoids-green and orange fluorescence (FL1 and FL2), and red fluorescence-chlorophylls (FL3) can be obtained by FCM. The utilization of these physiological parameters in indicating water masses in Prydz Bay was investigated for the first time. Picophytoplankton were very sensitive to hydrophysical changes and present distinct characteristics of water masses: Picophytoplankton in water closer to the Amery Ice Shelf were more affected by salinity than by temperature, while temperature became more important than salinity the nearer the picophytoplankton were to the deep sea. The picophytoplankton dealt with declines in light by increasing the size of cells, which increase the fixation of carbon. This can also be increased by high temperature and salinity. Pure water masses can increase the content of chlorophylls and cellular carbon. Generally, the distributions of all the five parameters at upper water depths were less affected by temperature and salinity than by water masses; and these parameters can be as indicators to Summer Surface Water (SSW), Winter Water (WW) and Continental Shelf Water (CSW). (c) 2012 Elsevier B.V. All rights reserved.</t>
  </si>
  <si>
    <t>[Zhang, Fang; Ma, Yuxin; Lin, Ling; He, Jianfeng] Polar Res Inst China, SOA Key Lab Polar Sci, Shanghai 200136, Peoples R China; [Ma, Yuxin; He, Jianfeng] Tongji Univ, Sch Environm Sci &amp; Engn, Shanghai 200092, Peoples R China</t>
  </si>
  <si>
    <t>Zhang, F (corresponding author), 451 Jinqiao Rd, Shanghai 200136, Peoples R China.</t>
  </si>
  <si>
    <t>zhangfang@pric.gov.cn</t>
  </si>
  <si>
    <t>MA, Yuxin/AAG-8630-2020; Zhang, Fang/AAX-3262-2021</t>
  </si>
  <si>
    <t>Zhang, Fang/0000-0002-0300-8273</t>
  </si>
  <si>
    <t>National Nature Science Foundation of China [41076130, 41206189]; Chinese International Polar Year Program</t>
  </si>
  <si>
    <t>National Nature Science Foundation of China(National Natural Science Foundation of China (NSFC)); Chinese International Polar Year Program</t>
  </si>
  <si>
    <t>This work was supported by the National Nature Science Foundation of China (41076130 and 41206189), and the Chinese International Polar Year Program. Samples Information and Data issued by the Resource-sharing Platform of Polar Samples (http://birds.chinare.org.cn) maintained by Polar Research Institute of China (PRIC) and Chinese National Arctic &amp; Antarctic Data Center (CN-NADC).</t>
  </si>
  <si>
    <t>0167-7012</t>
  </si>
  <si>
    <t>1872-8359</t>
  </si>
  <si>
    <t>J MICROBIOL METH</t>
  </si>
  <si>
    <t>J. Microbiol. Methods</t>
  </si>
  <si>
    <t>10.1016/j.mimet.2012.09.030</t>
  </si>
  <si>
    <t>Biochemical Research Methods; Microbiology</t>
  </si>
  <si>
    <t>070AJ</t>
  </si>
  <si>
    <t>WOS:000313477900035</t>
  </si>
  <si>
    <t>Patterson, MO; Ishman, SE</t>
  </si>
  <si>
    <t>Patterson, Molly O.; Ishman, Scott E.</t>
  </si>
  <si>
    <t>Neogene benthic foraminiferal assemblages and paleoenvironmental record for McMurdo Sound, Antarctica</t>
  </si>
  <si>
    <t>GEOSPHERE</t>
  </si>
  <si>
    <t>SOUTHERN VICTORIA LAND; ROSS SEA; ICE SHELF; MARINE SEDIMENTATION; GLACIAL HISTORY; LATE OLIGOCENE; YOUNGER DRYAS; DRILL HOLE; CLIMATE; PROJECT</t>
  </si>
  <si>
    <t>The Antarctic Geological Drilling (ANDRILL) program recovered a 1,138m-long core, AND-2A, during the austral spring 2007-2008 from the Victoria Land Basin for the Southern McMurdo Sound (SMS) Project. The main objective of the SMS Project was to establish a Neogene (ca. 24-2.5 Ma) history recording ice volume changes from an ice-proximal site, in particular the environmental response of the Antarctic margin during the middle Miocene climate transition. This study focuses on the foraminifera taxa recovered from AND-2A, providing a paleoenvironmental analysis including paleobathymetry and ice-proximity estimates. Three assemblages, Cibicides-Cassidulinoides, Ammoelphidiella, and Ehrenbergina, as well as two subassemblages within the Ammoelphidiella assemblage, Globocassidulina and Nonionella, were identified in this study using cluster analysis. Calcareous eurytopic taxa dominate every assemblage and display similarities between Fresh Shelf Water assemblages and Ice Edge Biofacies that were previously defined in other studies focused in the Southern Ocean, as well as assemblages recovered from previous drilling projects in the Ross Sea region. Paleoenvironmental interpretations include an early Miocene record of fluctuating periods of glacial influence from ice-distal, abrupt cooling followed by a continued warming and transition into a more ice-proximal setting in the uppermost middle Miocene. The well-preserved middle Miocene record reflects more-productive stable environmental conditions with significant freshwater input from outlet glaciers and rivers at the East Antarctic margin, and coincides with previously published palynomorph data indicating a short abrupt warming. Furthermore, the persistent appearance of the planktonic species Neogloboquadrina pachyderma and glacial/sea ice assemblages can be related to the onset of progressive cooling at the Antarctic margin, including periods of fluctuating sea ice extent or glacial proximity. Finally, the Pliocene record contains taxa similar to that of Fresh Shelf Water assemblages and Ice Edge Biofacies recovered in the Southern Ocean today. Paleobathymetric estimates range from inner shelf depths (similar to 50-150 m) in the early Miocene reaching periods of outer-shelf depths (similar to 400 m) in the uppermost early-middle Miocene and Pliocene.</t>
  </si>
  <si>
    <t>[Patterson, Molly O.; Ishman, Scott E.] So Illinois Univ, Dept Geol, Carbondale, IL 62901 USA</t>
  </si>
  <si>
    <t>Southern Illinois University System; Southern Illinois University</t>
  </si>
  <si>
    <t>Patterson, MO (corresponding author), So Illinois Univ, Dept Geol, Mailcode 4324, Carbondale, IL 62901 USA.</t>
  </si>
  <si>
    <t>Patterso, Molly/0000-0002-5058-9269</t>
  </si>
  <si>
    <t>National Science Foundation [0342484]; U.S. National Science Foundation; New Zealand Foundation for Research Science and Technology; Royal Society of New Zealand Marsden Fund; Italian Antarctic Research Programme; German Research Foundation (DFG); Alfred Wegener Institute for Polar and Marine Research (Helmholtz Association of German Research Centres); Antarctica New Zealand; Raytheon Polar Services</t>
  </si>
  <si>
    <t>National Science Foundation(National Science Foundation (NSF)); U.S. National Science Foundation(National Science Foundation (NSF)); New Zealand Foundation for Research Science and Technology(New Zealand Foundation for Research, Science and Technology); Royal Society of New Zealand Marsden Fund(Royal Society of New ZealandMarsden Fund (NZ)); Italian Antarctic Research Programme; German Research Foundation (DFG)(German Research Foundation (DFG)); Alfred Wegener Institute for Polar and Marine Research (Helmholtz Association of German Research Centres); Antarctica New Zealand; Raytheon Polar Services</t>
  </si>
  <si>
    <t>This material is based upon work supported by the National Science Foundation under Cooperative Agreement No. 0342484 through subawards administered and issued by the ANDRILL Science Management Office at the University of Nebraska-Lincoln, as part of the ANDRILL U.S. Science Support Program. Any opinions, findings, and conclusions or recommendations expressed in this material are those of the authors and do not necessarily reflect the views of the National Science Foundation.; The ANDRILL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Enterprises Ltd. Scientific studies are jointly supported by the U.S. National Science Foundation, New Zealand Foundation for Research Science and Technology, Royal Society of New Zealand Marsden Fund, the Italian Antarctic Research Programme, the German Research Foundation (DFG), and the Alfred Wegener Institute for Polar and Marine Research (Helmholtz Association of German Research Centres). Antarctica New Zealand supported the drilling team at Scott Base; Raytheon Polar Services supported the science team at McMurdo Station and the Crary Science and Engineering Laboratory. The ANDRILL Science Management Office at the University of Nebraska-Lincoln provided science planning and operational support.</t>
  </si>
  <si>
    <t>1553-040X</t>
  </si>
  <si>
    <t>Geosphere</t>
  </si>
  <si>
    <t>10.1130/GES00771.1</t>
  </si>
  <si>
    <t>062OT</t>
  </si>
  <si>
    <t>WOS:000312929900009</t>
  </si>
  <si>
    <t>Di Roberto, A; Del Carlo, P; Rocchi, S; Panter, KS</t>
  </si>
  <si>
    <t>Di Roberto, A.; Del Carlo, P.; Rocchi, S.; Panter, K. S.</t>
  </si>
  <si>
    <t>Early Miocene volcanic activity and paleoenvironment conditions recorded in tephra layers of the AND-2A core (southern McMurdo Sound, Antarctica)</t>
  </si>
  <si>
    <t>ROSS SEA; GLACIAL HISTORY; VICTORIA LAND; MOUNT EREBUS; GEOLOGY; GEOCHRONOLOGY; MINERALOGY; EMBAYMENT; ISLAND; GEOCHEMISTRY</t>
  </si>
  <si>
    <t>The ANtarctic geological DRILLing Program (ANDRILL) successfully recovered 1138.54 m of core from drill hole AND-2A in the Ross Sea sediments (Antarctica). The core is composed of terrigenous claystones, siltstones, sandstones, conglomerates, breccias, and diamictites with abundant volcanic material. We present sedimentological, morphoscopic, petrographic, and geochemical data on pyroclasts recovered from core AND-2A that provide insights on eruption styles, volcanic sources, and environments of deposition. One pyroclastic fall deposit, 12 resedimented volcaniclastic deposits and 14 volcanogenic sedimentary deposits record a history of intense explosive volcanic activity in southern Victoria Land during the Early Miocene. Tephra were ejected during Subplinian and Plinian eruptions fed by trachytic to rhyolitic magmas and during Strombolian to Hawaiian eruptions fed by basaltic to mugearitic magmas in submarine and/or subglacial to subaerial environments. The long-lived Mount Morning eruptive center, located similar to 80 km south of the drill site, was recognized as the probable volcanic source for these products on the basis of volcanological, geochemical, and age constraints. The study of tephra in the AND-2A core provides important paleoenvironment information by revealing that the deposition of primary and moderately reworked tephra occurred in a proglacial setting under generally open-water marine conditions.</t>
  </si>
  <si>
    <t>[Di Roberto, A.; Del Carlo, P.] Ist Nazl Geofis &amp; Vulcanol, Sez Pisa, I-56126 Pisa, Italy; [Rocchi, S.] Univ Pisa, Dipartimento Sci Terra, I-56126 Pisa, Italy; [Panter, K. S.] Bowling Green State Univ, Dept Geol, Bowling Green, OH 43403 USA</t>
  </si>
  <si>
    <t>Istituto Nazionale Geofisica e Vulcanologia (INGV); University of Pisa; University System of Ohio; Bowling Green State University</t>
  </si>
  <si>
    <t>Di Roberto, A (corresponding author), Ist Nazl Geofis &amp; Vulcanol, Sez Pisa, Via Faggiola 32, I-56126 Pisa, Italy.</t>
  </si>
  <si>
    <t>Di Roberto, Alessio/C-3547-2014; Di Roberto, Alessio/AAH-1595-2019; Del Carlo, Paola/A-7442-2014; Panter, Kurt S/B-4486-2010; Del Carlo, Paola/AAH-1725-2019; Rocchi, Sergio/A-7752-2018</t>
  </si>
  <si>
    <t>Di Roberto, Alessio/0000-0003-1167-8290; Di Roberto, Alessio/0000-0003-1167-8290; Rocchi, Sergio/0000-0001-6868-1939; Del Carlo, Paola/0000-0001-5506-4579</t>
  </si>
  <si>
    <t>U.S. National Science Foundation; New Zealand Foundation for Research Science and Technology; Royal Society of New Zealand Marsden Fund; Italian Antarctic Research Program; German Research Foundation (Deutsche Forschungsgemeinschaft, DFG); Alfred Wegener Institute for Polar and Marine Research (Helmholtz Association of German Research Centers); Programma Nazionale Ricerche in Antartide (PNRA)</t>
  </si>
  <si>
    <t>U.S. National Science Foundation(National Science Foundation (NSF)); New Zealand Foundation for Research Science and Technology(New Zealand Foundation for Research, Science and Technology); Royal Society of New Zealand Marsden Fund(Royal Society of New ZealandMarsden Fund (NZ)); Italian Antarctic Research Program; German Research Foundation (Deutsche Forschungsgemeinschaft, DFG)(German Research Foundation (DFG)); Alfred Wegener Institute for Polar and Marine Research (Helmholtz Association of German Research Centers); Programma Nazionale Ricerche in Antartide (PNRA)</t>
  </si>
  <si>
    <t>The ANDRILL (Antarctic Geological Drilling)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Enterprises Ltd. Scientific studies are jointly supported by the U.S. National Science Foundation, New Zealand Foundation for Research Science and Technology, the Royal Society of New Zealand Marsden Fund, the Italian Antarctic Research Program, the German Research Foundation (Deutsche Forschungsgemeinschaft, DFG), and the Alfred Wegener Institute for Polar and Marine Research (Helmholtz Association of German Research Centers). Antarctica New Zealand supported the drilling team at Scott Base; Raytheon Polar Services supported the science team at McMurdo Station and the Crary Science and Engineering Laboratory. The ANDRILL Science Management Office at the University of Nebraska-Lincoln provided science planning and operational support. Di Roberto benefited from a postdoctoral grant from Programma Nazionale Ricerche in Antartide (PNRA). We are grateful to cochiefs F. Florindo and D. Harwood and the Science Team (http://www.andrill.org) of the Southern McMurdo Sound ANDRILL project. We thank A. Cavallo for the assistance during microprobe analyses, S. Petrushak for collecting samples of AND-2A core at Antarctic Marine Research Facility at Florida State University, and A.P. Martin and anonymous reviewers for their accurate and critical revisions of the manuscript.</t>
  </si>
  <si>
    <t>10.1130/GES00754.1</t>
  </si>
  <si>
    <t>WOS:000312929900010</t>
  </si>
  <si>
    <t>Iacoviello, F; Giorgetti, G; Nieto, F; Memmi, IT</t>
  </si>
  <si>
    <t>Iacoviello, F.; Giorgetti, G.; Nieto, F.; Memmi, I. T.</t>
  </si>
  <si>
    <t>Evolution with depth from detrital to authigenic smectites in sediments from AND-2A drill core (McMurdo Sound, Antarctica)</t>
  </si>
  <si>
    <t>CLAY MINERALS</t>
  </si>
  <si>
    <t>smectites; hydrothermal; volcanic; ANDRILL; McMurdo Sound; Antarctica; FESEM</t>
  </si>
  <si>
    <t>CLAY-MINERAL ASSEMBLAGES; ROSS SEA; ICE-SHEET; SAPONITE; ORIGIN; ROCK; GEOCHEMISTRY; DIAGENESIS; ATLANTIC; SEQUENCE</t>
  </si>
  <si>
    <t>We have examined the nature and origin of smectites in glaciomarine sediments of the AND-2A drill core (McMurdo Sound, Antarctica) by means of X-ray diffraction (XRD) analyses on the clay fraction, field emission scanning electron microscopy (FESEM), scanning electron microscopy (SEM) observations and SEM-EDS microanalyses on smectite particles. Relying on the smectite variation throughout the drill core it was possible to split the sequence into three units. Smectites throughout the core are either detrital or authigenic. Detrital smectites are close to montmorillonite-beidellite in composition while newly-formed smectites frequently have higher Fe-Mg contents and intermediate compositions between the saponite and nontronite field, with lower amounts in the montmorillonite-beidellite field. In the upper sedimentary sections (Unit I, and Unit II, 36-440 mbsf, 0.7-16.5 Ma) smectites are interpreted to be predominantly detrital, whereas in the lower portion of the core (Unit III, 440-1123.20 mbsf, 16.5-20.2 Ma) authigenic smectites are the most common feature. The predominance of mica, the abundance of chlorite, and the nature of smectites in the upper units indicate physical weathering under cold and dry climate, and a dominant provenance for the clay minerals from the Transantarctic Mountains. Smectites in the lower unit are considered mostly authigenic and they are most likely to be the result of early diagenetic processes, being formed from the alteration of volcanic material (glass, pyroxenes and feldspars) and/or through precipitation from fluids of a possible hydrothermal origin. Our survey attests to the importance of discriminating between a detrital and authigenic nature of smectites as the occurrence of authigenic clay minerals in ancient sedimentary successions might lead to incorrect palaeoclimatic interpretations, since they can be affected by diagenetic processes, thus obliterating the climatic signal.</t>
  </si>
  <si>
    <t>[Iacoviello, F.; Giorgetti, G.; Memmi, I. T.] Univ Siena, Dipartimento Sci Terra, I-53100 Siena, Italy; [Nieto, F.] Univ Granada, CSIC, Dept Mineral &amp; Petrol, Granada 18002, Spain; [Nieto, F.] Univ Granada, CSIC, IACT, Granada 18002, Spain</t>
  </si>
  <si>
    <t>University of Siena; Consejo Superior de Investigaciones Cientificas (CSIC); University of Granada; University of Granada; Consejo Superior de Investigaciones Cientificas (CSIC); CSIC - Instituto Andaluz de Ciencias de la Tierra (IACT)</t>
  </si>
  <si>
    <t>Iacoviello, F (corresponding author), Univ Siena, Dipartimento Sci Terra, Via Laterina 8, I-53100 Siena, Italy.</t>
  </si>
  <si>
    <t>iacoviello3@unisi.it</t>
  </si>
  <si>
    <t>Iacoviello, Francesco/AAW-9047-2020; Iacoviello, Francesco/D-5492-2014; Nieto, Fernando/L-5377-2013</t>
  </si>
  <si>
    <t>Iacoviello, Francesco/0000-0003-3564-2380; Iacoviello, Francesco/0000-0003-3564-2380; Giorgetti, Giovanna/0000-0001-6233-4485; Nieto, Fernando/0000-0001-6250-056X</t>
  </si>
  <si>
    <t>ANDRILL; Italian Programma Nazionale di Ricerche in Antartide (PNRA); PRIN; Spanish Ministry of Science and Technology [CGL2011-30153-C02-01]; Research Group RNM-179 of the Junta de Andalucia</t>
  </si>
  <si>
    <t>ANDRILL; Italian Programma Nazionale di Ricerche in Antartide (PNRA); PRIN(Ministry of Education, Universities and Research (MIUR)Research Projects of National Relevance (PRIN)); Spanish Ministry of Science and Technology(Spanish Government); Research Group RNM-179 of the Junta de Andalucia(Junta de Andalucia)</t>
  </si>
  <si>
    <t>We are grateful to Javier Cuadros and an anonymous reviewer for constructive reviews. This research has been funded by the ANDRILL Program (a multi-national collaboration between the Antarctic programs of Germany, Italy, New Zealand and the United States). Financial support has been supplied by the Italian Programma Nazionale di Ricerche in Antartide (PNRA), PRIN 2008 (F.M. Talarico) grants, the Research Project CGL2011-30153-C02-01 (Spanish Ministry of Science and Technology) and Research Group RNM-179 of the Junta de Andalucia</t>
  </si>
  <si>
    <t>MINERALOGICAL SOC</t>
  </si>
  <si>
    <t>TWICKENHAM</t>
  </si>
  <si>
    <t>12 BAYLIS MEWS, AMYAND PARK ROAD,, TWICKENHAM TW1 3HQ, MIDDLESEX, ENGLAND</t>
  </si>
  <si>
    <t>0009-8558</t>
  </si>
  <si>
    <t>1471-8030</t>
  </si>
  <si>
    <t>CLAY MINER</t>
  </si>
  <si>
    <t>Clay Min.</t>
  </si>
  <si>
    <t>10.1180/claymin.2012.047.4.07</t>
  </si>
  <si>
    <t>Chemistry, Physical; Geosciences, Multidisciplinary; Mineralogy</t>
  </si>
  <si>
    <t>Chemistry; Geology; Mineralogy</t>
  </si>
  <si>
    <t>059CJ</t>
  </si>
  <si>
    <t>WOS:000312681700007</t>
  </si>
  <si>
    <t>Hullé, M</t>
  </si>
  <si>
    <t>Hulle, M.</t>
  </si>
  <si>
    <t>Myzus ascalonicus, an Aphid Recently Introduced to Sub-Antarctic Islands, Prefers Native to Exotic Host-Plants</t>
  </si>
  <si>
    <t>ENVIRONMENTAL ENTOMOLOGY</t>
  </si>
  <si>
    <t>biological invasion; Indian Oceanic Islands; Kerguelen Islands; Myzus ascalonicus; host plant</t>
  </si>
  <si>
    <t>INCREASED COMPETITIVE ABILITY; KERGUELEN; IMPACTS; DEFENSE; HERBIVORES; DIVERSITY; EVOLUTION; INVASIONS; DROUGHT; QUALITY</t>
  </si>
  <si>
    <t>Newly introduced phytophagous insects can affect native and introduced plant species. If the native plant species evolved without undergoing selective pressure from these insects, insect-plant interactions may be different for native and introduced plant species. In particular, this difference may involve mechanisms of plant defense against herbivores. If native plants lack such mechanisms, they may be more palatable to insects than exotic plants. On isolated sub-Antarctic islands, native plant species have evolved in the absence of sap-feeding insects, subsequently introduced a few decades ago. In this study, performance of an introduced aphid species, Myzus ascalonicus Doncaster, was experimentally compared on three native [Pringlea antiscorbutica Hook.f., Acaena magellanica (Lam) Vah, and Leptinella plumosa Hook.f.] and three exotic plant species (Taraxacum officinale F. H. Wigg, Cerastium fontanum Baumg., and Senecio vulgaris L.) found on the Kerguelen Islands. Counts and weights of aphid colonies were 2-7 times higher on native plants than on exotic plants depending on experimental conditions. The results are discussed in light of the possibility of an absence or ineffective defense mechanisms in native plants.</t>
  </si>
  <si>
    <t>INRA, UMR IGEPP 1349, F-35653 Le Rheu, France</t>
  </si>
  <si>
    <t>INRAE</t>
  </si>
  <si>
    <t>Hullé, M (corresponding author), INRA, UMR IGEPP 1349, F-35653 Le Rheu, France.</t>
  </si>
  <si>
    <t>maurice.hulle@rennes.inra.fr</t>
  </si>
  <si>
    <t>Hulle, Maurice/0000-0002-9520-3454</t>
  </si>
  <si>
    <t>Institut Paul Emile Victor IPEV [136]; Institut Ecologie et Environnement of the Centre National de la Recherche Scientifique INEE-CNRS (Zone Atelier de Recherche sur l'Environnement antarctique et subantarctique); Agence Nationale de la Recherche [ANR 07 Vulnerability-EVINCE]</t>
  </si>
  <si>
    <t>Institut Paul Emile Victor IPEV; Institut Ecologie et Environnement of the Centre National de la Recherche Scientifique INEE-CNRS (Zone Atelier de Recherche sur l'Environnement antarctique et subantarctique); Agence Nationale de la Recherche(Agence Nationale de la Recherche (ANR))</t>
  </si>
  <si>
    <t>This research was supported by the Institut Paul Emile Victor IPEV (program 136 Ecobio), the Institut Ecologie et Environnement of the Centre National de la Recherche Scientifique INEE-CNRS (Zone Atelier de Recherche sur l'Environnement antarctique et subantarctique) and the Agence Nationale de la Recherche (ANR 07 Vulnerability-EVINCE). We also thank Sebastien Dugravot and Francoise Hennion for their comments on previous drafts of the manuscript and scientific volunteers for their help in the field during summer field work.</t>
  </si>
  <si>
    <t>OXFORD UNIV PRESS INC</t>
  </si>
  <si>
    <t>CARY</t>
  </si>
  <si>
    <t>JOURNALS DEPT, 2001 EVANS RD, CARY, NC 27513 USA</t>
  </si>
  <si>
    <t>0046-225X</t>
  </si>
  <si>
    <t>1938-2936</t>
  </si>
  <si>
    <t>ENVIRON ENTOMOL</t>
  </si>
  <si>
    <t>Environ. Entomol.</t>
  </si>
  <si>
    <t>10.1603/EN12057</t>
  </si>
  <si>
    <t>Entomology</t>
  </si>
  <si>
    <t>058YC</t>
  </si>
  <si>
    <t>WOS:000312670000011</t>
  </si>
  <si>
    <t>Campbell, C</t>
  </si>
  <si>
    <t>Campbell, Caroline</t>
  </si>
  <si>
    <t>Between the Ice Floes: Imaging Gender, Fear and Safety in Antarctic Literature for Young Adults</t>
  </si>
  <si>
    <t>INTERNATIONAL RESEARCH IN CHILDRENS LITERATURE</t>
  </si>
  <si>
    <t>Antarctica; gender; fear and safety</t>
  </si>
  <si>
    <t>Ever since first imagined as a site of adventure, discovery and conquest, Antarctica, the southernmost continent, has continued to act as a powerful geographical metaphor for physical, mental and emotional transformation and transubstantiation. The discursive representation of its desolate, ice-bound landscape and its iconic creatures in image and text is a familiar one. The transmedial representation of the heroic explorer walking out into the white unknown in search of international fame and glory, and ultimate death, is even more a familiar. Antarctic adventure narratives for young adult readers have routinely centred on the male hero as the continent's sole mythic figure. The gendering of the ice, and society's growing concern with environmental sustainability, and the ethics of ecological ownership and resource depletion has resulted in a reframing of this gendered determinism. As a consequence this sub-genre of adventure literature is shifting to accommodate this new environmental perspective. The outcome is a strategic rearranging of heroic pipes and ironic critique of the passions and utopian ideals informing early narratives of Antarctic exploration and discovery.</t>
  </si>
  <si>
    <t>Massey Univ, Coll Creat Arts, Wellington, New Zealand</t>
  </si>
  <si>
    <t>Massey University</t>
  </si>
  <si>
    <t>Campbell, C (corresponding author), Massey Univ, Coll Creat Arts, Wellington, New Zealand.</t>
  </si>
  <si>
    <t>EDINBURGH UNIV PRESS</t>
  </si>
  <si>
    <t>EDINBURGH</t>
  </si>
  <si>
    <t>THE TUN-HOLYROOD RD, 12 2F JACKSONS ENTRY, EDINBURGH EH8 8PJ, SCOTLAND</t>
  </si>
  <si>
    <t>1755-6198</t>
  </si>
  <si>
    <t>1755-6201</t>
  </si>
  <si>
    <t>INT RES CHILD LIT</t>
  </si>
  <si>
    <t>Int. Res. Child. Lit.</t>
  </si>
  <si>
    <t>10.3366/ircl.2012.0060</t>
  </si>
  <si>
    <t>Literature</t>
  </si>
  <si>
    <t>058GD</t>
  </si>
  <si>
    <t>WOS:000312621200003</t>
  </si>
  <si>
    <t>Downes, SM; Key, RM; Orsi, AH; Speer, KG; Swift, JH</t>
  </si>
  <si>
    <t>Downes, Stephanie M.; Key, Robert M.; Orsi, Alejandro H.; Speer, Kevin G.; Swift, James H.</t>
  </si>
  <si>
    <t>Tracing Southwest Pacific Bottom Water Using Potential Vorticity and Helium-3</t>
  </si>
  <si>
    <t>ANTARCTIC CIRCUMPOLAR CURRENT; SOUTHERN-OCEAN; DEEP-WATER; ROSS SEA; OVERTURNING CIRCULATION; HYDROTHERMAL VENTS; DRAKE PASSAGE; PLUMES; HELIUM; RIDGE</t>
  </si>
  <si>
    <t>This study uses potential vorticity and other tracers to identify the pathways of the densest form of Circumpolar Deep Water in the South Pacific, termed Southwest Pacific Bottom Water (SPBW), along the 28.2 kg m(-3) surface. This study focuses on the potential vorticity signals associated with three major dynamical processes occurring in the vicinity of the Pacific-Antarctic Ridge: 1) the strong flow of the Antarctic Circumpolar Current (ACC), 2) lateral eddy stirring, and 3) heat and stratification changes in bottom waters induced by hydrothermal vents. These processes result in southward and downstream advection of low potential vorticity along rising isopycnal surfaces. Using delta He-3 released from the hydrothermal vents, the influence of volcanic activity on the SPBW may be traced across the South Pacific along the path of the ACC to Drake Passage. SPBW also flows within the southern limb of the Ross Gyre, reaching the Antarctic Slope in places and contributes via entrainment to the formation of Antarctic Bottom Water. Finally, it is shown that the magnitude and location of the potential vorticity signals associated with SPBW have endured over at least the last two decades, and that they are unique to the South Pacific sector.</t>
  </si>
  <si>
    <t>[Downes, Stephanie M.] Australian Natl Univ, Res Sch Earth Sci, Canberra, ACT 0200, Australia; [Downes, Stephanie M.; Key, Robert M.] Princeton Univ, Program Atmospher &amp; Ocean Sci, Princeton, NJ 08544 USA; [Downes, Stephanie M.] Australian Natl Univ, ARC Ctr Excellence Climate Syst Sci, Canberra, ACT 0200, Australia; [Orsi, Alejandro H.] Texas A&amp;M Univ, Dept Oceanog, College Stn, TX 77843 USA; [Speer, Kevin G.] Florida State Univ, Dept Oceanog, Tallahassee, FL 32306 USA; [Swift, James H.] Univ Calif San Diego, Scripps Inst Oceanog, La Jolla, CA 92093 USA</t>
  </si>
  <si>
    <t>Australian National University; National Oceanic Atmospheric Admin (NOAA) - USA; Princeton University; ARC Centre of Excellence for Climate System Science; Australian National University; Texas A&amp;M University System; Texas A&amp;M University College Station; State University System of Florida; Florida State University; University of California System; University of California San Diego; Scripps Institution of Oceanography</t>
  </si>
  <si>
    <t>Downes, SM (corresponding author), Australian Natl Univ, Res Sch Earth Sci, GPO Box 4, Canberra, ACT 0200, Australia.</t>
  </si>
  <si>
    <t>stephanie.downes@anu.edu.au</t>
  </si>
  <si>
    <t>Downes, Stephanie/A-1424-2012</t>
  </si>
  <si>
    <t>Office of Science (BER), U.S. Department of Energy [DE-FG02-07ER64467]; NOAA [NA07OAR4310096]; National Ocean and Atmospheric Administration [08OAR4320752]; NSF [OCE-0622670, OCE-0822075]</t>
  </si>
  <si>
    <t>Office of Science (BER), U.S. Department of Energy(United States Department of Energy (DOE)); NOAA(National Oceanic Atmospheric Admin (NOAA) - USA); National Ocean and Atmospheric Administration; NSF(National Science Foundation (NSF))</t>
  </si>
  <si>
    <t>The authors wish to thank M. Nikurashin, J. Sarmiento, and two anonymous reviewers for useful comments and discussion. We greatly appreciate the efforts of those who collected and processed samples on the cruises mentioned in this paper. SD was supported by the Office of Science (BER), U.S. Department of Energy, Grant DE-FG02-07ER64467 and NOAA Grant NA07OAR4310096. RK was supported by National Ocean and Atmospheric Administration, Grant 08OAR4320752. KS acknowledges support from NSF OCE-0622670 and NSF OCE-0822075.</t>
  </si>
  <si>
    <t>10.1175/JPO-D-12-019.1</t>
  </si>
  <si>
    <t>064EN</t>
  </si>
  <si>
    <t>WOS:000313054800005</t>
  </si>
  <si>
    <t>Bothwell, J; Yuan, M</t>
  </si>
  <si>
    <t>Bothwell, James; Yuan, May</t>
  </si>
  <si>
    <t>A Spatiotemporal GIS Framework Applied to the Analysis of Changes in Temperature Patterns</t>
  </si>
  <si>
    <t>TRANSACTIONS IN GIS</t>
  </si>
  <si>
    <t>ATMOSPHERIC CIRCULATION; SEA-ICE; REANALYSIS; RESOLUTION; SYSTEM; ERA-40; OCEAN; MODEL</t>
  </si>
  <si>
    <t>This research develops a new temporal Geographic Information System (GIS) framework and applies it to compare General Circulation Model (GCM) products and reanalysis datasets in order to discern differences in patterns and locations of change as a proof of concept. The proposed framework incorporates the concept of kinematics to represent the movement of isolines as advection displacement vectors. Comparison of displacement vectors from the four datasets shows differences in isotherm shifts for both median values and interquartile ranges along with several prominent, well defined difference regions across the globe. Among the four datasets used in the study, the two reanalysis datasets have the smallest median difference in displacement vectors indicating the least spatiotemporal difference. As both reanalysis datasets are based on actual observations, this result validates the displacement vector representation. The CNRM CM3 20C3M dataset contains an Antarctic Cooling that led to most of the differences in displacement vectors against the other datasets. The research shows the effectiveness of GIS enabled displacement vectors analysis to elicit spatial differences in climate patterns among GCM data and reanalysis data. While temperature data were used in the case study, the proposed method is based on concepts applicable to other isolines of geographic variables (such as isobars or isohyets).</t>
  </si>
  <si>
    <t>[Bothwell, James; Yuan, May] Univ Oklahoma, Geoinformat Program, Coll Atmospher &amp; Geog Sci, Norman, OK 73072 USA</t>
  </si>
  <si>
    <t>University of Oklahoma System; University of Oklahoma - Norman</t>
  </si>
  <si>
    <t>Bothwell, J (corresponding author), Univ Oklahoma, Geoinformat Program, Coll Atmospher &amp; Geog Sci, 3100 Monitor Ave,Suite 180, Norman, OK 73072 USA.</t>
  </si>
  <si>
    <t>jamesbothwell@ou.edu</t>
  </si>
  <si>
    <t>1361-1682</t>
  </si>
  <si>
    <t>1467-9671</t>
  </si>
  <si>
    <t>T GIS</t>
  </si>
  <si>
    <t>Trans. GIS</t>
  </si>
  <si>
    <t>10.1111/j.1467-9671.2012.01327.x</t>
  </si>
  <si>
    <t>057CA</t>
  </si>
  <si>
    <t>WOS:000312538300011</t>
  </si>
  <si>
    <t>Martin, A; McMinn, A; Davy, SK; Anderson, MJ; Miller, HC; Hall, JA; Ryan, KG</t>
  </si>
  <si>
    <t>Martin, Andrew; McMinn, Andrew; Davy, Simon K.; Anderson, Marti J.; Miller, Hilary C.; Hall, Julie A.; Ryan, Ken G.</t>
  </si>
  <si>
    <t>Preliminary evidence for the microbial loop in Antarctic sea ice using microcosm simulations</t>
  </si>
  <si>
    <t>bacteria; DGGE; microalgae</t>
  </si>
  <si>
    <t>GRADIENT GEL-ELECTROPHORESIS; ROSS SEA; BACTERIAL PRODUCTION; METABOLIC-ACTIVITY; GENETIC DIVERSITY; MCMURDO SOUND; COMMUNITIES; ASSEMBLAGES; ECOSYSTEMS; BACTERIOPLANKTON</t>
  </si>
  <si>
    <t>Sea ice microalgae actively contribute to the pool of dissolved organic matter (DOM) available for bacterial metabolism, but this link has historically relied on bulk correlations between chlorophyll a (a surrogate for algal biomass) and bacterial abundance. We incubated microbes from both the bottom (congelation layer) and surface brine region of Antarctic fast ice for nine days. Algal-derived DOM was manipulated by varying the duration of irradiance, restricting photosynthesis with 3-(3,4-dichlorophenyl)-1,1-dimethylurea (DCMU) or incubating in the dark. The bacterial response to changes in DOM availability was examined by performing cell counts, quantifying bacterial metabolic activity and examining community composition with denaturing gradient gel electrophoresis. The percentage of metabolically active bacteria was relatively low in the surface brine microcosm (10-20% of the bacterial community), the treatment with DCMU indirectly restricted bacterial growth and there was some evidence for changes in community structure. Metabolic activity was higher (35-69%) in the bottom ice microcosm, and while there was no variation in community structure, bacterial growth was restricted in the treatment with DCMU compared to the light/dark treatment. These results are considered preliminary, but provide a useful illustration of sea ice microbial dynamics beyond the use of 'snapshot' biomass correlations.</t>
  </si>
  <si>
    <t>[Martin, Andrew; Davy, Simon K.; Miller, Hilary C.; Ryan, Ken G.] Victoria Univ Wellington, Sch Biol Sci, Wellington, New Zealand; [Martin, Andrew; McMinn, Andrew] Univ Tasmania, Inst Marine &amp; Antarctic Studies, Hobart, Tas 7001, Australia; [Anderson, Marti J.] Massey Univ, New Zealand Inst Adv Study, Albany 0632, New Zealand; [Hall, Julie A.] Nat Inst Water &amp; Atmospher Res, Wellington 6140, New Zealand</t>
  </si>
  <si>
    <t>Victoria University Wellington; University of Tasmania; Massey University</t>
  </si>
  <si>
    <t>Martin, A (corresponding author), Victoria Univ Wellington, Sch Biol Sci, POB 600, Wellington, New Zealand.</t>
  </si>
  <si>
    <t>Andrew.Martin@utas.edu.au</t>
  </si>
  <si>
    <t>McMinn, Andrew/A-9910-2008; Anderson, Marti J./AAQ-9038-2021; Ryan, Ken/F-5652-2013; Martin, Andrew/F-5688-2013</t>
  </si>
  <si>
    <t>Anderson, Marti J./0000-0002-4018-4049; Martin, Andrew/0000-0001-8260-5529; Davy, Simon/0000-0003-3584-5356; Ryan, Ken/0000-0001-7075-0112</t>
  </si>
  <si>
    <t>Victoria University of Wellington; Trans Antarctic Association; Foundation of Research, Science Technology [VICX0706]</t>
  </si>
  <si>
    <t>Victoria University of Wellington; Trans Antarctic Association; Foundation of Research, Science Technology</t>
  </si>
  <si>
    <t>We acknowledge the logistical support of Antarctica New Zealand and in particular S. Gordon, project manager of the Latitudinal Gradient Project (LOP). A. Martin was supported by a Victoria University of Wellington Postgraduate Scholarship for PhD Study and also thanks the Trans Antarctic Association for support in funding this research. K. Ryan acknowledges the support of the Foundation of Research, Science &amp; Technology contract no. VICX0706. We extend our thanks to the anonymous reviewers whose comments significantly improved the manuscript.</t>
  </si>
  <si>
    <t>10.1017/S0954102012000491</t>
  </si>
  <si>
    <t>048NE</t>
  </si>
  <si>
    <t>WOS:000311918400002</t>
  </si>
  <si>
    <t>White, BA; McClintock, J; Amsler, CD; Mah, CL; Amsler, MO; White, S; Quetin, LB; Ross, RM</t>
  </si>
  <si>
    <t>White, Brittny A.; McClintock, James; Amsler, Charles D.; Mah, Christopher L.; Amsler, Margaret O.; White, Stephanie; Quetin, Langdon B.; Ross, Robin M.</t>
  </si>
  <si>
    <t>The abundance and distribution of echinoderms in nearshore hard-bottom habitats near Anvers Island, western Antarctic Peninsula</t>
  </si>
  <si>
    <t>benthic; diversity; Echinodermata; population biology</t>
  </si>
  <si>
    <t>CHEMICAL DEFENSES; MACROALGAE; ECOLOGY; BIODIVERSITY; ECHINOIDEA; BIOMASS; SOUND</t>
  </si>
  <si>
    <t>Echinoderms are well represented in nearshore hard-bottom (&lt; 100 m depth) habitats along the Antarctic Peninsula where they are presumably important contributors to benthic production, carbon flow, and determinants of community structure. The present study assesses the densities of echinoderms at shallow depths (2-15 m) at five sampling sites within three kilometres of Anvers Island on the central western Antarctic Peninsula. The asteroids Odontaster validus, Granaster nutrix, Lysasterias perrieri and Adelasterias papillosa, two ophiuroids in the Amphiuridae, the holothuroids Psolicrux coatsi and Psolus carolineae and one representative of the Cucumaridae, and the regular echinoid Sterechinus neumayeri were enumerated. Mean total echinoderm densities were high (34.9 individuals m(-2)) and ranged from 21.9 individuals m(-2) for asteroids to 2.7 individuals m(-2) for holothuroids. With the exception of a positive relationship between the abundance of the regular echinoid Sterechinus neumayeri and the biomass of the brown alga Himanthothallus grandifolius, no significant relationships were found between the abundance of asteroids, ophiuroids, or holothuroids and two species of brown algae or three algal ecotypes. The present study indicates nearshore hard-bottom echinoderms are important in the carbon cycle and their inherent vulnerability to ocean acidification may have community-level impacts.</t>
  </si>
  <si>
    <t>[White, Brittny A.; McClintock, James; Amsler, Charles D.; Amsler, Margaret O.] Univ Alabama Birmingham, Dept Biol, Birmingham, AL 35294 USA; [Mah, Christopher L.] Natl Museum Nat Hist, Dept Invertebrate Zool, Washington, DC 20013 USA; [White, Stephanie; Quetin, Langdon B.; Ross, Robin M.] Univ Calif Santa Barbara, Inst Marine Sci, Santa Barbara, CA 93106 USA</t>
  </si>
  <si>
    <t>University of Alabama System; University of Alabama Birmingham; Smithsonian Institution; Smithsonian National Museum of Natural History; University of California System; University of California Santa Barbara</t>
  </si>
  <si>
    <t>McClintock, J (corresponding author), Univ Alabama Birmingham, Dept Biol, Birmingham, AL 35294 USA.</t>
  </si>
  <si>
    <t>mcclinto@uab.edu</t>
  </si>
  <si>
    <t>Amsler, Charles/0000-0002-4843-3759</t>
  </si>
  <si>
    <t>Endowed Professorship in Polar and Marine Biology; All Seasons Travel, Birmingham; National Science Foundation [DPP-8518872, DPP-8918276, ANT-0838773]</t>
  </si>
  <si>
    <t>Endowed Professorship in Polar and Marine Biology; All Seasons Travel, Birmingham; National Science Foundation(National Science Foundation (NSF))</t>
  </si>
  <si>
    <t>We thank David Pawson at the Museum of Natural History at the Smithsonian Institution, Washington DC, and R. Mooi at the California Academy of Sciences, USA, for assistance with the taxonomy of holothuroids and echinoids, respectively. We also thank R. Rowley, D. Laur, J. Baldelli and J. Campbell for assistance with field collections in Antarctica and a number of UCSB undergraduates who assisted with initial sample sorting. This research was facilitated by funds from an Endowed Professorship in Polar and Marine Biology (JBM), a travel grant from All Seasons Travel, Birmingham that supported travel for BAW to the Smithsonian Institution (JBM), and National Science Foundation grants DPP-8518872 (LBQ, RMR), DPP-8918276 (LBQ, RMR, CDA), and ANT-0838773 (CDA, JBM). The constructive comments of the reviewers are gratefully acknowledged.</t>
  </si>
  <si>
    <t>10.1017/S0954102012000569</t>
  </si>
  <si>
    <t>WOS:000311918400003</t>
  </si>
  <si>
    <t>Mcintyre, T; Bornemann, H; Plötz, J; Tosh, CA; Bester, MN</t>
  </si>
  <si>
    <t>Mcintyre, Trevor; Bornemann, Horst; Ploetz, Joachim; Tosh, Cheryl A.; Bester, Marthan N.</t>
  </si>
  <si>
    <t>Deep divers in even deeper seas: habitat use of male southern elephant seals from Marion Island</t>
  </si>
  <si>
    <t>dive behaviour; marine mammals; Prince Edward islands; utilization distribution</t>
  </si>
  <si>
    <t>MIROUNGA-LEONINA; DIVING BEHAVIOR; FORAGING BEHAVIOR; ADULT MALE; DURATION; DEPTH; MOVEMENTS; DIET</t>
  </si>
  <si>
    <t>We describe the habitat use of 22 male southern elephant seals (Mirounga leonina) satellite tagged at Marion Island between 2004 and 2008. While a few areas of increased utilization appeared to be associated with areas of shallower bathymetry (such as sea-floor ridges and fracture zones), seals in our study did not target other areas of shallow bathymetry within close proximity to Marion Island. Rather, most elephant seals foraged pelagically over very deep water where much variation was evident in diel vertical migration strategies. These strategies resulted in generally deeper and longer dives than what has been reported for male elephant seals from other colonies. No significant differences were recorded for dive durations or dive depths between adults and sub-adults. However, younger animals displayed a positive relationship between dive durations and age, as well as between dive depths and age, while these relationships became negative for older animals. Mixed model outputs suggested that seals increased their aerobic fitness as migrations progressed, enabling them to undertake longer dives. We conclude that Marion Island male elephant seals exhibit much variability in dive strategy and are seemingly capable of exploiting a range of different prey types occurring in various depth layers.</t>
  </si>
  <si>
    <t>[Mcintyre, Trevor; Tosh, Cheryl A.; Bester, Marthan N.] Univ Pretoria, Dept Zool &amp; Entomol, Mammal Res Inst, ZA-0028 Hatfield, South Africa; [Bornemann, Horst; Ploetz, Joachim] Alfred Wegener Inst Polar &amp; Marine Res, D-27515 Bremerhaven, Germany</t>
  </si>
  <si>
    <t>University of Pretoria; Helmholtz Association; Alfred Wegener Institute, Helmholtz Centre for Polar &amp; Marine Research</t>
  </si>
  <si>
    <t>Mcintyre, T (corresponding author), Univ Pretoria, Dept Zool &amp; Entomol, Mammal Res Inst, Private Bag X20, ZA-0028 Hatfield, South Africa.</t>
  </si>
  <si>
    <t>tmcintyre@zoology.up.ac.za</t>
  </si>
  <si>
    <t>Bester, Marthán N/E-5387-2010; Tosh, Cheryl/D-5623-2016; McIntyre, Trevor/E-6846-2010</t>
  </si>
  <si>
    <t>Tosh, Cheryl/0000-0003-0243-5422; McIntyre, Trevor/0000-0001-8395-7550</t>
  </si>
  <si>
    <t>Department of Science and Technology through the National Research Foundation (South Africa); South African National Antarctic Programme; Alfred Wegener Institute for Polar and Marine Research (Germany)</t>
  </si>
  <si>
    <t>Thank you to the following people for their assistance with the deployment of satellite-relay data loggers in the field: Greg Hofmeyr, Brent Stewart, Phathu Radzilani, Nico de Bruyn, Mashudu Phalanndwa, Chris Oosthuizen, Thomas Mufanadzo and Ryan Reisinger. The Department of Science and Technology through the National Research Foundation (South Africa), the South African National Antarctic Programme and the Alfred Wegener Institute for Polar and Marine Research (Germany) provided financial and logistical support. Part of this research was carried out within the MEOP (Marine Mammals Exploring the Oceans Pole to Pole) project as part of the International Polar Year. Satellite tag deployment procedures were approved by the Animal Use and Care Committee of the University of Pretoria (AUCC 040827-024 and AUC 040827-023) and performed under Prince Edward Island's Research Permits R8-04 and R4-08. Procedures conformed to Antarctic Treaty legislation and the Scientific Committee on Antarctic Research code of conduct. We thank Sara Maxwell and an anonymous reviewer for their timely and constructive comments on an earlier version of this manuscript.</t>
  </si>
  <si>
    <t>10.1017/S0954102012000570</t>
  </si>
  <si>
    <t>WOS:000311918400004</t>
  </si>
  <si>
    <t>Amsler, CD; Mcclintock, JB; Baker, BJ</t>
  </si>
  <si>
    <t>Amsler, Charles D.; Mcclintock, James B.; Baker, Bill J.</t>
  </si>
  <si>
    <t>Palatability of living and dead detached Antarctic macroalgae to consumers</t>
  </si>
  <si>
    <t>DESMARESTIA-ANCEPS; DECOMPOSITION; MESOGRAZERS; PENINSULA</t>
  </si>
  <si>
    <t>[Amsler, Charles D.; Mcclintock, James B.] Univ Alabama Birmingham, Dept Biol, Birmingham, AL 35294 USA; [Baker, Bill J.] Univ S Florida, Dept Chem, Tampa, FL 33620 USA</t>
  </si>
  <si>
    <t>Baker, Bill/N-4312-2019</t>
  </si>
  <si>
    <t>National Science Foundation [ANT-0838773, ANT-0838776]</t>
  </si>
  <si>
    <t>We are grateful to the other members of our field teams, particularly M. Amsler, and to the support staff at Palmer Station for assistance in Antarctica. Funded by National Science Foundation awards ANT-0838773 (CDA, JBM) and ANT-0838776 (BJB). The constructive comments of the reviewer are also gratefully acknowledged.</t>
  </si>
  <si>
    <t>10.1017/S0954102012000624</t>
  </si>
  <si>
    <t>WOS:000311918400006</t>
  </si>
  <si>
    <t>Hospitaleche, CA; Perez, LM; Acosta, W; Reguero, M</t>
  </si>
  <si>
    <t>Acosta Hospitaleche, Carolina; Perez, Leandro M.; Acosta, Walter; Reguero, Marcelo</t>
  </si>
  <si>
    <t>A traumatic fracture in a giant Eocene penguin from Antarctica</t>
  </si>
  <si>
    <t>fossil Spheniscidae; palaeoecology; palaeopathology; Seymour Island; weathering</t>
  </si>
  <si>
    <t>TAPHONOMY; PATAGONIA</t>
  </si>
  <si>
    <t>A fractured femur of a giant fossil penguin from the Anthropornis nordenskjoeldi Biozone (Late Eocene), Isla Marambio (Seymour Island), Antarctica (La Meseta Formation) is described. Palaeoecological, palaeopathological and taphonomical implications derived from the analysis of the kinds of fractures identified are also discussed. The main fracture has irregular margins, indicating there was collagen in the bone at the time of the impact. In this fracture, a mineral deposit was also identified as a fracture hematoma. According to the antemortem classification of fractures, it was produced by an indirect mechanism, provocating a butterfly wing or third fragment fracture. The remaining fractures are assigned to times of biostratinomic and fossil diagenesis.</t>
  </si>
  <si>
    <t>[Acosta Hospitaleche, Carolina; Perez, Leandro M.; Reguero, Marcelo] Consejo Nacl Invest Cient &amp; Tecn, RA-1033 Buenos Aires, DF, Argentina; [Acosta Hospitaleche, Carolina; Reguero, Marcelo] Museo La Plata, Div Paleontol Vertebrados, La Plata, Buenos Aires, Argentina; [Perez, Leandro M.] Museo La Plata, Div Paleozool Invertebrados, La Plata, Buenos Aires, Argentina; [Acosta, Walter] Fac Ciencias Vet, La Plata, Buenos Aires, Argentina; [Reguero, Marcelo] Inst Antartico Argentino, Buenos Aires, DF, Argentina</t>
  </si>
  <si>
    <t>Consejo Nacional de Investigaciones Cientificas y Tecnicas (CONICET); National University of La Plata; Museo La Plata; National University of La Plata; Museo La Plata; Instituto Antartico Argentino</t>
  </si>
  <si>
    <t>Hospitaleche, CA (corresponding author), Consejo Nacl Invest Cient &amp; Tecn, RA-1033 Buenos Aires, DF, Argentina.</t>
  </si>
  <si>
    <t>acostacaro@fcnym.unlp.edu.ar</t>
  </si>
  <si>
    <t>Acosta Hospitaleche, Carolina/E-5740-2017; Reguero, Marcelo A./JHS-4893-2023</t>
  </si>
  <si>
    <t>Acosta Hospitaleche, Carolina/0000-0002-2614-1448; Reguero, Marcelo A./0000-0003-0875-8484</t>
  </si>
  <si>
    <t>Agencia Nacional de Promocion Cientifica y Tecnologica; Consejo Nacional de Investigaciones Cientificas y Tecnicas</t>
  </si>
  <si>
    <t>Agencia Nacional de Promocion Cientifica y Tecnologica(ANPCyTSpanish Government); Consejo Nacional de Investigaciones Cientificas y Tecnicas(Consejo Nacional de Investigaciones Cientificas y Tecnicas (CONICET))</t>
  </si>
  <si>
    <t>We thank the Agencia Nacional de Promocion Cientifica y Tecnologica and the Consejo Nacional de Investigaciones Cientificas y Tecnicas for financial support. Instituto Antartico Argentino provided logistic support in Antarctica. The authors also wish to thank Dr Adriana Blasi, for her help with the RX diffractogram, and Mario Brusa, the reviewers Dr Edwan Fordyce and Dr Sergio Marenssi, and especially the editor Alan Vaughan for his valuable comments that improved this contribution.</t>
  </si>
  <si>
    <t>10.1017/S0954102012000430</t>
  </si>
  <si>
    <t>WOS:000311918400009</t>
  </si>
  <si>
    <t>Tomasi, C; Petkov, BH; Benedetti, E</t>
  </si>
  <si>
    <t>Tomasi, Claudio; Petkov, Boyan H.; Benedetti, Elena</t>
  </si>
  <si>
    <t>Annual cycles of pressure, temperature, absolute humidity and precipitable water from the radiosoundings performed at Dome C, Antarctica, over the 2005-2009 period</t>
  </si>
  <si>
    <t>Antarctic tropopause; atmospheric water; radiosonde data; seasonal temperatures; temperature inversion</t>
  </si>
  <si>
    <t>MEAN VERTICAL PROFILES; SKY BRIGHTNESS; CLOUD COVER; RADIOSONDE; VAPOR; TROPOPAUSE; STATION; SET</t>
  </si>
  <si>
    <t>A four-year set of vertical profiles of pressure, temperature and relative humidity derived from 1113 radiosoundings performed at Dome C (Antarctica) at 12h00 UT of each day, from late March 2005 to the end of March 2009, was examined by following a complex procedure for removing the most important lag errors and dry biases from the temperature and moisture data. The analysis provides evidence of annual cycles over the four years, characterizing the pressure and temperature conditions at the surface and at the various troposphere and low stratosphere levels, with maxima in summer and wide minima in winter for both parameters. Specific studies of the thermal parameters characterizing the ground layer and the tropopause region are also presented to describe their annual average variations. The analysis of moisture parameters indicates that absolute humidity varies regularly with season within the low troposphere, presenting well marked peaks in the summer months. Consequently, precipitable water was found to vary regularly during the year, from values of 0.2-0.4 mm in the winter to more than 0.6 mm in summer. The main year-to-year variations characterizing the monthly mean vertical profiles of pressure, temperature and moisture parameters are also described.</t>
  </si>
  <si>
    <t>[Tomasi, Claudio; Petkov, Boyan H.; Benedetti, Elena] CNR, Inst Atmospher Sci &amp; Climate ISAC, I-40129 Bologna, Italy; [Petkov, Boyan H.] Abdus Salaam Int Ctr Theoret Phys, I-34014 Trieste, Italy</t>
  </si>
  <si>
    <t>Consiglio Nazionale delle Ricerche (CNR); Istituto di Scienze dell'Atmosfera e del Clima (ISAC-CNR); Abdus Salam International Centre for Theoretical Physics (ICTP)</t>
  </si>
  <si>
    <t>Tomasi, C (corresponding author), CNR, Inst Atmospher Sci &amp; Climate ISAC, Via Gobetti 101, I-40129 Bologna, Italy.</t>
  </si>
  <si>
    <t>c.tomasi@isac.cnr.it</t>
  </si>
  <si>
    <t>Petkov, Boyan/0000-0002-8328-340X</t>
  </si>
  <si>
    <t>Programma Nazionale di Ricerche in Antartide (PNRA); POLAR-AOD: a network to characterize the means, variability and trends of the climate-forcing properties of aerosols in polar regions; IPEV [1013]</t>
  </si>
  <si>
    <t>Programma Nazionale di Ricerche in Antartide (PNRA); POLAR-AOD: a network to characterize the means, variability and trends of the climate-forcing properties of aerosols in polar regions; IPEV</t>
  </si>
  <si>
    <t>The research activity was supported by the Programma Nazionale di Ricerche in Antartide (PNRA) and developed as a part of Subproject 2006/6.01: POLAR-AOD: a network to characterize the means, variability and trends of the climate-forcing properties of aerosols in polar regions. The authors gratefully acknowledge the International Centre for Theoretical Physics, Trieste, Italy, for its support of the participation of B. Petkov in the framework of the Programme for Training and Research in Italian Laboratories. The authors thank the Meteo-Climatological Observatory of PNRA for providing the radiosounding data recorded at Dome C during the four-year period from March 2005-March 2009 at its website http://www.climantartide.it. The meteorological tower measurements shown in Fig. 1 were provided by Laboratoire de Glaciologie, Grenoble (France), as part of the IPEV-sponsored CALVA (1013) programme. The constructive comments of the reviewers are also gratefully acknowledged.</t>
  </si>
  <si>
    <t>10.1017/S0954102012000405</t>
  </si>
  <si>
    <t>WOS:000311918400012</t>
  </si>
  <si>
    <t>He, JF; Zhang, F; Lin, L; Cai, MH; Yang, HZ; Wang, XG</t>
  </si>
  <si>
    <t>He, Jianfeng; Zhang, Fang; Lin, Ling; Cai, Minghong; Yang, Haizhen; Wang, Xiangnan</t>
  </si>
  <si>
    <t>Effects of the 2010 Chile and 2011 Japan tsunamis on the Antarctic coastal waters as detected via online mooring system</t>
  </si>
  <si>
    <t>Great Wall Station; King George Island; salinity; sea level oscillation; temperature</t>
  </si>
  <si>
    <t>26 DECEMBER 2004; SUMATRA</t>
  </si>
  <si>
    <t>Sea level oscillations associated with both the 2010 Chile and 2011 Japan tsunamis were recorded in the coastal waters of King George Island off the west coast of Antarctica with an online coastal mooring system. The Chile tsunami arrived at the detection site within around five hours of the earthquake. The largest wave (84.4 mm) was measured 27 hours after the first arrival. In contrast, the Japan tsunami was detected around 26 hours after the earthquake, and the maximum wave height (180.8 mm) was observed around 11 hours after the initial wave. The energy level of the earthquake and the direction of energy propagation are probably the two most significant causes of the comparatively high amplitudes of the 2011 Japan tsunami, despite the fact that its epicentre was much further away than that of 2010 Chile tsunami. The sea level oscillations associated with the tsunami increased the level of mixing of seawater in the shallow Antarctic coastal waters and influenced the environment temporarily.</t>
  </si>
  <si>
    <t>[He, Jianfeng; Zhang, Fang; Lin, Ling; Cai, Minghong] Polar Res Inst China, Key Lab Polar Sci State Ocean Adm, Shanghai 200136, Peoples R China; [He, Jianfeng; Yang, Haizhen] Tongji Univ, Coll Environm Sci &amp; Engn, Shanghai 200092, Peoples R China; [Wang, Xiangnan] Natl Ocean Technol Ctr, Tianjin 300112, Peoples R China</t>
  </si>
  <si>
    <t>Polar Research Institute of China; Tongji University; National Ocean Technology Center (NOTC)</t>
  </si>
  <si>
    <t>He, JF (corresponding author), Polar Res Inst China, Key Lab Polar Sci State Ocean Adm, Shanghai 200136, Peoples R China.</t>
  </si>
  <si>
    <t>Zhang, Fang/AAX-3262-2021</t>
  </si>
  <si>
    <t>National High Technology Research and Development Program of China (Program 863) [2007AA09Z121]; National Ocean Public Benefit Research Foundation [200805095]; National Nature Science Foundation of China [41076130]</t>
  </si>
  <si>
    <t>National High Technology Research and Development Program of China (Program 863)(National High Technology Research and Development Program of China); National Ocean Public Benefit Research Foundation; National Nature Science Foundation of China(National Natural Science Foundation of China (NSFC))</t>
  </si>
  <si>
    <t>We thank the members of all the expeditions who helped to deploy the monitoring system in Antarctica's Great Wall bay. This work was supported by the National High Technology Research and Development Program of China (Program 863, No. 2007AA09Z121), the National Ocean Public Benefit Research Foundation (No. 200805095) and the National Nature Science Foundation of China (No. 41076130). The constructive comments of the reviewers are also gratefully acknowledged.</t>
  </si>
  <si>
    <t>10.1017/S0954102012000326</t>
  </si>
  <si>
    <t>WOS:000311918400014</t>
  </si>
  <si>
    <t>Bucolo, P; Amsler, CD; McClintock, JB; Baker, BJ</t>
  </si>
  <si>
    <t>Bucolo, Philip; Amsler, Charles D.; McClintock, James B.; Baker, Bill J.</t>
  </si>
  <si>
    <t>Effects of Macroalgal Chemical Extracts on Spore Behavior of the Antarctic Epiphyte Elachista Antarctica Phaeophyceae</t>
  </si>
  <si>
    <t>Antarctica; chemotaxis; epiphyte; germination; settlement; spore</t>
  </si>
  <si>
    <t>PLANT DEFENSE ASSOCIATIONS; COMPREHENSIVE EVALUATION; HERBIVORE INTERACTIONS; ZOOSPORES; PALATABILITY; CHEMOTAXIS; RESISTANCE; SETTLEMENT; AMPHIPODS; MEDIATION</t>
  </si>
  <si>
    <t>Most macroalgal species along the Western Antarctic Peninsula (WAP) are defended against predation, many using chemical defenses. These subtidal communities are also mostly devoid of free living filamentous algae. However, one endo/epiphyte, Elachista antarctica, is found growing exclusively out of the palatable rhodophyte Palmaria decipiens. To understand this unusual and exclusive epiphytization, we tested whether macroalgal secondary metabolites such as those responsible for deterring sympatric grazers, affect the behaviors of the epiphyte's spores. Settlement, germination, and swimming behaviors of the epiphyte's motile spores were quantified in the presence of fractionated lipophilic and hydrophilic extracts of host P. decipiens and other rhodophytes from the shallow subtidal. Host P. decipiens was the only alga tested that did not inhibit spore settlement or germination. We also examined whether extracts from these chemically rich algae affect spore swimming behaviors and found spores to be chemotactically attracted to seawater soluble extract fractions of host P. decipiens. These results indicate that chemosensory behaviors of the epiphyte's spores to metabolites associated with these chemically defended macrophytes can explain this exclusive epiphytehost interaction.</t>
  </si>
  <si>
    <t>[Bucolo, Philip; Amsler, Charles D.; McClintock, James B.] Univ Alabama Birmingham, Dept Biol, Birmingham, AL 35294 USA; [Baker, Bill J.] Univ S Florida, Dept Chem, Tampa, FL 33620 USA</t>
  </si>
  <si>
    <t>Bucolo, P (corresponding author), Univ Alabama Birmingham, Dept Biol, Birmingham, AL 35294 USA.</t>
  </si>
  <si>
    <t>p.bucolo@utexas.edu</t>
  </si>
  <si>
    <t>National Science Foundation [OPP-0442769, ANT-0838773, OPP-0442897, ANT-0838776]; Raytheon Polar Services</t>
  </si>
  <si>
    <t>National Science Foundation(National Science Foundation (NSF)); Raytheon Polar Services</t>
  </si>
  <si>
    <t>We thank Maggie Amsler, Drs. Craig Aumack, Alan Maschek, Jill Zamzow, and Gil Koplovitz, and the rest of the 2007 and 2008 UAB/USF Antarctica field team for their field and technical assistance. We are also grateful to P. Van Zandt, R. Thacker, and four anonymous reviewers for constructive comments on earlier drafts of the manuscript. We also thank Jerry Sewell for his technical support. This research would not have been possible without support provided by Raytheon Polar Services and its science support staff at Palmer Station, Antarctica. This work was funded by the National Science Foundation awards OPP-0442769 and ANT-0838773 (CDA, JBM) and OPP-0442897 and ANT-0838776 (BJB).</t>
  </si>
  <si>
    <t>1529-8817</t>
  </si>
  <si>
    <t>10.1111/j.1529-8817.2012.01221.x</t>
  </si>
  <si>
    <t>056AS</t>
  </si>
  <si>
    <t>WOS:000312459900012</t>
  </si>
  <si>
    <t>Gelinas, LJ; Walterscheid, RL; Mechoso, CR; Schubert, G</t>
  </si>
  <si>
    <t>Gelinas, L. J.; Walterscheid, R. L.; Mechoso, C. R.; Schubert, G.</t>
  </si>
  <si>
    <t>Observations of an Inertial Peak in the Intrinsic Wind Spectrum Shifted by Rotation in the Antarctic Vortex</t>
  </si>
  <si>
    <t>JOURNAL OF THE ATMOSPHERIC SCIENCES</t>
  </si>
  <si>
    <t>GRAVITY-WAVES; LOWER STRATOSPHERE; INTERNAL WAVES; LONG-DURATION; PROPAGATION; GENERATION; BALLOONS; FRONTS; JETS</t>
  </si>
  <si>
    <t>Spectral analyses of time series of zonal winds derived from locations of balloons drifting in the Southern Hemisphere polar vortex during the Vorcore campaign of the Strateole program reveal a peak with a frequency near 0.10 h(-1), more than 25% higher than the inertial frequency at locations along the trajectories. Using balloon data and values of relative vorticity evaluated from the Modern Era Retrospective-Analyses for Research and Applications (MERRA), the authors find that the spectral peak near 0.10 h(-1) can be interpreted as being due to inertial waves propagating inside the Antarctic polar vortex. In support of this claim, the authors examine the way in which the low-frequency part of the gravity wave spectrum sampled by the balloons is shifted because of effects of the background flow vorticity. Locally, the background flow can be expressed as the sum of solid-body rotation and shear. This study demonstrates that while pure solid-body rotation gives an effective inertial frequency equal to the absolute vorticity, the latter gives an effective inertial frequency that varies, depending on the direction of wave propagation, between limits defined by the absolute vorticity plus or minus half of the background relative vorticity.</t>
  </si>
  <si>
    <t>[Gelinas, L. J.] Aerosp Corp, Dept Space Sci, Los Angeles, CA 90009 USA; [Walterscheid, R. L.] Aerosp Corp, Space Sci Applicat Lab, El Segundo, CA 90245 USA; [Mechoso, C. R.] Univ Calif Los Angeles, Dept Atmospher &amp; Ocean Sci, Los Angeles, CA USA; [Schubert, G.] Univ Calif Los Angeles, Dept Earth &amp; Space Sci, Los Angeles, CA 90024 USA</t>
  </si>
  <si>
    <t>Aerospace Corporation - USA; Aerospace Corporation - USA; University of California System; University of California Los Angeles; University of California System; University of California Los Angeles</t>
  </si>
  <si>
    <t>Gelinas, LJ (corresponding author), Aerosp Corp, Dept Space Sci, POB 92957,M2-260, Los Angeles, CA 90009 USA.</t>
  </si>
  <si>
    <t>lynette.j.gelinas@aero.org</t>
  </si>
  <si>
    <t>NSF [ATM 0732222]; NASA [NNX08AM13G]; NASA [98149, NNX08AM13G] Funding Source: Federal RePORTER</t>
  </si>
  <si>
    <t>NSF(National Science Foundation (NSF)); NASA(National Aeronautics &amp; Space Administration (NASA)); NASA(National Aeronautics &amp; Space Administration (NASA))</t>
  </si>
  <si>
    <t>The authors especially thank Andrew V. Tangborn, from the National Aeronautics and Space Administration, for providing the GEOS5 data. The Vorcore data were provided by the France's Centre National de la Recherche Scientilique from their web site (http://www.lmd.polytechnique.fr/Vorcore/ McMurdoE.htm). Research at The Aerospace Corporation and UCLA was supported by NSF Grant ATM 0732222. Research at The Aerospace Corporation was also supported by NASA Grant NNX08AM13G.</t>
  </si>
  <si>
    <t>0022-4928</t>
  </si>
  <si>
    <t>1520-0469</t>
  </si>
  <si>
    <t>J ATMOS SCI</t>
  </si>
  <si>
    <t>J. Atmos. Sci.</t>
  </si>
  <si>
    <t>10.1175/JAS-D-11-0305.1</t>
  </si>
  <si>
    <t>055PZ</t>
  </si>
  <si>
    <t>WOS:000312430200022</t>
  </si>
  <si>
    <t>Karanovic, I; Lörz, AN</t>
  </si>
  <si>
    <t>Karanovic, I.; Loerz, A-N</t>
  </si>
  <si>
    <t>A new subfamily and species of Ostracoda (Cylindroleberididae, Myodocopa) from the Chatham Rise (New Zealand)</t>
  </si>
  <si>
    <t>NEW ZEALAND JOURNAL OF ZOOLOGY</t>
  </si>
  <si>
    <t>Ostracoda; New Zealand; taxonomy; new subfamily; Macroasteropteron chathamensis sp; nov; key of Cylindroleberididae</t>
  </si>
  <si>
    <t>CRUSTACEA</t>
  </si>
  <si>
    <t>The second species of the genus, Macroasteropteron chathamensis sp. nov. is described in the present paper. It was collected from 1000 m depth during the New Zealand national biodiversity programme Ocean Survey 20/20 to the Chatham Rise and the Challenger Plateau. To accommodate this genus, a new subfamily Macroasteropteroninae is described herein. It is defined by the following autapomorphies: locking system on the shell; very small second segment on the second antenna (bearing no dorsal bristles); square shaped third and fourth segments on the same appendage; absence of dorsal bristles on the third segment of the male clasping organ; reverse position of the alpha and beta bristles on the maxillula; almost square shaped skirt on the sixth limb; and a bulbous terminal part of the seventh limb, which, in addition, does not have any bell-bearing bristles. A key to the four subfamilies of Cylindroleberididae is provided.</t>
  </si>
  <si>
    <t>[Karanovic, I.] Hanyang Univ, Dept Life Sci, Seoul 133791, South Korea; [Karanovic, I.] Univ Tasmania, Inst Marine &amp; Antarctic Studies, Hobart, Tas 7001, Australia; [Loerz, A-N] Natl Inst Water &amp; Atmospher Res NIWA, Wellington, New Zealand</t>
  </si>
  <si>
    <t>Hanyang University; University of Tasmania; National Institute of Water &amp; Atmospheric Research (NIWA) - New Zealand</t>
  </si>
  <si>
    <t>ivana.karanovic@utas.edu.au</t>
  </si>
  <si>
    <t>International Mobility Fund; Royal Society of New Zealand [IMF10-B13]; New Zealand Ministry of Fisheries; Land Information New Zealand; NIWA; New Zealand Department of Conservation; NIWA's Biodiversity &amp; Biosecurity programme of the New Zealand Science Foundation [BBDB1202]</t>
  </si>
  <si>
    <t>International Mobility Fund; Royal Society of New Zealand(Royal Society of New Zealand); New Zealand Ministry of Fisheries; Land Information New Zealand; NIWA; New Zealand Department of Conservation; NIWA's Biodiversity &amp; Biosecurity programme of the New Zealand Science Foundation</t>
  </si>
  <si>
    <t>A visit of the senior author to NIWA, during which she studied the ostracod collection from the Chatham Rise and Challenger Plateau, was supported by the International Mobility Fund, Royal Society of New Zealand, project IMF10-B13. Ostracod specimens were collected as part of the Ocean Survey 20/20 Chatham/Challenger Biodiversity and Seabed Habitat Project, jointly funded by the New Zealand Ministry of Fisheries, Land Information New Zealand, NIWA and the New Zealand Department of Conservation. We wish to thank Dr Kareen Schnabel and Ms Sadie Mills (NIWA, Wellington) for their kind support during the senior author's stay. James Sturma (NIWA) created the map. We thank Dr Dennis Gordon (NIWA) for critical comments to an earlier version of the manuscript. This research was funded by NIWA's Biodiversity &amp; Biosecurity programme Co1X0502 of the New Zealand Science Foundation, project BBDB1202.</t>
  </si>
  <si>
    <t>0301-4223</t>
  </si>
  <si>
    <t>1175-8821</t>
  </si>
  <si>
    <t>NEW ZEAL J ZOOL</t>
  </si>
  <si>
    <t>N. Z. J. Zool.</t>
  </si>
  <si>
    <t>10.1080/03014223.2011.648200</t>
  </si>
  <si>
    <t>056IL</t>
  </si>
  <si>
    <t>WOS:000312481500002</t>
  </si>
  <si>
    <t>Pelster, B; Schwerte, T</t>
  </si>
  <si>
    <t>Pelster, Bernd; Schwerte, Thorsten</t>
  </si>
  <si>
    <t>The paracrine role of 5-HT in the control of gill blood flow</t>
  </si>
  <si>
    <t>RESPIRATORY PHYSIOLOGY &amp; NEUROBIOLOGY</t>
  </si>
  <si>
    <t>Neuroepithelial; Serotonergic; Serotonin; Hypoxic; Teleost</t>
  </si>
  <si>
    <t>SEROTONIN REUPTAKE INHIBITORS; FISH PAGOTHENIA-BORCHGREVINKI; GOLDFISH CARASSIUS-AURATUS; EFFERENT FILAMENT ARTERY; RAINBOW-TROUT; NEUROEPITHELIAL CELLS; GADUS-MORHUA; ATLANTIC COD; NEUROENDOCRINE CELLS; ONCORHYNCHUS-MYKISS</t>
  </si>
  <si>
    <t>Storage of serotonin in teleost gill cells has been detected in neurons, polymorphous granular cells and in neuroepithelial cells. Innervation from the glossopharyngeal nerve (first gill arch) and the vagus nerve (all gill arches) carries afferent as well as efferent fibers. This innervation extends to the efferent filament artery, including the sphincter muscle associated with the efferent filament artery, but except for the Antarctic fish does not reach the afferent filament artery. Serotonergic nerves as well as neuroepithelial cells have been shown to release serotonin, while very little is known about the polymorphous granular cells. The paracrine action of the released serotonin may affect vascular smooth muscle cells and pillar cells, which also contain contractile filaments. Already the earliest functional studies revealed a severe increase in branchial resistance as a result of serotonin application, combined with an increase in the perfusion of the arterio-venous path and the central sinus spaces of the gills. Pharmacological analysis demonstrated that this is a serotonin specific effect, which in Antarctic fish is due to activation of the 5-HT2 receptor, while inhibition of the 5-HT1 receptor does not reduce the serotonin induced vasoconstriction of gill blood vessels. Hypoxic degranulation of serotonergic cells evoked the hypothesis that serotonergic vasoconstriction might result in more even and overall better perfusion of gill lamellae. Microscopic analysis indicated, however, that perfusion of distal lamellae was reduced after serotonin application. Furthermore, a serotonergic increase in branchial resistance caused a decrease in dorsal arterial oxygen saturation, not an increase as would be expected as a result of a better perfusion of gill lamellae. A detailed analysis of hypoxic effects on gill perfusion revealed that hypoxia induced changes in gill blood flow are due to cholinergic effects, but serotonergic influences could not be detected. These observations contradict the hypothesis that serotonergic vasoconstriction might support hypoxic gas exchange. The functional significance of the serotonergic control of gill blood flow therefore is not yet totally clear. Recent observations indicate that specific inhibitors of serotonin re-uptake accumulate in freshwater and in estuaries. Considering the negative effect of serotonin on arterial blood oxygenation this may become a threat to teleost species. (C) 2012 Elsevier B.V. All rights reserved.</t>
  </si>
  <si>
    <t>Univ Innsbruck, Inst Zool, Innsbruck, Austria; Univ Innsbruck, Ctr Mol Biosci, Innsbruck, Austria</t>
  </si>
  <si>
    <t>University of Innsbruck; University of Innsbruck</t>
  </si>
  <si>
    <t>Pelster, B (corresponding author), Leopold Franzens Univ Innsbruck, Inst Zool, Tech Str 25, A-6020 Innsbruck, Austria.</t>
  </si>
  <si>
    <t>bernd.pelster@uibk.ac.at</t>
  </si>
  <si>
    <t>Schwerte, Thorsten/K-6549-2019; Pelster, Bernd/JCO-7300-2023; Schwerte, Thorsten/A-6088-2009</t>
  </si>
  <si>
    <t>Schwerte, Thorsten/0000-0002-6330-8817</t>
  </si>
  <si>
    <t>1569-9048</t>
  </si>
  <si>
    <t>RESP PHYSIOL NEUROBI</t>
  </si>
  <si>
    <t>Respir. Physiol. Neuro.</t>
  </si>
  <si>
    <t>10.1016/j.resp.2012.05.014</t>
  </si>
  <si>
    <t>Physiology; Respiratory System</t>
  </si>
  <si>
    <t>055PJ</t>
  </si>
  <si>
    <t>WOS:000312428600015</t>
  </si>
  <si>
    <t>Polyakov, IV; Pnyushkov, AV; Timokhov, LA</t>
  </si>
  <si>
    <t>Polyakov, Igor V.; Pnyushkov, Andrey V.; Timokhov, Leonid A.</t>
  </si>
  <si>
    <t>Warming of the Intermediate Atlantic Water of the Arctic Ocean in the 2000s</t>
  </si>
  <si>
    <t>VARIABILITY</t>
  </si>
  <si>
    <t>This analysis evaluates the thermal state of the intermediate (depth range of 150-900 m) Atlantic,. Water (AW) of the Arctic Ocean, beginning in the 1950s and with particular focus on the transition from the 1990s to the 2000s and on changes during the 2000s, Using an extensive array of observations, the authors document AW warming trends across various time scales and demonstrate that the 2000s were exceptionally warm, with no analogy since the 1950s or probably in the history of instrumental observations in the Arctic Ocean. Warming in the recent decade was dominated by a warm AW pulse in addition to the underlying trend. Since 1997, the Canadian Basin experienced a faster warming rate compared with the Eurasian Basin. The relative role of the. AW warmth in setting the net energy flux and mass balance of the Arctic sea ice is still under debate. Additional carefully orchestrated held experiments are required in order to address this question of ongoing Arctic climate change.</t>
  </si>
  <si>
    <t>[Polyakov, Igor V.; Pnyushkov, Andrey V.] Univ Alaska Fairbanks, Int Arctic Res Ctr, Fairbanks, AK 99775 USA; [Timokhov, Leonid A.] Arctic &amp; Antarctic Res Inst, St Petersburg 199226, Russia</t>
  </si>
  <si>
    <t>University of Alaska System; University of Alaska Fairbanks; Arctic &amp; Antarctic Research Institute</t>
  </si>
  <si>
    <t>Polyakov, IV (corresponding author), Univ Alaska Fairbanks, Int Arctic Res Ctr, POB 757335, Fairbanks, AK 99775 USA.</t>
  </si>
  <si>
    <t>igor@iarc.uaf.edu</t>
  </si>
  <si>
    <t>Pnyushkov, Andrey/M-3156-2019; Pnyushkov, Andrey/J-4153-2014</t>
  </si>
  <si>
    <t>Pnyushkov, Andrey/0000-0001-9112-6458; Pnyushkov, Andrey/0000-0001-9112-6458</t>
  </si>
  <si>
    <t>JAMSTEC; JAXA; NASA</t>
  </si>
  <si>
    <t>JAMSTEC; JAXA; NASA(National Aeronautics &amp; Space Administration (NASA))</t>
  </si>
  <si>
    <t>This study was supported by JAMSTEC (IP) and JAXA and NASA (IP and AP) grants. We thank M. McPhee and two anonymous reviewers for useful comments.</t>
  </si>
  <si>
    <t>10.1175/JCLI-D-12-00266.1</t>
  </si>
  <si>
    <t>051EF</t>
  </si>
  <si>
    <t>WOS:000312107300021</t>
  </si>
  <si>
    <t>Kendrick, MA; Woodhead, JD; Kamenetsky, VS</t>
  </si>
  <si>
    <t>Kendrick, Mark A.; Woodhead, Jon D.; Kamenetsky, Vadim S.</t>
  </si>
  <si>
    <t>Tracking halogens through the subduction cycle</t>
  </si>
  <si>
    <t>CHLORINE ISOTOPE; NOBLE-GAS; PITCAIRN SEAMOUNTS; MANTLE; BASALTS; FLUIDS; BROMINE; IODINE; RIDGE; CONSTRAINTS</t>
  </si>
  <si>
    <t>The flux of halogens into the Earth's mantle at subduction zones is a critical yet poorly constrained parameter in the geochemical evolution of the planet. Here we report the first ever combined high-precision measurements of chlorine, bromine, and iodine for backarc basin basalt (BABB) and ocean island basalt (OIB) glasses. The measurements were undertaken in order to evaluate the depth and extent of the halogen subduction cycle by comparing: (1) melts formed in the Manus Basin (Papua New Guinea) proximal to a modern subduction zone, and (2) melts formed from enriched mantle (EM) reservoirs that have been linked to ancient subduction recycling [EM1 and EM2 sampled by the Pitcairn and Society seamounts (central Pacific Ocean), respectively]. As expected from previous studies, the BABBs are strongly enriched in chlorine relative to other trace elements and mid-oceanic ridge basalts (MORB); however, the combined Br/Cl and I/Cl data provide additional insights. The BABBs have I/Cl weight ratios of up to 5.3 x 10(-4), that are up to five times higher than typical MORB; and the BABBs with the highest I/Cl have Br/Cl ratios of 2-3 x 10(-3), that are lower than typical MORB, and significantly lower than either iodine-rich sediments or seawater-derived sedimentary pore fluids. The final breakdown of iodine-rich serpentine is considered the most likely source of the halogen enrichment in the BABB, suggesting that subduction of serpentinized peridotites enables transport of strongly incompatible, fluid-mobile, volatile elements, like iodine, beyond zones of arc-magma generation. The Pitcairn and Society melts exhibit a remarkable correlation between K/Cl and Sr-87/Sr-86. The K/Cl ratios vary from MORB-like values of similar to 15 to maxima of similar to 40 in the isotopically most enriched EM end members. The trend reflects the lower subduction efficiency of halogens compared to K and other lithophile elements. Melts formed from EM and MORB mantle reservoirs have very similar Br/Cl and I/Cl weight ratios of 3.6 +/- 0.8 x 10(-3) and 85 +/- 42 x 10(-6) (2s) respectively, that could indicate that subducted volatiles have been mixed throughout the mantle.</t>
  </si>
  <si>
    <t>[Kendrick, Mark A.; Woodhead, Jon D.] Univ Melbourne, Sch Earth Sci, Melbourne, Vic 3010, Australia; [Kamenetsky, Vadim S.] Univ Tasmania, Inst Marine &amp; Antarctic Studies, Hobart, Tas 7001, Australia; [Kamenetsky, Vadim S.] Univ Tasmania, ARC Ctr Excellence Ore Deposits, Hobart, Tas 7001, Australia</t>
  </si>
  <si>
    <t>University of Melbourne; Melbourne Bioinformatics; University of Tasmania; University of Tasmania</t>
  </si>
  <si>
    <t>Kendrick, MA (corresponding author), Univ Melbourne, Sch Earth Sci, Melbourne, Vic 3010, Australia.</t>
  </si>
  <si>
    <t>Kamenetsky, Vadim/K-2200-2019; Woodhead, Jon/C-2227-2012; Kamenetsky, Vadim/CAF-7424-2022; Kendrick, Mark/F-8824-2012; Kamenetsky, Vadim/B-1019-2008</t>
  </si>
  <si>
    <t>Woodhead, Jon/0000-0002-7614-0136; Kendrick, Mark/0000-0002-6541-4162; Kamenetsky, Vadim/0000-0002-2734-8790</t>
  </si>
  <si>
    <t>Australian Research Council QEII [DP 0879451]; Australian Research Council [DP0555984]; University of Tasmania; Australian Research Council [DP0555984] Funding Source: Australian Research Council</t>
  </si>
  <si>
    <t>Australian Research Council QEII(Australian Research Council); Australian Research Council(Australian Research Council); University of Tasmania; Australian Research Council(Australian Research Council)</t>
  </si>
  <si>
    <t>We thank Stan Szczepanski for technical assistance in the noble gas laboratory (run by David Phillips) and Alan Greig for undertaking trace element analyses. Kendrick is the recipient of an Australian Research Council QEII Fellowship (project DP 0879451). Kamenetsky is the recipient of an Australian Research Council Professorial Fellowship (project DP0555984), and the University of Tasmania New Star Professorship. We also thank Jacqueline Dixon and an anonymous reviewer for constructive reviews of this manuscript.</t>
  </si>
  <si>
    <t>10.1130/G33265.1</t>
  </si>
  <si>
    <t>046BE</t>
  </si>
  <si>
    <t>WOS:000311739700009</t>
  </si>
  <si>
    <t>Veretenenko, SV; Ogurtsov, MG</t>
  </si>
  <si>
    <t>Veretenenko, S. V.; Ogurtsov, M. G.</t>
  </si>
  <si>
    <t>Stratospheric Circumpolar Vortex as a Link between Solar Activity and Circulation of the Lower Atmosphere</t>
  </si>
  <si>
    <t>VARIABILITY; CLIMATE; OZONE</t>
  </si>
  <si>
    <t>Possible reasons for the temporal variability of solar activity (SA) and galactic cosmic ray (GCR) effects on the tropospheric circulation are studied. Long-term variations in the amplitude and sign of SA/GCR effects are shown to be closely related to the state of the stratospheric circumpolar vortex. A similar to 60-year periodicity was detected the vortex strength which affects the evolution of the large-scale atmospheric circulation. It is shown that the correlation coefficients between pressure in the troposphere and SA/GCR characteristics change the sign in the periods of transformations of the large-scale circulation caused by changes in the state of the vortex. The obtained results suggest an important part of the circumpolar vortex in the mechanism of solar-climate links. DOI: 10.1134/S0016793212070201</t>
  </si>
  <si>
    <t>[Veretenenko, S. V.; Ogurtsov, M. G.] Russian Acad Sci, AF Ioffe Phys Tech Inst, St Petersburg 196140, Russia; [Ogurtsov, M. G.] Russian Acad Sci, Cent Astron Pulkovo Observ, St Petersburg 196140, Russia</t>
  </si>
  <si>
    <t>Russian Academy of Sciences; St. Petersburg Scientific Centre of the Russian Academy of Sciences; Ioffe Physical Technical Institute; Pulkovo Observatory; Russian Academy of Sciences; St. Petersburg Scientific Centre of the Russian Academy of Sciences</t>
  </si>
  <si>
    <t>Veretenenko, SV (corresponding author), Russian Acad Sci, AF Ioffe Phys Tech Inst, St Petersburg 196140, Russia.</t>
  </si>
  <si>
    <t>Ogurtsov, Maxim/H-9486-2014; Veretenenko, Svetlana/F-3341-2014</t>
  </si>
  <si>
    <t>Veretenenko, Svetlana/0000-0001-8968-0724</t>
  </si>
  <si>
    <t>Presidium of the Russian Academy of Sciences [22]</t>
  </si>
  <si>
    <t>Presidium of the Russian Academy of Sciences(Russian Academy of Sciences)</t>
  </si>
  <si>
    <t>This work was partly supported by the Presidium of the Russian Academy of Sciences (project no. 22). We are grateful to Dr. Z.M. Gudkovich and Dr. V. V. Ivanov (Arctic and Antarctic Research Institute, St. Petersburg) for helpful discussions.</t>
  </si>
  <si>
    <t>10.1134/S0016793212070201</t>
  </si>
  <si>
    <t>050NX</t>
  </si>
  <si>
    <t>WOS:000312061700018</t>
  </si>
  <si>
    <t>Echevarría, RG</t>
  </si>
  <si>
    <t>Echevarria, Roberto Gonzalez</t>
  </si>
  <si>
    <t>Antarctic miscellanies</t>
  </si>
  <si>
    <t>RENAISSANCE QUARTERLY</t>
  </si>
  <si>
    <t>[Echevarria, Roberto Gonzalez] Yale Univ, New Haven, CT 06520 USA</t>
  </si>
  <si>
    <t>Yale University</t>
  </si>
  <si>
    <t>Echevarría, RG (corresponding author), Yale Univ, New Haven, CT 06520 USA.</t>
  </si>
  <si>
    <t>0034-4338</t>
  </si>
  <si>
    <t>RENAISSANCE QUART</t>
  </si>
  <si>
    <t>Renaiss. Q.</t>
  </si>
  <si>
    <t>WIN</t>
  </si>
  <si>
    <t>10.1086/669428</t>
  </si>
  <si>
    <t>Medieval &amp; Renaissance Studies</t>
  </si>
  <si>
    <t>Arts &amp; Humanities - Other Topics</t>
  </si>
  <si>
    <t>050GL</t>
  </si>
  <si>
    <t>WOS:000312041100086</t>
  </si>
  <si>
    <t>Guly, HR</t>
  </si>
  <si>
    <t>Guly, Henry R.</t>
  </si>
  <si>
    <t>Frostbite and Other Cold Injuries in the Heroic Age of Antarctic Exploration</t>
  </si>
  <si>
    <t>WILDERNESS &amp; ENVIRONMENTAL MEDICINE</t>
  </si>
  <si>
    <t>frostbite; cold injury; expedition medicine; Antarctica; history of medicine</t>
  </si>
  <si>
    <t>PICRIC ACID</t>
  </si>
  <si>
    <t>Frostbite and other cold injuries on the early polar expeditions were common. This paper explains how frostbite was described, prevented, and treated on the Antarctic expeditions of the heroic age, comparing them with modern recommendations. Nonfreezing cold injury probably also occurred but was not differentiated from frostbite, and chilblains were also described.</t>
  </si>
  <si>
    <t>[Guly, Henry R.] Derriford Hosp, Emergency Med &amp; British Antarctic Survey Med Unit, Plymouth PL6 8DH, Devon, England</t>
  </si>
  <si>
    <t>Guly, HR (corresponding author), The Shrubbery, Bedford Rd, Yelverton PL20 7QH, Devon, England.</t>
  </si>
  <si>
    <t>This research was made possible by a research grant from the Wellcome Trust to study medicine during the heroic age of Antarctic Exploration.</t>
  </si>
  <si>
    <t>1080-6032</t>
  </si>
  <si>
    <t>WILD ENVIRON MED</t>
  </si>
  <si>
    <t>Wildern. Environ. Med.</t>
  </si>
  <si>
    <t>10.1016/j.wem.2012.05.006</t>
  </si>
  <si>
    <t>Public, Environmental &amp; Occupational Health; Sport Sciences</t>
  </si>
  <si>
    <t>048MD</t>
  </si>
  <si>
    <t>WOS:000311914700011</t>
  </si>
  <si>
    <t>O'gorman, JP; Olivero, EB; Cabrera, DA</t>
  </si>
  <si>
    <t>O'gorman, Jose P.; Olivero, Eduardo B.; Cabrera, Daniel A.</t>
  </si>
  <si>
    <t>Gastroliths associated with a juvenile elasmosaur (Plesiosauria, Elasmosauridae) from the Snow Hill Island Formation (upper Campanian-lower Maastrichtian), Vega Island, Antarctica</t>
  </si>
  <si>
    <t>ALCHERINGA</t>
  </si>
  <si>
    <t>Gastroliths; Elasmosauridae; Antarctica; Upper Cretaceous; Snow Hill Island Formation; plesiosaur; taphonomy</t>
  </si>
  <si>
    <t>BACK-ARC BASIN; POLYCOTYLID PLESIOSAUR; MARAMBIO GROUP; SAUROPTERYGIA; REPTILIA; SEDIMENTOLOGY; STRATIGRAPHY; MANGAHOUANGA; VERTEBRATES; EVOLUTION</t>
  </si>
  <si>
    <t>One of the unresolved problems concerning the palaeobiology of plesiosaurs is the function of gastroliths. A new juvenile specimen referred to Elasmosauridae indet., collected from the Cape Lamb Member of the Snow Hill Island Formation (upper Campanianlower Maastrichtian) from Cape Lamb, Vega Island, Antarctic Peninsula with gastroliths, provides the opportunity to add information about this issue. The specimen consists of approximately 20% of a partially articulated skeleton including 333 gastroliths. Taphonomic evidence indicates rapid burial and possibly different taphonomic pathways for the dorsal (articulated) and caudal (disarticulated) regions. Analysis of the 333 gastroliths determined the mean major axis to be 14.32mm, the mean maximum projection sphericity to be 0.7 and the standard deviation to be 1.1. Following Krumbein classification, most of the gastroliths are disk-shaped (35.4%), spheroid (34%) and cylindrical (21.3%). According to Powers's categories, most of the gastroliths are rounded (71.2%). Petrographically, the gastroliths that are larger than 15mm (major axis) are mostly volcanic rhyolites (78.3%) and fine-grained quartz aggregates (11.6%); together with minor granitic rocks (3.1%), mudstones (3.1%) and aphanitic volcanics (3.9%); similar percentages were present among the smaller clasts. The acidic volcanic clasts likely derive from the volcanic Antarctic Peninsula Group (GPVA; MiddleUpper Jurassic). The mean values for sphericity and oblate-prolate index (OP index) indicate a fluvial origin for the gastroliths. The method of estimation of the maximum prey-size using gastroliths is discussed. The available data provides evidence against the hydrostatic function of the gastroliths because the total weight of the gastroliths is insufficient to modify the hydrostatic balance of the juvenile plesiosaur.</t>
  </si>
  <si>
    <t>[O'gorman, Jose P.; Cabrera, Daniel A.] Univ Nacl La Plata, Museo La Plata, Div Paleontol Vertebrados, La Plata, Buenos Aires, Argentina; [Olivero, Eduardo B.] CADIC Houssay, RA-9410 Ushuaia, Argentina; [O'gorman, Jose P.; Cabrera, Daniel A.] Consejo Nacl Invest Cient &amp; Tecn, RA-1033 Buenos Aires, DF, Argentina</t>
  </si>
  <si>
    <t>O'gorman, JP (corresponding author), Univ Nacl La Plata, Museo La Plata, Div Paleontol Vertebrados, Paseo Bosque S-N,B1900FWA, La Plata, Buenos Aires, Argentina.</t>
  </si>
  <si>
    <t>joseogorman@fcnym.unlp.edu.ar; emolivero@ciudad.com.ar; dcabrera@fcnym.unlp.edu.ar</t>
  </si>
  <si>
    <t>ANPCyT [PICT 2008-0261, PICT 0365]; [PICTO 36315 FONCYT-DNA]; [UNLP N607]; [UNLP N538]</t>
  </si>
  <si>
    <t>ANPCyT(ANPCyT); ; ;</t>
  </si>
  <si>
    <t>The authors thank Z. Gasparini (Universidad Nacional de La Plata) and L. Salgado (Universidad Nacional de Rio Negro) for their critical comments that improved this manuscript; N. Hiller (University of Canterbury) and R. Schmeisser McKean (St. Norbert College) for the review comments; M. Reguero and J.J. Moly (Universidad Nacional de La Plata) and J. Martin (South Dakota School of Mines and Technology) for recovering the material; Instituto Antartico Argentino (IAA) for the support in the Antarctic field trip; L. Acosta Burllaile and F. Degrange for their collaboration in fossil preparation, and N. Cerda and R. Schmeisser for providing access to literature. Thank to C. Deschamps, M.P. Arregui and M. Everhart for improving the english. This work was supported by PICT 2008-0261 (ANPCyT), PICT 0365 (ANPCyT), PICTO 36315 FONCYT-DNA, UNLP N607 and UNLP N538.</t>
  </si>
  <si>
    <t>0311-5518</t>
  </si>
  <si>
    <t>1752-0754</t>
  </si>
  <si>
    <t>Alcheringa</t>
  </si>
  <si>
    <t>10.1080/03115518.2012.688673</t>
  </si>
  <si>
    <t>048UZ</t>
  </si>
  <si>
    <t>WOS:000311940000010</t>
  </si>
  <si>
    <t>Park, Y; Kim, KH; Lee, J; Yoo, HJ; Plasencia, MP</t>
  </si>
  <si>
    <t>Park, Yongcheol; Kim, Kwang-Hee; Lee, Joohan; Yoo, Hyun Jae; Plasencia L, Milton P.</t>
  </si>
  <si>
    <t>P-wave velocity structure beneath the northern Antarctic Peninsula: evidence of a steeply subducting slab and a deep-rooted low-velocity anomaly beneath the central Bransfield Basin</t>
  </si>
  <si>
    <t>Body waves; Broad-band seismometers; Seismic tomography; Subduction zone processes; Continental margins: convergent; Antarctica</t>
  </si>
  <si>
    <t>SCOTIA SEA REGION; SOUTH SHETLAND ISLANDS; WEST-ANTARCTICA; UPPER-MANTLE; KENYA RIFT; CRUSTAL STRUCTURE; SEISMIC STRUCTURE; TECTONIC EVOLUTION; THERMAL STRUCTURE; PACIFIC MARGIN</t>
  </si>
  <si>
    <t>Upper-mantle structure between 100 and 300 km depth below the northern Antarctic Peninsula is imaged by modelling P-wave traveltime residuals from teleseismic events recorded on the King Sejong Station (KSJ), the Argentinean/Italian stations (JUBA and ESPZ), an IRIS/GSN Station (PMSA) and the Seismic Experiment in Patagonia and Antarctica (SEPA) broad-band stations. For measuring traveltime residuals, we applied a multichannel cross-correlation method and inverted for upper-mantle structure using VanDecar's method. The new 3-D velocity model reveals a subducted slab with a similar to 70 degrees dip angle at 100300 km depth and a strong low-velocity anomaly confined below the SE flank of the central Bransfield Basin. The low velocity is attributed to a thermal anomaly in the mantle that could be as large as 350560 K and which is associated with high heat flow and volcanism in the central Bransfield Basin. The low-velocity zone imaged below the SE flank of the central Bransfield Basin does not extend under the northern Bransfield Basin, suggesting that the rifting process in that area likely involves different geodynamic processes.</t>
  </si>
  <si>
    <t>[Park, Yongcheol; Lee, Joohan; Yoo, Hyun Jae] Korea Polar Res Inst, Inchon, South Korea; [Kim, Kwang-Hee] Korea Ocean Res &amp; Dev Inst, Ansan, South Korea</t>
  </si>
  <si>
    <t>Korea Polar Research Institute (KOPRI); Korea Institute of Ocean Science &amp; Technology (KIOST); Korea Institute of Ocean Science &amp; Technology (KIOST)</t>
  </si>
  <si>
    <t>Park, Y (corresponding author), Korea Polar Res Inst, Inchon, South Korea.</t>
  </si>
  <si>
    <t>ypark@kopri.re.kr</t>
  </si>
  <si>
    <t>PLASENCIA LINARES, Milton Percy/0000-0002-6218-8411</t>
  </si>
  <si>
    <t>Korea Polar Research Institute [PE12050, PP12020]</t>
  </si>
  <si>
    <t>We thank Christine Thomas, R. D. Larter and an anonymous reviewer for constructive comments. SEPA and PMSA data were obtained from the incorporated research Institutions for Seismology (IRIS) data management system (DMS). The GMT and SAC softwares have been used for this study. This work was supported by the Korea Polar Research Institute (grants PE12050 and PP12020).</t>
  </si>
  <si>
    <t>10.1111/j.1365-246X.2012.05684.x</t>
  </si>
  <si>
    <t>035WG</t>
  </si>
  <si>
    <t>WOS:000310982400005</t>
  </si>
  <si>
    <t>Wang, X; Zou, XL; Weng, FZ; You, R</t>
  </si>
  <si>
    <t>Wang, Xiang; Zou, Xiaolei; Weng, Fuzhong; You, Ran</t>
  </si>
  <si>
    <t>An Assessment of the FY-3A Microwave Temperature Sounder Using the NCEP Numerical Weather Prediction Model</t>
  </si>
  <si>
    <t>FengYun-3A (FY-3A); frequency shift; MicroWave Temperature Sounder (MWTS)</t>
  </si>
  <si>
    <t>UNIT-A; MSU; CALIBRATION; ASSIMILATION; CONSTRUCTION; SATELLITES; TRENDS</t>
  </si>
  <si>
    <t>The MicroWave Temperature Sounder (MWTS) on FY-3A has four channels with designed band central frequencies of 50.3, 53.6, 54.9, and 57.3 GHz, respectively. Lu et al. found that the central frequency for three upper level sounding channels shifted after the satellite launch into orbit. This study confirms the findings Lu et al. using a different numerical weather prediction (NWP) model and a different radiative transfer model. Furthermore, it is shown that the strong temperature dependence of MWTS O-B-DF biases found in our earlier work is mostly induced by these frequency shifts, where O represents MWTS observations and B-DF is model simulations. The mean difference of brightness temperature simulations with (B-SF) and without (B-SF) incorporating the frequency shifts into the radiative transfer model resembles the O-B-SF biases. For NWP applications of FY-3A MWTS data, it is sufficient to generate new fast radiative transfer model coefficients that incorporate the new passband parameters, and the resulting MWTS O-B-shifted biases become constant as those of MetOp-A/NOAA-18 AMSU-A data. For climate applications, the FY-3A MWTS brightness temperatures adjusted by subtracting B-SF-B-DF match quite well with the MetOp-A/NOAA-18 AMSU-A data at the simultaneous nadir overpass locations in both the Arctic and Antarctic.</t>
  </si>
  <si>
    <t>[Wang, Xiang] Nanjing Univ Informat Sci &amp; Technol, Ctr Data Assimilat Res &amp; Applicat, Nanjing 210044, Jiangsu, Peoples R China; [Zou, Xiaolei] Florida State Univ, Dept Earth Ocean &amp; Atmospher Sci, Tallahassee, FL 32306 USA; [Weng, Fuzhong] NOAA, Natl Environm Satellite Data &amp; Informat Serv, Washington, DC 20233 USA; [You, Ran] China Meteorol Adm, Natl Satellite Meteorol Ctr, Beijing 100081, Peoples R China</t>
  </si>
  <si>
    <t>Nanjing University of Information Science &amp; Technology; State University System of Florida; Florida State University; National Oceanic Atmospheric Admin (NOAA) - USA; China Meteorological Administration</t>
  </si>
  <si>
    <t>Wang, X (corresponding author), Nanjing Univ Informat Sci &amp; Technol, Ctr Data Assimilat Res &amp; Applicat, Nanjing 210044, Jiangsu, Peoples R China.</t>
  </si>
  <si>
    <t>jwang6@fsu.edu; xzou@fsu.edu; fuzhong.weng@noaa.gov; youran@nsmc.cma.gov.cn</t>
  </si>
  <si>
    <t>Weng, Fuzhong/F-5633-2010</t>
  </si>
  <si>
    <t>Weng, Fuzhong/0000-0003-0150-2179</t>
  </si>
  <si>
    <t>Chinese Ministry of Science and Technology [2010CB951600]; Chinese Ministry of Finance [GYHY200906006]</t>
  </si>
  <si>
    <t>Chinese Ministry of Science and Technology(Ministry of Science and Technology, China); Chinese Ministry of Finance</t>
  </si>
  <si>
    <t>This work was jointly supported by the Chinese Ministry of Science and Technology under 973 project no. 2010CB951600, and the Chinese Ministry of Finance under the project no. GYHY200906006.</t>
  </si>
  <si>
    <t>10.1109/TGRS.2012.2200687</t>
  </si>
  <si>
    <t>046UY</t>
  </si>
  <si>
    <t>WOS:000311791100004</t>
  </si>
  <si>
    <t>Tastula, EM; Vihma, T; Andreas, EL</t>
  </si>
  <si>
    <t>Tastula, Esa-Matti; Vihma, Timo; Andreas, Edgar L.</t>
  </si>
  <si>
    <t>Evaluation of Polar WRF from Modeling the Atmospheric Boundary Layer over Antarctic Sea Ice in Autumn and Winter</t>
  </si>
  <si>
    <t>MONTHLY WEATHER REVIEW</t>
  </si>
  <si>
    <t>WESTERN WEDDELL SEA; SURFACE-ENERGY BUDGET; PART I; HEAT-FLUX; DRAG COEFFICIENTS; COASTAL POLYNYAS; WEATHER RESEARCH; CLIMATE MODELS; SIMULATIONS; EXCHANGE</t>
  </si>
  <si>
    <t>Regional simulations of the atmospheric boundary layer over Antarctic sea ice that have been adequately validated are rare. To address this gap, the authors use the doubly nested Polar Weather Research and Forecasting (Polar WRF) mesoscale model to simulate conditions during Ice Station Weddell (ISW) in the austral autumn and winter of 1992. The WRF simulations test two boundary layer schemes: Mellor-Yamada-Janjic and the Asymmetric Convective Model. Validation is against surface-layer and sounding observations from ISW. Simulated latent and sensible heat fluxes for both boundary layer schemes had poor correlation with the observed fluxes. Simulated surface temperature had better correlation with the observations, with a typical bias of 0-2 K and a root-mean-square error of 6-7 K. For surface temperature and wind speed, the Polar WRF yielded better results than the ECMWF Re-Analysis Interim (ERA-Interim). A more challenging test of the simulations is to reproduce features of the low-level jet and the temperature inversion, which were observed, respectively, in 80% and 96% of the ISW radiosoundings. Both boundary layer schemes produce only about half as many jets as were observed. Moreover, the simulated jet coincided with an observed jet only about 30% of the time. The number of temperature inversions and the height at the inversion base were better reproduced, although this was not the case with the depth of the inversion layer. Simulations of the temperature inversion improved when forecasts of cloud fraction agreed to within 0.3 with observations. The modeled inversions were strongest when the incoming longwave radiation was smallest, but this relationship was not observed at ISW.</t>
  </si>
  <si>
    <t>[Tastula, Esa-Matti] Univ Helsinki, FIN-00014 Helsinki, Finland; [Vihma, Timo] Finnish Meteorol Inst, FIN-00101 Helsinki, Finland; [Andreas, Edgar L.] NW Res Associates Inc, Lebanon, NH USA</t>
  </si>
  <si>
    <t>University of Helsinki; Finnish Meteorological Institute; NorthWest Research Associates</t>
  </si>
  <si>
    <t>Tastula, EM (corresponding author), Univ Helsinki, PL 64,Gustaf Hallstromin Katu 2A, FIN-00014 Helsinki, Finland.</t>
  </si>
  <si>
    <t>tastulae@mail.usf.edu</t>
  </si>
  <si>
    <t>Vihma, Timo/ABC-9771-2020</t>
  </si>
  <si>
    <t>Academy of Finland [128799, 128533]; U.S. National Science Foundation [10-19322]; Directorate For Geosciences; Division Of Polar Programs [1019322] Funding Source: National Science Foundation; Academy of Finland (AKA) [128533] Funding Source: Academy of Finland (AKA)</t>
  </si>
  <si>
    <t>Academy of Finland(Research Council of Finland); U.S. National Science Foundation(National Science Foundation (NSF)); Directorate For Geosciences; Division Of Polar Programs(National Science Foundation (NSF)NSF - Directorate for Geosciences (GEO)); Academy of Finland (AKA)</t>
  </si>
  <si>
    <t>The work of EMT and TV was supported by the Academy of Finland (Contracts 128799 and 128533), and the computing resources were provided by CSC-IT Center for Science. The U.S. National Science Foundation, through Award 10-19322, supported ELA's participation in this study. NSF also supported the data collection on Ice Station Weddell with previous awards. We thank Aleksandr Makshtas, Kerry Claffey, and Boris Ivanov for their help in collecting and processing the data from Ice Station Weddell and Steve Ackley and Cathy Gaiger for valuable insights into the ice concentration around Ice Station Weddell. David Bromwich and Keith Hines are acknowledged for providing us with the Polar WRF model code, and we thank Hannu Savijarvi for fruitful discussions.</t>
  </si>
  <si>
    <t>0027-0644</t>
  </si>
  <si>
    <t>1520-0493</t>
  </si>
  <si>
    <t>MON WEATHER REV</t>
  </si>
  <si>
    <t>Mon. Weather Rev.</t>
  </si>
  <si>
    <t>10.1175/MWR-D-12-00016.1</t>
  </si>
  <si>
    <t>048XA</t>
  </si>
  <si>
    <t>WOS:000311945300008</t>
  </si>
  <si>
    <t>Renault, D; Bijou, A; Hervant, F</t>
  </si>
  <si>
    <t>Renault, David; Bijou, Alice; Hervant, Frederic</t>
  </si>
  <si>
    <t>Impact of different acclimation temperatures and duration on the chill coma temperature and oxygen consumption in the tenebrionid beetle Alphitobius diaperinus</t>
  </si>
  <si>
    <t>PHYSIOLOGICAL ENTOMOLOGY</t>
  </si>
  <si>
    <t>Critical thermal limit; insect; low temperature</t>
  </si>
  <si>
    <t>CRITICAL THERMAL LIMITS; SUB-ANTARCTIC CATERPILLAR; LESSER MEALWORM; LONG-TERM; DROSOPHILA-MELANOGASTER; PRINGLEOPHAGA-MARIONI; POGONOMYRMEX-RUGOSUS; PANZER COLEOPTERA; COLD-EXPOSURE; TOLERANCE</t>
  </si>
  <si>
    <t>When the ambient temperature is lowered to an insect's lower thermal limit, the insect enters into chill coma. Chill coma temperature and chill coma recovery can vary within species as a result of thermal acclimation, although the physiological basis of the onset of chill coma remains poorly understood. The present study investigates how the temperature of acclimation (0, 5, 10, 15 and 20 degrees C for 2 or 7 days) affects chill coma temperature and oxygen consumption in adult Alphitobius diaperinus Panzer (Coleoptera: Tenebrionidae). It is hypothesized that the threshold decline in metabolic rate corresponds to the entry into chill coma. Oxygen consumption (as a proxy of metabolism) is measured across the chill coma temperature threshold, and a strong decline in oxygen consumption is expected at entry into chill coma. The acclimation decreases the chill coma temperature significantly from 6.6 +/- 1.1 degrees C in control insects to 3.1 +/- 0.7 degrees C in those acclimated to 10 degrees C. The change in metabolic rate (Q10) after acclimation to temperatures ranging from 10 to 20 degrees C is 3.7. Despite acclimation, the metabolic rate of A. diaperinus conforms to Arrhenius kinetics, suggesting that the response of this beetle does not show metabolic compensation. The data suggest the existence of a threshold decline in metabolic rate during cooling that coincides with the temperature at which an insect goes into chill coma.</t>
  </si>
  <si>
    <t>[Renault, David] Univ Rennes 1, UMR CNRS Ecobio 6553, F-35042 Rennes, France; [Hervant, Frederic] Univ Lyon 1, F-69622 Villeurbanne, France</t>
  </si>
  <si>
    <t>Universite de Rennes; Centre National de la Recherche Scientifique (CNRS); Universite Claude Bernard Lyon 1</t>
  </si>
  <si>
    <t>0307-6962</t>
  </si>
  <si>
    <t>1365-3032</t>
  </si>
  <si>
    <t>PHYSIOL ENTOMOL</t>
  </si>
  <si>
    <t>Physiol. Entomol.</t>
  </si>
  <si>
    <t>10.1111/j.1365-3032.2012.00851.x</t>
  </si>
  <si>
    <t>043UT</t>
  </si>
  <si>
    <t>WOS:000311575800009</t>
  </si>
  <si>
    <t>Choo, MK; Lee, MJ; Lee, JI; Kim, KH; Park, KH</t>
  </si>
  <si>
    <t>Choo, Mi Kyung; Lee, Mi Jung; Lee, Jong Ik; Kim, Kyu Han; Park, Kye-Hun</t>
  </si>
  <si>
    <t>Geochemistry and Sr-Nd-Pb isotopic constraints on the petrogenesis of Cenozoic lavas from the Pali Aike and Morro Chico area (52°S), southern Patagonia, South America</t>
  </si>
  <si>
    <t>ISLAND ARC</t>
  </si>
  <si>
    <t>Asthenosphere; HIMU-like ocean island basalt; Morro Chico; Pali Aike; Patagonia; Sr-Nd-Pb isotopes</t>
  </si>
  <si>
    <t>SUBCONTINENTAL LITHOSPHERIC MANTLE; TRACE-ELEMENT COMPOSITIONS; QUINTIN VOLCANIC FIELD; MARIE-BYRD-LAND; NEW-ZEALAND; INTRAPLATE VOLCANISM; ALKALI BASALTS; OCEANIC-CRUST; PERIDOTITE XENOLITHS; RIDGE SUBDUCTION</t>
  </si>
  <si>
    <t>Geochemical and isotopic analyses (SrNdPb) of late Miocene to Quaternary plateau lavas from the Pali Aike and Morro Chico areas (52 degrees S) were undertaken to constrain the melting processes and mantle sources that contributed to magma generation and the geodynamic evolution of southernmost Patagonia, South America. The Pali Aike and Morro Chico lavas are alkaline (Pali Aike, 4549?wt.% SiO2; 4.35.9?wt.% Na2O+K2O) and subalkaline (Morro Chico, 50.550.8?wt.% SiO2; 4.04.4?wt.% Na2O+K2O), relatively primitive (Pali Aike, 9.513.7?wt.% MgO; Morro Chico, 7.68.8?wt.% MgO) mafic volcanic rocks that have typical intraplate ocean island basalt-like signatures. Incompatible trace element ratios and isotopic ratios of the Pali Aike and Morro Chico lavas differ from those of the majority of Neogene southern Patagonian slab window lavas in showing more enriched characteristics and are similar to high-mu (HIMU)-like basalts. The rare earth element (REE) modeling to constrain mantle melting percentages suggests that these lavas were produced by low degrees of partial melting (1.02.0% for Pali Aike lavas and about 2.62.7% for Morro Chico lavas) of a garnet lherzolite mantle source. The major systematic variations of SrNdPb isotopes in southern Patagonian lavas are related to geographic location. The Pali Aike and Morro Chico lavas from the southernmost part of Patagonia have lower 87Sr/86Sr and higher 143Nd/144Nd and 206Pb/204Pb ratios, relative to most of the southern Patagonian lavas erupted north of 49.5 degrees S, pointing to a HIMU-like signature. An isotopically depleted and HIMU-like asthenospheric domain may have been the main source of magmas in the southernmost part of Patagonia (e.g. Pali Aike, Morro Chico, and Camusu Aike volcanic field), suggesting the presence of a major discontinuity in the isotopic composition of the asthenosphere in southern Patagonia. On the basis of geochemical and isotope data and the available geological and geotectonic reconstructions, a link between the HIMU asthenospheric mantle domain beneath southernmost Patagonia and the HIMU mega-province of the southwestern Pacific Ocean is proposed.</t>
  </si>
  <si>
    <t>[Choo, Mi Kyung; Lee, Mi Jung; Lee, Jong Ik] Korea Polar Res Inst KOPRI, Div Polar Earth Syst Sci, Inchon 406840, South Korea; [Choo, Mi Kyung; Kim, Kyu Han] Ewha Womans Univ, Dept Sci Educ, Seoul 120750, South Korea; [Park, Kye-Hun] Pukyong Natl Univ, Dept Earth Environm Sci, Pusan 608737, South Korea</t>
  </si>
  <si>
    <t>Korea Polar Research Institute (KOPRI); Ewha Womans University; Pukyong National University</t>
  </si>
  <si>
    <t>Lee, MJ (corresponding author), Korea Polar Res Inst KOPRI, Div Polar Earth Syst Sci, Inchon 406840, South Korea.</t>
  </si>
  <si>
    <t>mjlee@kopri.re.kr</t>
  </si>
  <si>
    <t>Choo, Mi Kyung/K-2013-2014</t>
  </si>
  <si>
    <t>Park, Kye-Hun/0000-0002-9177-2748</t>
  </si>
  <si>
    <t>KOPRI [PE12060]; National Foundation of Korea [2009-0470-2-2]</t>
  </si>
  <si>
    <t>KOPRI(Korea Polar Research Institute of Marine Research Placement (KOPRI)); National Foundation of Korea(National Research Foundation of Korea)</t>
  </si>
  <si>
    <t>This study was supported by KOPRI projects (PE12060; Korea Curation of Antarctic Meteorites and Evolutionary Materials) and partly funded by the National Foundation of Korea (2009-0470-2-2).</t>
  </si>
  <si>
    <t>1038-4871</t>
  </si>
  <si>
    <t>1440-1738</t>
  </si>
  <si>
    <t>ISL ARC</t>
  </si>
  <si>
    <t>Isl. Arc.</t>
  </si>
  <si>
    <t>10.1111/iar.12002</t>
  </si>
  <si>
    <t>044IJ</t>
  </si>
  <si>
    <t>WOS:000311612500007</t>
  </si>
  <si>
    <t>Lowther, AD; Goldsworthy, SD</t>
  </si>
  <si>
    <t>Lowther, A. D.; Goldsworthy, S. D.</t>
  </si>
  <si>
    <t>Head start: Australian sea lion pups gain experience of adult foraging grounds before weaning</t>
  </si>
  <si>
    <t>ANTARCTIC FUR SEALS; NEW-ZEALAND; DIVING BEHAVIOR; ARCTOCEPHALUS-GAZELLA; ATTENDANCE PATTERNS; NEOPHOCA-CINEREA; ONTOGENY; PERFORMANCE; MECHANISMS; ENERGETICS</t>
  </si>
  <si>
    <t>The extended lactation period of the Australian sea lion Neophoca cinerea is suggested to provide additional time for offspring to achieve nutritional independence. We examine the dive and movement development of pups at two age classes (6-10 months) from two colonies (Lilliput and Olive Islands) in South Australia using archival GPS and time-depth recorders to investigate the degree of overlap with maternal home range. Older pups from Lilliput travelled significantly further and spent more time at sea than younger pups. At Olive Island, there was a similar increase in distance travelled and time spent at sea with age. Pups at both colonies started occupying adult female home range at 6 months. Australian sea lion pups can explore adult foraging habitat at least 8 months prior to weaning, allowing them to learn the location of suitable habitat and the skills required to hunt successfully.</t>
  </si>
  <si>
    <t>[Lowther, A. D.; Goldsworthy, S. D.] S Australian Res &amp; Dev Inst, W Beach, SA, Australia; [Lowther, A. D.] Univ Adelaide, Adelaide, SA, Australia</t>
  </si>
  <si>
    <t>University of Adelaide</t>
  </si>
  <si>
    <t>Lowther, AD (corresponding author), S Australian Res &amp; Dev Inst, Hamra Ave, W Beach, SA, Australia.</t>
  </si>
  <si>
    <t>Andrew.Lowther@sa.gov.au</t>
  </si>
  <si>
    <t>Lowther, Andrew/0000-0003-4294-3157; Goldsworthy, Simon/0000-0003-4988-9085</t>
  </si>
  <si>
    <t>Department of Environment, Water, Heritage and the Arts' Australian Marine Mammal Centre, Australian Antarctic Division; Commonwealth Environment Research Facilities (CERF) programme, Sea World Research and Rescue Foundation Inc.; Holsworth Wildlife Research Endowment</t>
  </si>
  <si>
    <t>Research was funded through the Department of Environment, Water, Heritage and the Arts' Australian Marine Mammal Centre, Australian Antarctic Division and the Commonwealth Environment Research Facilities (CERF) programme, Sea World Research and Rescue Foundation Inc. and the Holsworth Wildlife Research Endowment. We thank the two anonymous reviewers whose comments improved the manuscript and acknowledge the logistical assistance of the South Australian Department of Environment and Natural Resources rangers and the South Australian State Emergency Services.</t>
  </si>
  <si>
    <t>10.1007/s00227-012-2026-2</t>
  </si>
  <si>
    <t>043IG</t>
  </si>
  <si>
    <t>WOS:000311535500005</t>
  </si>
  <si>
    <t>Pettex, E; Lorentsen, SH; Grémillet, D; Gimenez, O; Barrett, RT; Pons, JB; Le Bohec, C; Bonadonna, F</t>
  </si>
  <si>
    <t>Pettex, Emeline; Lorentsen, Svein-Hakon; Gremillet, David; Gimenez, Olivier; Barrett, Robert T.; Pons, Jean-Baptiste; Le Bohec, Celine; Bonadonna, Francesco</t>
  </si>
  <si>
    <t>Multi-scale foraging variability in Northern gannet (Morus bassanus) fuels potential foraging plasticity</t>
  </si>
  <si>
    <t>INTRA-SPECIFIC COMPETITION; ANTARCTIC FUR SEALS; MARINE PREDATOR; GPS TRACKING; FEEDING LOCATIONS; CAPE GANNETS; BEHAVIOR; SEABIRDS; STRATEGIES; COLONIES</t>
  </si>
  <si>
    <t>The survival of marine predators depends on behavioural plasticity to cope with changes in prey distribution. Variability in behaviour might predict plasticity and is easier to assess than plasticity. Using miniaturized GPS loggers over several breeding seasons in two Norwegian Northern gannet (Morus bassanus) colonies, we investigated if and how the variability within and between individuals, but also between colonies and years, affected foraging strategies. Results revealed strong individual variability (foraging trip durations, foraging effort and different foraging areas). Individuals from both colonies showed preferred commuting routes, flight bearings and feeding hotspots. Individuals from the largest colony used larger and more foraging areas than individuals from the small colony. Feeding hotspots and foraging ranges varied amongst years in the largest colony only. Our study demonstrated that gannets show flexibility by changing prey fields that are driven by shifting oceanographic conditions.</t>
  </si>
  <si>
    <t>[Pettex, Emeline; Gremillet, David; Gimenez, Olivier; Pons, Jean-Baptiste; Bonadonna, Francesco] CNRS, UMR 5175, Ctr Ecol Fonct &amp; Evolut, F-34293 Montpellier 5, France; [Pettex, Emeline] Observ Mt Blanc, Ctr Rech Ecosyst Altitude, F-74400 Chamonix Mt Blanc, France; [Lorentsen, Svein-Hakon] Norwegian Inst Nat Res, N-7485 Trondheim, Norway; [Gremillet, David] Univ Cape Town, FitzPatrick Inst, DST NRF Ctr Excellence, ZA-7701 Rondebosch, South Africa; [Barrett, Robert T.] Tromso Univ Museum, Dept Nat Sci, N-9037 Tromso, Norway; [Pons, Jean-Baptiste] Soc Echantillonnage &amp; Ingn Sci Environm, F-29259 Le Bourg, Ile Molene, France; [Le Bohec, Celine] Univ Oslo, Dept Biol, Ctr Ecol &amp; Evolutionary Synth, N-0316 Oslo, Norway</t>
  </si>
  <si>
    <t>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Norwegian Institute Nature Research; National Research Foundation - South Africa; University of Cape Town; UiT The Arctic University of Tromso; University of Oslo</t>
  </si>
  <si>
    <t>Pettex, E (corresponding author), CNRS, UMR 5175, Ctr Ecol Fonct &amp; Evolut, 1919 Route Mende, F-34293 Montpellier 5, France.</t>
  </si>
  <si>
    <t>emeline.pettex@univ-lr.fr</t>
  </si>
  <si>
    <t>Gimenez, Olivier/G-4281-2010; Pettex, Emeline/AAD-1850-2021; Bonadonna, Francesco/A-7456-2008; LE BOHEC, CELINE/AAD-3589-2022; Gremillet, David/W-1946-2018</t>
  </si>
  <si>
    <t>Pettex, Emeline/0000-0002-3395-8405; Bonadonna, Francesco/0000-0002-2702-5801; Gremillet, David/0000-0002-7711-9398; Gimenez, Olivier/0000-0001-7001-5142</t>
  </si>
  <si>
    <t>SEAPOP program; Ministry of Environment; Ministry of Petroleum and Energy; Norwegian Oil Industry Association; Norwegian Directorate for Nature Management; Centre National pour la Recherche Scientifique</t>
  </si>
  <si>
    <t>SEAPOP program; Ministry of Environment(Ministry of Environment (ME), Republic of Korea); Ministry of Petroleum and Energy; Norwegian Oil Industry Association; Norwegian Directorate for Nature Management; Centre National pour la Recherche Scientifique</t>
  </si>
  <si>
    <t>This study was funded by the SEAPOP program (financed by the Ministry of Environment, the Ministry of Petroleum and Energy and the Norwegian Oil Industry Association), the Norwegian Directorate for Nature Management, and Centre National pour la Recherche Scientifique. We warmly thank Sigbjorn Johnsen and Bjorn Dag Jenssen and his family for their logistical help in the field and Cyril Bernard at Centre d'Ecologie Fonctionnelle et Evolutive Montpellier for his precious GIS help. We acknowledge Lorien Pichegru and Jerome Fort and the two reviewers for their valuable comments and suggestions on the manuscript.</t>
  </si>
  <si>
    <t>10.1007/s00227-012-2035-1</t>
  </si>
  <si>
    <t>WOS:000311535500010</t>
  </si>
  <si>
    <t>McMinn, A; Ashworth, C; Bhagooli, R; Martin, A; Salleh, S; Ralph, P; Ryan, K</t>
  </si>
  <si>
    <t>McMinn, Andrew; Ashworth, Chris; Bhagooli, Ranjeet; Martin, Andrew; Salleh, Sazlina; Ralph, Peter; Ryan, Ken</t>
  </si>
  <si>
    <t>Antarctic coastal microalgal primary production and photosynthesis</t>
  </si>
  <si>
    <t>RAPID LIGHT CURVES; SEA-ICE; MCMURDO SOUND; ELLIS FJORD; PHYTOPLANKTON SUCCESSION; BENTHIC MICROALGAE; MARINE-SEDIMENTS; PATTERNS; ALGAE; PHOTOINHIBITION</t>
  </si>
  <si>
    <t>Primary production in coastal Antarctica is primarily contributed from three sources: sea ice algae, phytoplankton, and microphytobenthos. Compared to other eastern Antarctic sites, the sea ice microalgal biomass at Casey Station, in spring 2005 was relatively low, 3.84 +/- A 1.67 to 21.6 +/- A 13.3 mg chl-a m(-2) but productive, 103-163 mg C m(-2) day(-1). The photosynthetic parameters, F (v)/F (m) and rETR(max), imply a community well-acclimated to the light climate of the benthic, water column, and sea ice habitats. Phytoplankton biomass was greatest in late spring (11.1 +/- A 0.920 mu g chl-a l(-1)), which probably reflects input from the overlying sea ice. Lower biomass and depressed F (v)/F (m) values later in the season were probably due to nutrient limitation. Benthic microalgal biomass was consistently between 200 and 400 mg chl-a m(-2) and production increased through into late summer (204 mg C m(-2) day(-1)). After the sea ice broke out, the marine environment supported a small phytoplankton biomass and a large benthic microalgal biomass. Compared with previous studies, F (v)/F (m) values were relatively low but there was no evidence of photoinhibition. When sea ice was present, primary production of benthic microalgae was either very low or there was a net draw down of oxygen. The benthic microalgal community made a larger contribution to total primary production than the phytoplankton or sea ice algae at water depth less than approximately 5 m.</t>
  </si>
  <si>
    <t>[McMinn, Andrew; Ashworth, Chris; Bhagooli, Ranjeet; Martin, Andrew; Salleh, Sazlina] Univ Tasmania, Inst Marine &amp; Antarctic Studies, Hobart, Tas 7001, Australia; [Ryan, Ken] Victoria Univ Wellington, Sch Biol Sci, Wellington, New Zealand; [Ralph, Peter] Univ Technol Sydney, Broadway, NSW 2007, Australia</t>
  </si>
  <si>
    <t>University of Tasmania; Victoria University Wellington; University of Technology Sydney</t>
  </si>
  <si>
    <t>McMinn, A (corresponding author), Univ Tasmania, Inst Marine &amp; Antarctic Studies, Private Bag 126, Hobart, Tas 7001, Australia.</t>
  </si>
  <si>
    <t>andrew.mcminn@utas.edu.au</t>
  </si>
  <si>
    <t>Ralph, Peter/L-1527-2019; Salleh, Sazlina/I-1150-2012; Ryan, Ken/F-5652-2013; McMinn, Andrew/A-9910-2008; Martin, Andrew/F-5688-2013</t>
  </si>
  <si>
    <t>Ralph, Peter/0000-0002-3103-7346; Salleh, Sazlina/0000-0002-8789-3387; Ryan, Ken/0000-0001-7075-0112; Martin, Andrew/0000-0001-8260-5529; Bhagooli, Ranjeet/0000-0002-5041-4047</t>
  </si>
  <si>
    <t>Australian Research Council (ARC)</t>
  </si>
  <si>
    <t>Australian Research Council (ARC)(Australian Research Council)</t>
  </si>
  <si>
    <t>Andrew McMinn and Peter Ralph acknowledge support from an Australian Research Council (ARC) Discovery Grant. Logistic support was provided by the Australian Antarctic Division.</t>
  </si>
  <si>
    <t>10.1007/s00227-012-2044-0</t>
  </si>
  <si>
    <t>WOS:000311535500017</t>
  </si>
  <si>
    <t>Attard, CRM; Beheregaray, LB; Jenner, KCS; Gill, PC; Jenner, MN; Morrice, MG; Robertson, KM; Möller, LM</t>
  </si>
  <si>
    <t>Attard, Catherine R. M.; Beheregaray, Luciano B.; Jenner, K. Curt S.; Gill, Peter C.; Jenner, Micheline-Nicole; Morrice, Margaret G.; Robertson, Kelly M.; Moeller, Luciana M.</t>
  </si>
  <si>
    <t>Hybridization of Southern Hemisphere blue whale subspecies and a sympatric area off Antarctica: impacts of whaling or climate change?</t>
  </si>
  <si>
    <t>MOLECULAR ECOLOGY</t>
  </si>
  <si>
    <t>admixture; Balaenoptera musculus; biodiversity conservation; endangered species; microsatellite DNA; population genetics</t>
  </si>
  <si>
    <t>MICROSATELLITE LOCI; POPULATION-STRUCTURE; FIN WHALE; MEGAPTERA-NOVAEANGLIAE; BALAENOPTERA-MUSCULUS; HUMPBACK WHALE; OCEAN; CONSERVATION; INFERENCE; PACIFIC</t>
  </si>
  <si>
    <t>Understanding the degree of genetic exchange between subspecies and populations is vital for the appropriate management of endangered species. Blue whales (Balaenoptera musculus) have two recognized Southern Hemisphere subspecies that show differences in geographic distribution, morphology, vocalizations and genetics. During the austral summer feeding season, the Antarctic blue whale (B.m.intermedia) is found in polar waters and the pygmy blue whale (B. m. brevicauda) in temperate waters. Here, we genetically analyzed samples collected during the feeding season to report on several cases of hybridization between the two recognized blue whale Southern Hemisphere subspecies in a previously unconfirmed sympatric area off Antarctica. This means the pygmy blue whales using waters off Antarctica may migrate and then breed during the austral winter with the Antarctic subspecies. Alternatively, the subspecies may interbreed off Antarctica outside the expected austral winter breeding season. The genetically estimated recent migration rates from the pygmy to Antarctic subspecies were greater than estimates of evolutionary migration rates and previous estimates based on morphology of whaling catches. This discrepancy may be due to differences in the methods or an increase in the proportion of pygmy blue whales off Antarctica within the last four decades. Potential causes for the latter are whaling, anthropogenic climate change or a combination of these and may have led to hybridization between the subspecies. Our findings challenge the current knowledge about the breeding behaviour of the world's largest animal and provide key information that can be incorporated into management and conservation practices for this endangered species.</t>
  </si>
  <si>
    <t>[Attard, Catherine R. M.] Macquarie Univ, Dept Biol Sci, Sydney, NSW 2109, Australia; [Beheregaray, Luciano B.; Moeller, Luciana M.] Flinders Univ S Australia, Sch Biol Sci, Adelaide, SA 5001, Australia; [Jenner, K. Curt S.; Jenner, Micheline-Nicole] Ctr Whale Res, Fremantle, WA 6959, Australia; [Gill, Peter C.; Morrice, Margaret G.] Deakin Univ, Warrnambool, Vic 3280, Australia; [Gill, Peter C.; Morrice, Margaret G.] Blue Whale Study, Narrawong, Vic 3285, Australia; [Robertson, Kelly M.] NOAA, Protected Resources Div, SW Fisheries Sci Ctr, Natl Marine Fisheries Serv, La Jolla, CA 92037 USA</t>
  </si>
  <si>
    <t>Macquarie University; Flinders University South Australia; Deakin University; National Oceanic Atmospheric Admin (NOAA) - USA</t>
  </si>
  <si>
    <t>Attard, CRM (corresponding author), Macquarie Univ, Dept Biol Sci, Sydney, NSW 2109, Australia.</t>
  </si>
  <si>
    <t>catherine.r.attard@gmail.com</t>
  </si>
  <si>
    <t>Gill, Peter/JZT-5482-2024; Beheregaray, Luciano/A-8621-2008; Möller, Luciana M/A-6030-2008; Beheregaray, Luciano/AAY-6384-2021</t>
  </si>
  <si>
    <t>Beheregaray, Luciano/0000-0003-0944-3003; Beheregaray, Luciano/0000-0003-0944-3003; Morrice, Margie/0000-0001-6903-4565; Attard, Catherine/0000-0003-1157-570X; Moller, Luciana/0000-0002-7293-5847</t>
  </si>
  <si>
    <t>Australian Marine Mammal Centre within the Australian Antarctic Division; Macquarie University in Australia; Australian Defence Department; Department of Sustainability, Environment, Water, Population and Communities within the Australian Federal Government</t>
  </si>
  <si>
    <t>This study was funded by the Australian Marine Mammal Centre within the Australian Antarctic Division, and Macquarie University in Australia. Sampling off Antarctica was conducted during the International Decade of Cetacean Research (IDCR) and Southern Ocean Whale and Ecosystem Research (SOWER) programmes of the International Whaling Commission (IWC) (Southwest Fisheries Science Center sample identification numbers 7336-7337, 7340-7342, 7619-7623, 11162-11166, 13944-13953, 26573-26578, 26580-26594, 51449-51472, 51474-51488, 62474-62509, 72893-72977, 88253-88261). Sampling off Australia was mainly conducted during a study programme funded by the Australian Defence Department and the Department of Sustainability, Environment, Water, Population and Communities within the Australian Federal Government. The Dolphin Research Institute Ltd and Applied Ecology Solutions Pty Ltd provided stranded whale samples in Australia. Permits were supplied by the Department of Sustainability, Environment, Water, Population and Communities within the Australian Federal Government (permit numbers 2009-0003, 2008-0001, 2007-0006, E2003-48230, E2002-00029, P1995/041), the Department of Sustainability and Environment within the Victorian State Government (permit numbers 10004901, 10004770, 10004017) and the Department of Environment, Water and Natural Resources within the South Australian State Government (permit number M25746). Biopsy sampling off Australia was under animal ethics approval from the Department of Environment and Conservation Animal Ethics Committee (approval numbers 2010/23, 30/2008, 2005/21, CAEC/01/2002, CAEC/14/2000), Deakin University Animal Welfare Committee (approval numbers A63/2008, A19/2006) or Macquarie University Animal Research Authority (approval number 2008/017). We thank Aimee L. Lang, Eric I. Archer and Trevor A. Branch for reviewing a draft of the manuscript, and Paula A. Olson for her input as head of blue whale photo-identification from IWC IDCR/SOWER cruises. We also thank Stephen R. Palumbi and two anonymous reviewers for their comments on an earlier version of the manuscript.</t>
  </si>
  <si>
    <t>0962-1083</t>
  </si>
  <si>
    <t>1365-294X</t>
  </si>
  <si>
    <t>MOL ECOL</t>
  </si>
  <si>
    <t>Mol. Ecol.</t>
  </si>
  <si>
    <t>10.1111/mec.12025</t>
  </si>
  <si>
    <t>041JV</t>
  </si>
  <si>
    <t>WOS:000311399000010</t>
  </si>
  <si>
    <t>Singh, P; Singh, SM; D'Souza, LM; Wahidullah, S</t>
  </si>
  <si>
    <t>Singh, Purnima; Singh, Shiv M.; D'Souza, Lisette M.; Wahidullah, Solimabi</t>
  </si>
  <si>
    <t>Phytochemical profiles and antioxidant potential of four Arctic vascular plants from Svalbard</t>
  </si>
  <si>
    <t>Antioxidants; Angiosperm; Ny-Alesund; Selenium; Svalbard</t>
  </si>
  <si>
    <t>LINEAR ALKYLBENZENE SULFONATES; KING GEORGE ISLAND; MASS-SPECTROMETRY; LIQUID-CHROMATOGRAPHY; LIPID-PEROXIDATION; SELENIUM-COMPOUNDS; OXYGEN; OLIGOSACCHARIDES; IDENTIFICATION; PHYTOECDYSTEROIDS</t>
  </si>
  <si>
    <t>Environmental stress in the Arctic region leads to damage in plant membranes as a result of oxidation processes. To withstand these stress conditions, plants are expected to produce antioxidants that differ from phenolics. Here, we investigated the chemical composition and antioxidative activities of four Arctic flowering plant species (Dryas octopetala, Carex rupestris, Silene uralensis and Deschampsia alpina.) through in vitro measurements of the free radical scavenging activities (FRS), inhibition of lipid peroxidation (ILP) and trolox equivalent antioxidant capacities (TEAC). D. octopetala exhibited the highest ILP (76.45 %) and FRS (86.58 %) activities. The TEAC values were higher than those of the Trolox vitamin E standard in all four species. Overall, the antioxidative activity was highest in D. octopetala, followed by C. rupestris, S. uralensis and D. alpina. Electrospray ionization tandem mass spectrometric (ESI-MS/MS) analysis of methanolic extracts of these plants revealed the presence of organoselenides, linear alkylbenzenesulfonates (LAS) and oligosaccharides, some of which are reported as antioxidants in the literature. Hence, it is likely that the antioxidant activities exhibited by these plants are not only related to the production of phenolics. This is the first report of the antioxidant potential of four Arctic flowering plants and the presence of selenides in D. octopetala and S. uralensis, and the production of LAS in C. rupestris. Our findings suggest that these plants can be used as nutraceutical sources of selenium and as biomarkers for environmental pollution.</t>
  </si>
  <si>
    <t>[D'Souza, Lisette M.; Wahidullah, Solimabi] Natl Inst Oceanog, Panaji 403004, Goa, India</t>
  </si>
  <si>
    <t>Council of Scientific &amp; Industrial Research (CSIR) - India; CSIR - National Institute of Oceanography (NIO)</t>
  </si>
  <si>
    <t>Department of Science and Technology (DST), New Delhi; CSIR</t>
  </si>
  <si>
    <t>Department of Science and Technology (DST), New Delhi(Department of Science &amp; Technology (India)); CSIR(Council of Scientific &amp; Industrial Research (CSIR) - India)</t>
  </si>
  <si>
    <t>We are thankful to the Directors, Birla Institute of Technology &amp; Science Goa campus, National Centre for Antarctic &amp; Ocean Research, CSIR-National Institute of Oceanography and Secretary, Ministry of Earth Sciences for encouragement and facilities. We express our gratitude to Prof. Peter Convey (British Antarctic Survey) for valuable suggestions. Author PS1 is thankful to Department of Science and Technology (DST), New Delhi, for financial support. Dr S. Wahidullah wishes to thank CSIR for the award of Emeritus Scientist. This publication is DST contribution no. SR/WOS-A/LS-68/2009, NCAOR contribution no. 15/2012 and NIO contribution no. 5214. Dr. Elie Verleyen (Ghent University, Belgium) is thanked for improving the language of a previous version of the manuscript.</t>
  </si>
  <si>
    <t>10.1007/s00300-012-1225-0</t>
  </si>
  <si>
    <t>035ZC</t>
  </si>
  <si>
    <t>WOS:000310992200005</t>
  </si>
  <si>
    <t>Ryan, PG; Dilley, BJ; Jones, MGW</t>
  </si>
  <si>
    <t>Ryan, P. G.; Dilley, B. J.; Jones, M. G. W.</t>
  </si>
  <si>
    <t>The distribution and abundance of white-chinned petrels (Procellaria aequinoctialis) breeding at the sub-Antarctic Prince Edward Islands</t>
  </si>
  <si>
    <t>White-chinned petrel (Procellaria aequinoctialis); Population size; Prince Edward Islands; Regional fishing mortality</t>
  </si>
  <si>
    <t>TOOTHFISH LONGLINE FISHERY; SEABIRD BYCATCH; KERGUELEN ISLANDS; POPULATION-SIZE; SOUTH GEORGIA; BIRD ISLAND; MORTALITY; IMPACTS; CROZET; TRAWL</t>
  </si>
  <si>
    <t>The white-chinned petrel (Procellaria aequinoctialis) is the seabird most often killed on longlines in the Southern Ocean and is listed as vulnerable to extinction. We estimated the population breeding at the Prince Edward Islands, the last breeding site for the nominate subspecies that lacks a recent population estimate. White-chinned petrel burrows are largely confined to deep, muddy soils, usually on slopes below 200 m, but locally up to 420 m. After correcting for count bias, Marion Island has an estimated 29,900 nests (95 % CI 27,700-32,400). Burrow occupancy rates at the start of the incubation period were 65 % during one-off surveys, but repeat surveys found that at least 73 % of burrows were occupied and 87 % of burrows showed signs of occupancy. This suggests that there were roughly 24,000 occupied nests on Marion Island (95 % CI 20,000-28,000). A more cursory survey on Prince Edward Island yielded 14,700 burrows, suggesting that there are 9,000-15,000 occupied nests. The nominate subspecies of white-chinned petrel occupies approximately 974,200 nests (95 % CI 678,000-1,286,000), with the Prince Edward Islands, the third most important breeding site, after South Georgia and Kerguelen. Assuming that populations breeding at islands in the Atlantic and Indian Oceans winter in different regions, the impact of fishery bycatch is likely to have had a greater impact on the Indian Ocean population. The Marion Island survey provides a baseline against which future population changes can be assessed.</t>
  </si>
  <si>
    <t>[Ryan, P. G.; Dilley, B. J.; Jones, M. G. W.] Univ Cape Town, Percy Fitzpatrick Inst African Ornithol, DST NRF Ctr Excellence, ZA-7701 Rondebosch, South Africa</t>
  </si>
  <si>
    <t>National Research Foundation - South Africa; University of Cape Town</t>
  </si>
  <si>
    <t>Ryan, PG (corresponding author), Univ Cape Town, Percy Fitzpatrick Inst African Ornithol, DST NRF Ctr Excellence, ZA-7701 Rondebosch, South Africa.</t>
  </si>
  <si>
    <t>pryan31@gmail.com</t>
  </si>
  <si>
    <t>Ryan, Peter/0000-0002-3356-2056</t>
  </si>
  <si>
    <t>Marine Living Resources Fund; University of Cape Town; National Research Foundation (South African National Antarctic Programme)</t>
  </si>
  <si>
    <t>An earlier draft of this paper was substantially improved by comments from John Cooper, Karin Delord, and Alan Burger. We thank Mia Cerfonteyn for conducting density estimates on Marion Island and John Cooper, Bruce Dyer, Azwianewi Makhado, Leshia Upfold, and Ross Wanless for assistance with counts on Prince Edward Island. Rob Crawford, Marthan Bester, Delia Davies, Samantha Petersen, Johan Visagie, Dave Whitelaw, and Phil Whittington also assisted with field surveys. Ian Meikeljohn kindly provided elevation data for inland breeding locations at Marion Island. The Department of Environmental Affairs provided logistical support. Financial support was received from the Marine Living Resources Fund, the University of Cape Town and the National Research Foundation (South African National Antarctic Programme). Permission to visit the Prince Edward Islands was granted by the Prince Edward Islands' Management Committee.</t>
  </si>
  <si>
    <t>10.1007/s00300-012-1227-y</t>
  </si>
  <si>
    <t>WOS:000310992200007</t>
  </si>
  <si>
    <t>Vanella, FA; Boy, CC; Fernández, DA</t>
  </si>
  <si>
    <t>Vanella, Fabian A.; Boy, Claudia C.; Fernandez, Daniel A.</t>
  </si>
  <si>
    <t>Temperature effects on growing, feeding, and swimming energetics in the Patagonian blennie Eleginops maclovinus (Pisces: Perciformes)</t>
  </si>
  <si>
    <t>Assimilation efficiency; Eleginops maclovinus; Forced swimming; Growth; Temperature</t>
  </si>
  <si>
    <t>RAINBOW-TROUT; GROWTH-RATES; FISH; ENERGY; VALENCIENNES; PERFORMANCE; ARGENTINA; SALMONIDS; VALDIVIA; CHILE</t>
  </si>
  <si>
    <t>The Patagonian blennie Eleginops maclovinus is a coastal and estuarine species, important in recreational and commercial fisheries, and with aquaculture potential. This study assessed the effect of temperature on feeding and the allocation of energy in growth and swimming in a sub-Antarctic population. For growth experiments, two groups of 8 juveniles were reared at 4 and 10 A degrees C (corresponding to winter and summer habitat temperatures, respectively) for 3 months. Swimming experiments were conducted at 5 and 10 A degrees C, measuring the oxygen consumption before and after forced swimming for 1 min at a speed of 10 total lengths (TL)/s. Temperature affects growth. TL increased 0.09 cm at 4 A degrees C versus 0.30 cm at 10 A degrees C. Body mass grew 0.49 g at 4 A degrees C versus 1.65 g at 10 A degrees C, whereas the Fulton's condition factor increased 0.021 at 4 A degrees C versus 0.080 at 10 A degrees C. The ingested food was more than twofold higher at 10 than at 4 A degrees C, while the feces produced at 4 A degrees C was about twofold higher. The scope between baseline and peak oxygen consumption after forced swimming was affected by temperature, being 4.51 at 5 A degrees C and 3.03 at 10 A degrees C. The percentage energy expenditure until the return of baseline oxygen consumption values showed a marked temperature effect, being higher at 5 A degrees C. We propose the existence of a trade-off in the allocation of energy between swimming activity and growth, with proportionally more energy being consumed at low temperatures for swimming than for other physiological functions like growth.</t>
  </si>
  <si>
    <t>[Vanella, Fabian A.; Boy, Claudia C.; Fernandez, Daniel A.] Consejo Nacl Invest Cient &amp; Tecn, Lab Ecol Fisiol &amp; Evoluc, Ctr Austral Invest Cient CADIC, Ushuaia, Tierra Fuego, Argentina</t>
  </si>
  <si>
    <t>Vanella, FA (corresponding author), Consejo Nacl Invest Cient &amp; Tecn, Lab Ecol Fisiol &amp; Evoluc, Ctr Austral Invest Cient CADIC, Ushuaia, Tierra Fuego, Argentina.</t>
  </si>
  <si>
    <t>fvanella@gmail.com; claudiaboy@gmail.com; dfernandez@cadic-conicet.gob.ar</t>
  </si>
  <si>
    <t>Fernandez, Daniel Alfredo/0000-0002-3367-4138</t>
  </si>
  <si>
    <t>PICT [38152, 906]</t>
  </si>
  <si>
    <t>PICT(ANPCyT)</t>
  </si>
  <si>
    <t>This research was supported by PICT 38152 and PICT 906. We are very grateful to the laboratory technicians Daniel Aureliano, Sonia Rimbau, and Marcelo Gutierrez for their important help.</t>
  </si>
  <si>
    <t>10.1007/s00300-012-1228-x</t>
  </si>
  <si>
    <t>WOS:000310992200008</t>
  </si>
  <si>
    <t>Casanova-Katny, MA; Cavieres, LA</t>
  </si>
  <si>
    <t>Angelica Casanova-Katny, M.; Cavieres, Lohengrin A.</t>
  </si>
  <si>
    <t>Antarctic moss carpets facilitate growth of Deschampsia antarctica but not its survival</t>
  </si>
  <si>
    <t>Plant-plant interactions; Facilitation; Antarctic tundra; Plant-moss interaction</t>
  </si>
  <si>
    <t>STRESS-GRADIENT HYPOTHESIS; VASCULAR PLANTS; COLOBANTHUS-QUITENSIS; PENINSULA; REMOVAL; WATER; POLYTRICHUM; RESPONSES; ENVIRONMENT; LOCALITIES</t>
  </si>
  <si>
    <t>The vegetation of the Antarctic tundra is dominated by mosses and lichens. Deschampsia antarctica, the Antarctic hairgrass, is one of two vascular plant species which grow along the west coast of the Antarctic Peninsula. However, little is known about its recruitment and interaction with non-vascular tundra plants. Although several authors propose that tolerance and/or competition should be the main forms of interaction between moss carpets and D. antarctica, no relevant studies exist so far. We investigated whether positive interactions are predominant at the Shetland Islands and the west coast of the Antarctic Peninsula and focussed on the role that moss carpets play in the recruitment of D. antarctica. Across the studied zone, D. antarctica showed a significant association with moss carpets, with higher frequencies as well as more and larger individuals than on bare ground. At one site, we conducted moss removal and seedlings transplant experiments to assess the relevance of the moss carpets for different life stages of hairgrass. All experimental individuals survived until the following summer whether the moss carpet was removed or not, but growth rate was significantly lower in tussocks with moss carpets removed. Likewise, tiller size was higher in plants growing in moss carpets than on bare ground. The detected positive interactions with mosses seem to be important for the expansion of D. antarctica, raising the question about their importance under future climate change scenarios.</t>
  </si>
  <si>
    <t>[Angelica Casanova-Katny, M.] Univ Concepcion, Ctr Biotecnol, Concepcion, Chile; [Cavieres, Lohengrin A.] Univ Concepcion, Dept Bot, Concepcion, Chile; [Cavieres, Lohengrin A.] IEB, Santiago, Chile</t>
  </si>
  <si>
    <t>Universidad de Concepcion; Universidad de Concepcion</t>
  </si>
  <si>
    <t>Casanova-Katny, MA (corresponding author), Univ Concepcion, Ctr Biotecnol, Concepcion, Chile.</t>
  </si>
  <si>
    <t>angecasanova@udec.cl</t>
  </si>
  <si>
    <t>Cavieres, Lohengrin A./A-9542-2010; Casanova-Katny, Angelica/M-3994-2014</t>
  </si>
  <si>
    <t>Cavieres, Lohengrin A./0000-0001-9122-3020;</t>
  </si>
  <si>
    <t>[INACH T0307]; [F ICM P05-002]; [PFB-023]</t>
  </si>
  <si>
    <t>; ;</t>
  </si>
  <si>
    <t>We would like to thank INACH and staff of Julio Escudero Scientific Station for the logistic facilities offered during the ECA (45-46th Antarctic Scientific Expedition) of 2009 and 2010 and Dr. Ricardo Jana for the map design. Many thanks also to the staff of the Chilean station Gabriel Gonzalez Videla, especially the crew of 2009/2010 for supporting the exploration of Paradise Harbour sites, to bryologist Dr. Juan Larrain Benoit of the Herbarium of the University of Concepcion for determining the mosses species, and the Master student Gustavo Torres-Mellado, University of Concepcion, for his assistance in fieldwork. We also thank Dr. Gotz Palfner, University of Concepcion, for his critical suggestions. We would especially like to thank the effort of the three referees who helped us to substantially improve the manuscript before publication. This study was funded by project INACH T0307, F ICM P05-002 and PFB-023.</t>
  </si>
  <si>
    <t>10.1007/s00300-012-1229-9</t>
  </si>
  <si>
    <t>WOS:000310992200009</t>
  </si>
  <si>
    <t>Dellabianca, N; Scioscia, G; Schiavini, A; Rey, AR</t>
  </si>
  <si>
    <t>Dellabianca, Natalia; Scioscia, Gabriela; Schiavini, Adrian; Raya Rey, Andrea</t>
  </si>
  <si>
    <t>Occurrence of hourglass dolphin (Lagenorhynchus cruciger) and habitat characteristics along the Patagonian Shelf and the Atlantic Ocean sector of the Southern Ocean</t>
  </si>
  <si>
    <t>Hourglass dolphin; Cetacean distribution; Oceanography; South-West Atlantic Ocean; Southern Ocean</t>
  </si>
  <si>
    <t>ANTARCTIC CIRCUMPOLAR CURRENT; CLIMATE-CHANGE; PATTERNS; PREDATOR; FRONTS; RANGE</t>
  </si>
  <si>
    <t>The hourglass dolphin, Lagenorhynchus cruciger, is one of the smallest cetaceans found in Antarctic waters. Although frequently observed, this is one of the least studied species of dolphin. In this study, we investigate the occurrence of hourglass dolphin in the South-West Atlantic and Southern Ocean from 42A degrees S to 63A degrees S and characterize the oceanographic and environmental features associated with their occurrence. Sighting data were collected during two scientific cruises in December 2009 and January and February 2011 and integrated into a geographical information system with environmental variables such as sea surface temperature, ocean colour, depth, distance to oceanographic fronts and distance from shore. We used a principal component analysis (PCA) to identify patterns in data and a non-hierarchic cluster analysis (K means) to classify observations into groups. A total of 19 sightings (96 individuals) were recorded. Group size ranged from one to twelve dolphins (mean 5.05). We could differentiate two groups in relation to the environmental conditions where animals were found, one group occurring in shallow coastal waters and the other occurring in deeper and colder waters further offshore. The present study contributes novel information on environmental measures associated with hourglass dolphin distribution in the South-West Atlantic and Southern Oceans. Additionally, it includes relatively high sighting clusters of this species in two highly productive and biodiverse areas (Burdwood Bank/Isla de los Estados and the South Shetland Islands).</t>
  </si>
  <si>
    <t>[Dellabianca, Natalia; Scioscia, Gabriela; Schiavini, Adrian; Raya Rey, Andrea] Ctr Austral Invest Cient CADIC, RA-9410 Ushuaia, Tierra Fuego, Argentina; [Dellabianca, Natalia] Museo Acatushun Aves &amp; Mamiferos Marinos Australe, RA-9410 Ushuaia, Tierra Fuego, Argentina; [Schiavini, Adrian] Wildlife Conservat Soc, Bronx, NY 10460 USA</t>
  </si>
  <si>
    <t>Wildlife Conservation Society</t>
  </si>
  <si>
    <t>Dellabianca, N (corresponding author), Ctr Austral Invest Cient CADIC, Bernardo Houssay 200, RA-9410 Ushuaia, Tierra Fuego, Argentina.</t>
  </si>
  <si>
    <t>ndellabianc@gmail.com</t>
  </si>
  <si>
    <t>Consejo Nacional de Investigaciones Cientificas y Tecnicas (CONICET); Wildlife Conservation Society; Consejo Nacional de Investigaciones Cientificas y Tecnicas (CONICET) of Argentina</t>
  </si>
  <si>
    <t>Consejo Nacional de Investigaciones Cientificas y Tecnicas (CONICET)(Consejo Nacional de Investigaciones Cientificas y Tecnicas (CONICET)); Wildlife Conservation Society; Consejo Nacional de Investigaciones Cientificas y Tecnicas (CONICET) of Argentina(Consejo Nacional de Investigaciones Cientificas y Tecnicas (CONICET))</t>
  </si>
  <si>
    <t>This research was possible with the support of the Consejo Nacional de Investigaciones Cientificas y Tecnicas (CONICET) and the Wildlife Conservation Society. We are grateful to Monica Torres, Lida Pimper and Natalia Paso Viola for participating and collecting data during the cetacean sightings surveys. We especially thank the captains and the crews on board R/V Puerto Deseado, for all their assistance and cooperation during the surveys. Special thanks are extended to Marcela Liljesthrom and Steve Daltrey for helping with the English edition and to Rebecca Pirzl, Deborah Thiele and three anonymous reviewers for their helpful comments. The work of NAD is under a postdoctoral fellowship from the Consejo Nacional de Investigaciones Cientificas y Tecnicas (CONICET) of Argentina.</t>
  </si>
  <si>
    <t>10.1007/s00300-012-1217-0</t>
  </si>
  <si>
    <t>WOS:000310992200013</t>
  </si>
  <si>
    <t>Leripio, AD; Torres, JPM; Viana, MD; Echelmeier, GR</t>
  </si>
  <si>
    <t>Leripio, Alexandre de Avila; Machado Torres, Joao Paulo; Viana, Mariana de Sa; Echelmeier, Gustavo Rohden</t>
  </si>
  <si>
    <t>Greenhouse gas emissions from the brazilian antarctic station comandante ferraz</t>
  </si>
  <si>
    <t>AMERICAN JOURNAL OF INDUSTRIAL MEDICINE</t>
  </si>
  <si>
    <t>greenhouse gases emissions; Brazilian Antarctic Scientific Station Comandante Ferraz; ISO 14.064:07; Greenhouse Gas Protocol; EACF</t>
  </si>
  <si>
    <t>Background Climate change is a natural phenomenon that has been intensified due to increased emissions of greenhouse gases (GHG). It has become an indispensable issue in international negotiations related to global sustainability and is deeply related to the overall status of environmental health in our planet. Methods We compiled an inventory of GHG emissions that resulted from human activities at the Brazilian Antarctic Scientific Station Comandante Ferraz (EACF) and collected emissions data relating to these activities from January to March 2011. The present work aims to identify the sources of GHG emissions, their characteristics, and composition, using as methodology and framework basis the international ISO 14,064:07 and the GHG Protocol. Results We addressed emissions of CO2, CH4, and N2O arising from the use of vehicles, dieselelectric generators, boilers, and wastewater treatment for the sewage treatment plant. We identified that the main GHG emissions derived from the activities of power generation using diesel and boilers (more than 80% of the emissions), adding more than 772?t of CO2 equivalents. Conclusions We identified that the diesel generators and boilers are the most important sources of emission by Expedition XXIX (20102011). In that CO2 is principally emitted in relation to electrical energy generation from diesel generators, we emphasize the need for fuel burning reduction through energy consumption reduction. Am. J. Ind. Med. 55:11661171, 2012. (c) 2012 Wiley Periodicals, Inc.</t>
  </si>
  <si>
    <t>[Machado Torres, Joao Paulo] Univ Fed Rio de Janeiro, Inst Biofis Carlos Chagas Filho, BR-21941 Rio De Janeiro, RJ, Brazil; [Leripio, Alexandre de Avila; Echelmeier, Gustavo Rohden] Univ Vale Itajai, Ctr Ciencias Terra &amp; Mar, Itajai, SC, Brazil; [Viana, Mariana de Sa] Minist Meio Ambiente &amp; Recursos Nat Renovaveis, IBAMA, Rio De Janeiro, RJ, Brazil</t>
  </si>
  <si>
    <t>Universidade Federal do Rio de Janeiro; Universidade do Vale do Itajai</t>
  </si>
  <si>
    <t>Torres, JPM (corresponding author), Lab Radioisotopos Eduardo Penna Franca, Programa Biofis Ambiental, Av Carlos Chagas Filho 373, BR-21941903 Rio De Janeiro, Brazil.</t>
  </si>
  <si>
    <t>jpmtorres@uol.com.br</t>
  </si>
  <si>
    <t>Criosfera, Inct/J-8639-2013; torres, joao/AAI-8390-2021</t>
  </si>
  <si>
    <t>torres, joao/0000-0002-2510-1612</t>
  </si>
  <si>
    <t>CNPq/MCT-INCT-APA; CNPq-Proantar Round 23 [557049/2009-1]; Fogarty International Center [D43TW000640]</t>
  </si>
  <si>
    <t>CNPq/MCT-INCT-APA; CNPq-Proantar Round 23; Fogarty International Center(United States Department of Health &amp; Human ServicesNational Institutes of Health (NIH) - USANIH Fogarty International Center (FIC))</t>
  </si>
  <si>
    <t>Contract grant sponsor: CNPq/MCT-INCT-APA and CNPq-Proantar Round 23; Contract grant number: 557049/2009-1;; Contract grant sponsor: Fogarty International Center; Contract grant number: D43TW000640.</t>
  </si>
  <si>
    <t>0271-3586</t>
  </si>
  <si>
    <t>1097-0274</t>
  </si>
  <si>
    <t>AM J IND MED</t>
  </si>
  <si>
    <t>Am. J. Ind. Med.</t>
  </si>
  <si>
    <t>10.1002/ajim.22051</t>
  </si>
  <si>
    <t>033NX</t>
  </si>
  <si>
    <t>WOS:000310805600011</t>
  </si>
  <si>
    <t>Chen, ZJ; Yu, HY; Li, LY; Hu, SN; Dong, XZ</t>
  </si>
  <si>
    <t>Chen, Zijuan; Yu, Haiying; Li, Lingyan; Hu, Songnian; Dong, Xiuzhu</t>
  </si>
  <si>
    <t>The genome and transcriptome of a newly described psychrophilic archaeon, Methanolobus psychrophilus R15, reveal its cold adaptive characteristics</t>
  </si>
  <si>
    <t>METHANOCOCCOIDES-BURTONII; POLYNUCLEOTIDE PHOSPHORYLASE; BINDING PROTEIN; LOW-TEMPERATURE; RNA; ADAPTATION; COMPLEX; EXOSOME</t>
  </si>
  <si>
    <t>We analysed the cold-responsive gene repertoire for a psychrophilic methanogen, Methanolobus psychrophilus R15 through genomic and RNA-seq assayed transcriptomic comparisons for cultures at 18 degrees C (optimal temperature) versus 4 degrees C. The differences found by RNA-seq analysis were verified using quantitative real time-PCR assay. The results showed that as in the Antarctic methanogen, Methanococcoides burtonii, genes for methanogenesis, biosynthesis and protein synthesis were all downregulated by the cold in R15. However, the RNA polymerase complex was upregulated at cold, as well as a gene cluster for a putative exosome complex, suggesting that exosome-mediated RNA decay may be cold-accelerated. Unexpectedly, the chaperonin genes for both thermosome and GroES/EL were all upregulated at 4 degrees C. Strain R15 possessed eight protein families for oxygen detoxification, including both anaerobe-specific superoxide reductase (SOR) and the aerobe-typical superoxide dismutase (SOD)-catalase oxidant-removing system, implying the higher oxidative tolerance. Compared with a mesophilic methanogen, R15 survived in higher paraquat, a redox-cycling drug. Moreover, 71 one-component systems and 50 two-component systems for signal transduction ranked strain R15, together with M. burtonii, as being highly adaptive among archaea. Most of them exhibited cold-enhanced expression, indicating their involvement in cold adaptation. This study has added new perspectives on the cold adaptation of methanogenic archaea.</t>
  </si>
  <si>
    <t>[Chen, Zijuan; Li, Lingyan; Dong, Xiuzhu] Chinese Acad Sci, State Key Lab Microbial Resources, Inst Microbiol, Beijing 100101, Peoples R China; [Yu, Haiying; Hu, Songnian] Chinese Acad Sci, Key Lab Genome Sci &amp; Informat, Beijing Inst Genom, Beijing 100029, Peoples R China</t>
  </si>
  <si>
    <t>Chinese Academy of Sciences; Institute of Microbiology, CAS; Chinese Academy of Sciences; Beijing Institute of Genomics, CAS</t>
  </si>
  <si>
    <t>Dong, XZ (corresponding author), Chinese Acad Sci, State Key Lab Microbial Resources, Inst Microbiol, 1 W Beichen Rd, Beijing 100101, Peoples R China.</t>
  </si>
  <si>
    <t>dongxz@im.ac.cn</t>
  </si>
  <si>
    <t>Dong, Xiuzhu/EBF-2196-2022; Hu, Songnian/C-6509-2013</t>
  </si>
  <si>
    <t>Dong, Xiuzhu/0000-0002-6926-5459; Hu, Songnian/0000-0003-3966-3111</t>
  </si>
  <si>
    <t>National Natural Science foundation of China [30621005, 30830007, 31000011]</t>
  </si>
  <si>
    <t>National Natural Science foundation of China(National Natural Science Foundation of China (NSFC))</t>
  </si>
  <si>
    <t>This work was supported by the National Natural Science foundation of China under Grant No. 30621005, 30830007 and 31000011.</t>
  </si>
  <si>
    <t>10.1111/j.1758-2229.2012.00389.x</t>
  </si>
  <si>
    <t>036UJ</t>
  </si>
  <si>
    <t>WOS:000311057000007</t>
  </si>
  <si>
    <t>Stephens, T; Atkin, D; Cochran, U; Augustinus, P; Reid, M; Lorrey, A; Shane, P; Street-Perrott, A</t>
  </si>
  <si>
    <t>Stephens, Thomas; Atkin, Daniel; Cochran, Ursula; Augustinus, Paul; Reid, Michael; Lorrey, Andrew; Shane, Philip; Street-Perrott, Alayne</t>
  </si>
  <si>
    <t>A diatom-inferred record of reduced effective precipitation during the Last Glacial Coldest Phase (28.8-18.0 cal kyr BP) and increasing Holocene seasonality at Lake Pupuke, Auckland, New Zealand</t>
  </si>
  <si>
    <t>Seasonality; Southern westerlies; Climate and environmental change; Diatoms; New Zealand</t>
  </si>
  <si>
    <t>SOUTHERN-OSCILLATION; ENVIRONMENTAL-CHANGE; CLIMATE-CHANGE; EL-NINO; MARINE; BACILLARIOPHYCEAE; NORTH; AGE; TERRESTRIAL; VARIABILITY</t>
  </si>
  <si>
    <t>A continuous, 1,420-cm sediment record from Lake Pupuke, Auckland, New Zealand (37A degrees S) was analysed for diatom taxonomy, concentration and flux. A New Zealand freshwater diatom transfer function was applied to infer past pH, electrical conductivity, dissolved reactive phosphorus and chlorophyll a. A precise, mixed-effect regression model of age versus depth was constructed from 11 tephra and 13 radiocarbon dates, with a basal age of 48.2 cal kyr BP. Diatom-inferred changes in paleolimnology and climate corroborate earlier inferences from geochemical analyses (Stephens et al. 2012), with respect to the timing of marked climate changes in the Last Glacial Coldest Phase (LGCP; 28.8-18.0 cal kyr BP), the Last Glacial Interglacial Transition (LGIT; 18.0 to ca. 12-10 cal kyr BP) and the Holocene, the onset of which is difficult to discern from LGIT amelioration, but which includes an early climatic optimum (10.2-8.0 cal kyr BP). The LGCP is readily defined by a reduction in lake level and effective precipitation, whereas the LGIT represents a period of rising lake level, with greater biomass during the Holocene. There was limited change in diatom assemblage structure, influx or inferred water quality during a Late Glacial Reversal (LGR; 14.5-13.8 cal kyr BP), associated with heightened erosional influx. In contrast, an LGIT peak in paleoproductivity is recorded by increased diatom influx from 13.8 to 12.8 cal kyr BP. Changes in sediment influx and biomass record complex millennial-scale events attuned to the Antarctic Cold Reversal (ACR; 14.5-12.8 cal kyr BP). Additional millennial-scale environmental change is apparent in the Holocene, with marked changes in lake circulation beginning at 7.6 cal kyr BP, including the onset of seasonal thermal stratification and rapid species turnover at 5.7 cal kyr BP. The most rapid diatom community turnover accompanied widely varying nutrient availability and greater seasonality during the last 3.3 cal kyr. Rising seasonality appears to have been linked to strengthened Southern Westerlies at their northern margins during the middle and late Holocene.</t>
  </si>
  <si>
    <t>[Stephens, Thomas; Atkin, Daniel; Augustinus, Paul; Shane, Philip] Univ Auckland, Sch Environm, Auckland 1, New Zealand; [Stephens, Thomas] Univ Florida, Dept Geol Sci, Gainesville, FL USA; [Cochran, Ursula] GNS Sci, Lower Hutt, New Zealand; [Reid, Michael] Univ New England, Sch Behav Cognit &amp; Social Sci, Armidale, NSW, Australia; [Lorrey, Andrew] Natl Inst Water &amp; Atmospher Res, Auckland, New Zealand; [Street-Perrott, Alayne] Univ Swansea, Dept Geog, Swansea, W Glam, Wales</t>
  </si>
  <si>
    <t>University of Auckland; State University System of Florida; University of Florida; GNS Science - New Zealand; University of New England; National Institute of Water &amp; Atmospheric Research (NIWA) - New Zealand; Swansea University</t>
  </si>
  <si>
    <t>Stephens, T (corresponding author), Univ Auckland, Sch Environm, Auckland 1, New Zealand.</t>
  </si>
  <si>
    <t>tste059@aucklanduni.ac.nz</t>
  </si>
  <si>
    <t>Shane, Phil/HKV-7633-2023; Reid, Michael/E-9098-2012; Augustinus, Paul/B-5125-2011</t>
  </si>
  <si>
    <t>Shane, Phil/0000-0002-7824-1184; Augustinus, Paul/0000-0002-1391-2151; Stephens, Thomas/0000-0002-0003-9269; Cochran, Ursula/0000-0001-8002-4958; Reid, Michael/0000-0002-3948-9347</t>
  </si>
  <si>
    <t>Royal Society of New Zealand Marsden Fund [UOA-0517]; Natural Environment Research Council [IP/995/1107]</t>
  </si>
  <si>
    <t>Royal Society of New Zealand Marsden Fund(Royal Society of New ZealandMarsden Fund (NZ)); Natural Environment Research Council(UK Research &amp; Innovation (UKRI)Natural Environment Research Council (NERC))</t>
  </si>
  <si>
    <t>This research was supported by the Royal Society of New Zealand Marsden Fund (Project UOA-0517) and Natural Environment Research Council grant (Project IP/995/1107). We thank Peter Crossley, Brendan Hall, Dave Wackrow, David Jenkinson, Aleksandra Zawalna-Geer and Hiroki Ogawa for their expertise and assistance during fieldwork. Two anonymous reviewers and the editors at JOPL are also thanked for their revisions that helped improve this manuscript.</t>
  </si>
  <si>
    <t>10.1007/s10933-012-9645-y</t>
  </si>
  <si>
    <t>041IP</t>
  </si>
  <si>
    <t>WOS:000311395000009</t>
  </si>
  <si>
    <t>Litynska-Zajac, M; Chwedorzewska, K; Olech, M; Korczak-Abshire, M; Augustyniuk-Kram, A</t>
  </si>
  <si>
    <t>Litynska-Zajac, Maria; Chwedorzewska, Katarzyna; Olech, Maria; Korczak-Abshire, Malgorzata; Augustyniuk-Kram, Anna</t>
  </si>
  <si>
    <t>Diaspores and phyto-remains accidentally transported to the Antarctic Station during three expeditions</t>
  </si>
  <si>
    <t>Alien species; Human impact; Antarctica</t>
  </si>
  <si>
    <t>PRINCE EDWARD ISLANDS; KING-GEORGE-ISLAND; POA-ANNUA; MARION; PLANTS; IDENTIFICATION; ESTABLISHMENT; CONSERVATION; INVASIONS; KERGUELEN</t>
  </si>
  <si>
    <t>The aim of the project was to assess the size and species range of alien plant diaspores and phyto-remains transported into the Polish Antarctic Station during three Antarctic expeditions. Our study clearly demonstrates that many diaspores can be quite easily unintentionally transported in good conditions to the Antarctic. In the analyzed material there were present diaspores of invasive species. All identified species belong to 20 families. The most abundant were Asteraceae and Poaceae species. The most interesting finding was the presence of caryopses of Poa annua, the first alien angiosperm species which already established a stable breeding population in the Antarctic. Base on our results, we can predict that risk of establishment of anther alien plant species in the vicinity of Arctowski Station is very high.</t>
  </si>
  <si>
    <t>[Chwedorzewska, Katarzyna; Olech, Maria; Korczak-Abshire, Malgorzata] Inst Biochem &amp; Biophys PAS, Dept Antarctic Biol, PL-02106 Krakow, Poland; [Litynska-Zajac, Maria] Inst Archaeol &amp; Ethnol PAS, PL-31016 Krakow, Poland; [Olech, Maria] Jagiellonian Univ, Inst Bot, PL-31501 Krakow, Poland; [Augustyniuk-Kram, Anna] Polish Acad Sci, Ctr Ecol Res, PL-05092 Lomianki, Poland</t>
  </si>
  <si>
    <t>Polish Academy of Sciences; Institute of Biochemistry &amp; Biophysics - Polish Academy of Sciences; Polish Academy of Sciences; Institute of Archaeology &amp; Ethnology of the Polish Academy of Sciences; Jagiellonian University; Polish Academy of Sciences</t>
  </si>
  <si>
    <t>Chwedorzewska, K (corresponding author), Inst Biochem &amp; Biophys PAS, Dept Antarctic Biol, Pawinskiego 5A, PL-02106 Krakow, Poland.</t>
  </si>
  <si>
    <t>marialitynska@gazeta.pl; kchwedorzewska@go2.pl</t>
  </si>
  <si>
    <t>Augustyniuk-Kram, Anna/AAE-6845-2022; Chwedorzewska, Katarzyna J/A-9480-2008; Korczak-Abshire, Malgorzata/AAA-1563-2020; Chwedorzewska, Katarzyna/M-9721-2019</t>
  </si>
  <si>
    <t>Augustyniuk-Kram, Anna/0000-0002-1904-9766; Korczak-Abshire, Malgorzata/0000-0001-7695-0588; Chwedorzewska, Katarzyna/0000-0001-6860-3666</t>
  </si>
  <si>
    <t>Ministry of Scientific Research and Higher Education Grant [IPY/27/2007]</t>
  </si>
  <si>
    <t>Ministry of Scientific Research and Higher Education Grant</t>
  </si>
  <si>
    <t>This research project was supported by the Ministry of Scientific Research and Higher Education Grant IPY/27/2007. The authors would like to thank all persons involved in collecting materials during the XXX, XXXI and XXXII Polish Antarctic Expeditions. The authors would like to thank Prof. Ewa Zastawniak-Birkenmajer for the access to the collection of seeds and herbarium.</t>
  </si>
  <si>
    <t>10.1007/s10531-012-0371-6</t>
  </si>
  <si>
    <t>030QZ</t>
  </si>
  <si>
    <t>hybrid, Green Published</t>
  </si>
  <si>
    <t>WOS:000310586500009</t>
  </si>
  <si>
    <t>Sullivan, BJ; Kibel, P; Robertson, G; Kibel, B; Goren, M; Candy, SG; Wienecke, B</t>
  </si>
  <si>
    <t>Sullivan, B. J.; Kibel, P.; Robertson, G.; Kibel, B.; Goren, M.; Candy, S. G.; Wienecke, B.</t>
  </si>
  <si>
    <t>Safe Leads for safe heads: safer line weights for pelagic longline fisheries</t>
  </si>
  <si>
    <t>Pelagic longline; Line weighting; Crew safety; Safe Leads</t>
  </si>
  <si>
    <t>MORTALITY; BYCATCH</t>
  </si>
  <si>
    <t>In many pelagic longline fisheries around the world there is reluctance to adopt a line weighting regime that will sink fishing gear rapidly to reduce seabird bycatch. In many cases this is due to safety concerns caused by traditional leaded swivels causing serious injuries, and even fatalities, when they fly-back at the crew in the event of line breakage (e.g. from shark bite offs) during line hauling. This paper presents the results of at-sea and on-shore trials to test the safety and operational effectiveness of an alternative line weight (the Safe Lead) which is designed to slide down, or off the line, in the event of a bite-off, significantly reducing danger to the crew from line weights. At-sea trials in South Africa revealed that Safe Leads can reduce the incidence of dangerous fly-backs to very low levels. In at-sea trails, only 4.2% of Safe Lead fly-backs reached the vessel (the remainder fell in the sea) whereas 73.3% of fly-backs by leaded swivels hit the vessel and one hit a crewmen in the head. Simulated bite-off events on shore revealed the degree of slippage (influences whether leads slide but remain on the branch line, or slide off the end of the line) varied as a function of distance from Safe Lead to hook (1-4 m range) and tension on the line (20-120 kg range). All Safe Lead replicates placed within 2 m of the hook slid off the line under all four tension treatments. Under the higher tension categories of 80 kg and 120 kg, 80% of Safe Leads positioned 3 m from the hook position slid off the line after a simulated bite-off (cut-away). High speed photography of fly-backs showed a significant (P &lt; 0.05) reduction in the velocity on impact of Safe Leads compared to leaded swivels and an associated &gt;80% reduction in kinetic energy on impact. Our results suggest that Safe Leads are a cost-effective and operationally simple alternative to traditional leaded swivels with significant benefits to crew safety. (c) 2012 Elsevier B.V. All rights reserved.</t>
  </si>
  <si>
    <t>[Sullivan, B. J.] Royal Soc Protect Birds, BirdLife Int Global Seabird Programme, Sandy SG19 2DL, Beds, England; [Sullivan, B. J.; Kibel, P.; Kibel, B.] Fishtek, Totnes TQ9 76JY, Devon, England; [Robertson, G.; Candy, S. G.; Wienecke, B.] Australian Antarctic Div, Kingston, Tas 7050, Australia; [Goren, M.] BirdLife S Africa, BirdLife Albatross Task Force, ZA-8012 Cape Town, South Africa</t>
  </si>
  <si>
    <t>Royal Society for Protection of Birds; BirdLife International; Australian Antarctic Division</t>
  </si>
  <si>
    <t>Sullivan, BJ (corresponding author), Royal Soc Protect Birds, BirdLife Int Global Seabird Programme, Sandy SG19 2DL, Beds, England.</t>
  </si>
  <si>
    <t>ben.sullivan@rspb.org.uk</t>
  </si>
  <si>
    <t>Chris Hamel African Tuna Ltd</t>
  </si>
  <si>
    <t>The support of Chris Hamel African Tuna Ltd and the Captain and crew of the Admiral de Ruiter was critical to the South African at-sea trials. Thanks to Winning Post Productions (Tasmania) for organising filming and assisted in the on-shore trails, and Heinz Huber for the high speed filming. Andrew Crawthorne, Aaron Spurr and Ian Hay (Australian Antarctic Division), and Dave Chaffey (Thylacine Tuna Fisheries) provided critical logistical support for the on-shore trials.</t>
  </si>
  <si>
    <t>10.1016/j.fishres.2012.07.024</t>
  </si>
  <si>
    <t>033SO</t>
  </si>
  <si>
    <t>WOS:000310821600014</t>
  </si>
  <si>
    <t>Dennis, PG; Rushton, SP; Newsham, KK; Laudicina, VA; Ord, VJ; Daniell, TJ; O'Donnell, AG; Hopkins, DW</t>
  </si>
  <si>
    <t>Dennis, Paul G.; Rushton, Steven P.; Newsham, Kevin K.; Laudicina, Vito A.; Ord, Victoria J.; Daniell, Timothy J.; O'Donnell, Anthony G.; Hopkins, David W.</t>
  </si>
  <si>
    <t>Soil fungal community composition does not alter along a latitudinal gradient through the maritime and sub-Antarctic (vol 5, pg 403, 2012)</t>
  </si>
  <si>
    <t>FUNGAL ECOLOGY</t>
  </si>
  <si>
    <t>[Dennis, Paul G.] Univ Stirling, Sch Biol &amp; Environm Sci, Stirling FK9 4LA, Scotland; [Rushton, Steven P.; Ord, Victoria J.] Newcastle Univ, Sch Biol, Newcastle Upon Tyne NE1 7RU, Tyne &amp; Wear, England; [Newsham, Kevin K.] British Antarctic Survey, Ecosyst Programme, Cambridge CB3 0ET, England; [Laudicina, Vito A.] Univ Palermo, Dipartimento Sistemi Agroambientali, I-90128 Palermo, Italy; [Daniell, Timothy J.] James Hutton Inst, Dundee DD2 5DA, Scotland; [O'Donnell, Anthony G.] Univ Western Australia, Crawley, WA 6009, Australia; [Hopkins, David W.] Heriot Watt Univ, Sch Life Sci, Edinburgh EH14 4AS, Midlothian, Scotland</t>
  </si>
  <si>
    <t>University of Stirling; Newcastle University - UK; UK Research &amp; Innovation (UKRI); Natural Environment Research Council (NERC); NERC British Antarctic Survey; University of Palermo; James Hutton Institute; University of Western Australia; Heriot Watt University</t>
  </si>
  <si>
    <t>Hopkins, DW (corresponding author), Univ Queensland, Australian Ctr Ecogenom, Brisbane, Qld 4072, Australia.</t>
  </si>
  <si>
    <t>David.Hopkins@hw.ac.uk</t>
  </si>
  <si>
    <t>Daniell, Tim J/E-8482-2011; Laudicina, Vito Armando/F-8187-2015; Dennis, Paul G/H-2141-2017</t>
  </si>
  <si>
    <t>Daniell, Tim J/0000-0003-0435-4343; Laudicina, Vito Armando/0000-0002-5531-0669; O'Donnell, Tony/0000-0003-2001-4533</t>
  </si>
  <si>
    <t>1754-5048</t>
  </si>
  <si>
    <t>FUNGAL ECOL</t>
  </si>
  <si>
    <t>Fungal Ecol.</t>
  </si>
  <si>
    <t>10.1016/j.funeco.2012.06.002</t>
  </si>
  <si>
    <t>Ecology; Mycology</t>
  </si>
  <si>
    <t>Environmental Sciences &amp; Ecology; Mycology</t>
  </si>
  <si>
    <t>032KR</t>
  </si>
  <si>
    <t>WOS:000310717800015</t>
  </si>
  <si>
    <t>Groh, A; Ewert, H; Scheinert, M; Fritsche, M; Rülke, A; Richter, A; Rosenau, R; Dietrich, R</t>
  </si>
  <si>
    <t>Groh, A.; Ewert, H.; Scheinert, M.; Fritsche, M.; Ruelke, A.; Richter, A.; Rosenau, R.; Dietrich, R.</t>
  </si>
  <si>
    <t>An investigation of Glacial Isostatic Adjustment over the Amundsen Sea sector, West Antarctica</t>
  </si>
  <si>
    <t>West Antarctica; GIA; ice-mass change; sea-level change; GRACE; ICESat; GPS</t>
  </si>
  <si>
    <t>CLIMATE EXPERIMENT; GRAVITY RECOVERY; ICE-SHEET; SATELLITE DATA; MASS CHANGE; GRACE; SURFACE; GREENLAND; MODEL; EARTH</t>
  </si>
  <si>
    <t>The present study focuses on the Amundsen Sea sector which is the most dynamical region of the Antarctic Ice Sheet (AIS). Based on basin estimates of mass changes observed by the Gravity Recovery and Climate Experiment (GRACE) and volume changes observed by the Ice, Cloud and Land Elevation Satellite (ICESat), the mean mass change induced by Glacial Isostatic Adjustment (CIA) is derived. This mean CIA-induced mass change is found to be 34.1 +/- 11.9 Gt/yr, which is significantly larger than the predictions of current CIA models. We show that the corresponding mean elevation change of 23.3 +/- 7.7 mm/yr in the Amundsen Sea sector is in good agreement with the uplift rates obtained from observations at three GPS sites. Utilising ICESat observations, the observed uplift rates were corrected for elastic deformations due to present-day ice-mass changes. Based on the GRACE-derived mass change estimate and the inferred CIA correction, we inferred a present-day ice-mass loss of -98.9 +/- 13.7 Gt/yr for the Amundsen Sea sector. This is equivalent to a global eustatic sea-level rise of 0.27 +/- 0.04 mm/yr. Compared to the results relying on CIA model predictions, this corresponds to an increase of the ice-mass loss or sea-level rise, respectively, of about 40%. (C) 2012 Elsevier B.V. All rights reserved.</t>
  </si>
  <si>
    <t>[Groh, A.; Ewert, H.; Scheinert, M.; Fritsche, M.; Ruelke, A.; Richter, A.; Rosenau, R.; Dietrich, R.] Tech Univ Dresden, Inst Planetare Geodasie, D-01062 Dresden, Germany</t>
  </si>
  <si>
    <t>Technische Universitat Dresden</t>
  </si>
  <si>
    <t>Groh, A (corresponding author), Tech Univ Dresden, Inst Planetare Geodasie, D-01062 Dresden, Germany.</t>
  </si>
  <si>
    <t>andreas.groh@tu-dresden.de</t>
  </si>
  <si>
    <t>Richter, Andreas/ABD-6833-2020</t>
  </si>
  <si>
    <t>Richter, Andreas/0000-0002-7900-4893; Groh, Andreas/0000-0003-0106-5802; Scheinert, Mirko/0000-0002-0892-8941; Richter, Andreas/0000-0002-8588-9755</t>
  </si>
  <si>
    <t>German Research Foundation (DFG); European Science Foundation COST Action [ES0701]</t>
  </si>
  <si>
    <t>German Research Foundation (DFG)(German Research Foundation (DFG)); European Science Foundation COST Action</t>
  </si>
  <si>
    <t>This research was supported by the German Research Foundation (DFG) and partly by the European Science Foundation COST Action ES0701 Improved constraints on models of Glacial Isostatic Adjustment. The field work was carried out during the R/V Polarstern cruises ANT-XXIII/4 and ANT-XXVI/3. We like to thank the chief scientist Karsten Gohl, the helicopter crew and all participants for their support. All figures were prepared using the GMT graphics package (Wessel and Smith, 1998). We thank three anonymous reviewers for their comments which helped to improve the original manuscript.</t>
  </si>
  <si>
    <t>98-99</t>
  </si>
  <si>
    <t>10.1016/j.gloplacha.2012.08.001</t>
  </si>
  <si>
    <t>034HC</t>
  </si>
  <si>
    <t>WOS:000310862500005</t>
  </si>
  <si>
    <t>Hannisdal, B; Henderiks, J; Liow, LH</t>
  </si>
  <si>
    <t>Hannisdal, Bjarte; Henderiks, Jorijntje; Liow, Lee Hsiang</t>
  </si>
  <si>
    <t>Long-term evolutionary and ecological responses of calcifying phytoplankton to changes in atmospheric CO2</t>
  </si>
  <si>
    <t>carbon cycle; cell size; climate change; coccolithophores; information transfer; marine phytoplankton; occurrences</t>
  </si>
  <si>
    <t>CARBON-DIOXIDE CONCENTRATIONS; TIME-SERIES; ANTARCTIC GLACIATION; CALCITE COMPENSATION; CALCIFICATION RATES; EMILIANIA-HUXLEYI; INFORMATION-FLOW; CELL GEOMETRY; OCEAN; COCCOLITHOPHORE</t>
  </si>
  <si>
    <t>Calcifying phytoplankton play an important role in marine ecosystems and global biogeochemical cycles, affecting the transfer of both organic and inorganic carbon from the surface to the deep ocean. Coccolithophores are the most prominent members of this group, being well adapted to low-nutrients environments (e.g., subtropical gyres). Despite urgent concerns, their response to rising atmospheric carbon dioxide levels (pCO(2)) and ocean acidification is still poorly understood, and short-term experiments may not extrapolate into longer-term climatic adaptation. Current atmospheric pCO(2) (similar to 390 ppmv) is unprecedented since at least 3 million years ago (Ma), and levels projected for the next century were last seen more than 34 Ma. Hence, a deep-time perspective is needed to understand the long-term effects of high pCO(2) on the biosphere. Here we combine a comprehensive fossil data set on coccolithophore cell size with a novel measure of ecological prominence: Summed Common Species Occurrence Rate (SCOR). The SCOR is decoupled from species richness, and captures changes in the extent to which coccolithophores were common and widespread, based on global occurrences in deep-sea sediments. The size and SCOR records are compared to state-of-the-art data on climatic and environmental changes from 50 to 5 Ma. We advance beyond simple correlations and trends to quantify the relative strength and directionality of information transfer among these records. Coccolithophores were globally more common and widespread, larger, and more heavily calcified in the pre-34 Ma greenhouse world, and declined along with pCO(2) during the Oligocene (34-23 Ma). Our results suggest that atmospheric pCO(2) has exerted an important long-term control on coccolithophores, directly through its availability for photosynthesis or indirectly via weathering supply of resources for growth and calcification.</t>
  </si>
  <si>
    <t>[Hannisdal, Bjarte] Univ Bergen, Ctr Geobiol, Dept Earth Sci, N-5007 Bergen, Norway; [Henderiks, Jorijntje] Uppsala Univ, Palaeobiol Programme, Dept Earth Sci, SE-75236 Uppsala, Sweden; [Henderiks, Jorijntje; Liow, Lee Hsiang] Univ Oslo, Dept Biol, Ctr Ecol &amp; Evolutionary Synth, NO-0316 Oslo, Norway</t>
  </si>
  <si>
    <t>University of Bergen; Uppsala University; University of Oslo</t>
  </si>
  <si>
    <t>Hannisdal, B (corresponding author), Univ Bergen, Ctr Geobiol, Dept Earth Sci, Allegaten 41, N-5007 Bergen, Norway.</t>
  </si>
  <si>
    <t>bjarte.hannisdal@geo.uib.no</t>
  </si>
  <si>
    <t>Henderiks, Jorijntje/JGL-6527-2023; Liow, Lee Hsiang/E-3481-2010; Henderiks, Jorijntje/ABB-1080-2020</t>
  </si>
  <si>
    <t>Liow, Lee Hsiang/0000-0002-3732-6069; Henderiks, Jorijntje/0000-0001-9486-6275</t>
  </si>
  <si>
    <t>US National Science Foundation; Royal Swedish Academy of Sciences; Knut and Alice Wallenberg foundation [KAW 2009.0287]; Norwegian Resesarch Council [197823/V40]</t>
  </si>
  <si>
    <t>US National Science Foundation(National Science Foundation (NSF)); Royal Swedish Academy of Sciences; Knut and Alice Wallenberg foundation(Knut &amp; Alice Wallenberg Foundation); Norwegian Resesarch Council</t>
  </si>
  <si>
    <t>This research used samples provided by the Ocean Drilling Program (ODP). The ODP (now IODP) is sponsored by the US National Science Foundation and participating countries under management of the Joint Oceanographic Institutions (JOI), Inc. Comments from our anonymous reviewers helped improve the paper. JH is grateful for support from the Royal Swedish Academy of Sciences through a grant financed by the Knut and Alice Wallenberg foundation (KAW 2009.0287) and from the Norwegian Resesarch Council (project 197823/V40).</t>
  </si>
  <si>
    <t>10.1111/gcb.12007</t>
  </si>
  <si>
    <t>030IK</t>
  </si>
  <si>
    <t>WOS:000310564200003</t>
  </si>
  <si>
    <t>Sorensen, KK; McCourt, P; Berg, T; Crossley, C; Le Couteur, D; Wake, K; Smedsrod, B</t>
  </si>
  <si>
    <t>Sorensen, Karen Kristine; McCourt, Peter; Berg, Trond; Crossley, Clive; Le Couteur, David; Wake, Kenjiro; Smedsrod, Bard</t>
  </si>
  <si>
    <t>The scavenger endothelial cell: a new player in homeostasis and immunity</t>
  </si>
  <si>
    <t>AMERICAN JOURNAL OF PHYSIOLOGY-REGULATORY INTEGRATIVE AND COMPARATIVE PHYSIOLOGY</t>
  </si>
  <si>
    <t>liver sinusoidal endothelial cell; endocytosis; blood clearance; scavenger cells; nephrocyte</t>
  </si>
  <si>
    <t>RECEPTOR-MEDIATED ENDOCYTOSIS; AGE-RELATED-CHANGES; LOW-DENSITY-LIPOPROTEIN; HEPATIC SINUSOIDAL ENDOTHELIUM; FORMALDEHYDE-TREATED ALBUMIN; NONPARENCHYMAL LIVER-CELLS; GLYCATION END-PRODUCTS; RAT-LIVER; MANNOSE-RECEPTOR; IN-VITRO</t>
  </si>
  <si>
    <t>Sorensen KK, McCourt P, Berg T, Crossley C, Le Couteur D, Wake K, Smedsrod B. The scavenger endothelial cell: a new player in homeostasis and immunity. Am J Physiol Regul Integr Comp Physiol 303: R1217-R1230, 2012. First published October 17, 2012; doi:10.1152/ajpregu.00686.2011.-To maintain homeostasis, the animal body is equipped with a powerful system to remove circulating waste. 1 This review presents evidence that the scavenger endothelial cell (SEC) is responsible for the clearance of blood-borne waste macromolecules in vertebrates. SECs express pattern-recognition endocytosis receptors (mannose and scavenger receptors), and in mammals, the endocytic Fc gamma-receptor IIb2. This cell type has an endocytic machinery capable of super-efficient uptake and degradation of physiological and foreign waste material, including all major classes of biological macromolecules. In terrestrial vertebrates, most SECs line the wall of the liver sinusoid. In phylogenetically older vertebrates, SECs reside instead in heart, kidney, or gills. SECs, thus, by virtue of their efficient nonphagocytic elimination of physiological and microbial substances, play a critical role in the innate immunity of vertebrates. In major invertebrate phyla, including insects, the same function is carried out by nephrocytes. The concept of a dual-cell principle of waste clearance is introduced to emphasize that professional phagocytes (macrophages in vertebrates; hemocytes in invertebrates) eliminate larger particles (&gt;0.5 mu m) by phagocytosis, whereas soluble macromolecules and smaller particles are eliminated efficiently and preferentially by clathrin-mediated endocytosis in nonphagocytic SECs in vertebrates or nephrocytes in invertebrates. Including these cells as important players in immunology and physiology provides an additional basis for understanding host defense and tissue homeostasis.</t>
  </si>
  <si>
    <t>[Sorensen, Karen Kristine; McCourt, Peter; Smedsrod, Bard] Univ Tromso, Dept Med Biol, Vasc Biol Res Grp, Fac Hlth Sci, NO-9037 Tromso, Norway; [Berg, Trond] Univ Oslo, Dept Biol, Oslo, Norway; [Crossley, Clive] Univ Tasmania, Inst Marine &amp; Antarctic Studies, Hobart, Tas, Australia; [Le Couteur, David] Concord Repatriat Gen Hosp, Ctr Educ &amp; Res Ageing, Sydney, NSW, Australia; [Le Couteur, David] Concord Repatriat Gen Hosp, ANZAC Res Inst, Sydney, NSW, Australia; [Le Couteur, David] Univ Sydney, Sydney, NSW 2006, Australia; [Wake, Kenjiro] Tokyo Med &amp; Dent Univ, Tokyo, Japan; [Wake, Kenjiro] Liver Res Unit, Tokyo, Japan; [Wake, Kenjiro] Minophagen Pharmaceut Co Ltd, Tokyo, Japan</t>
  </si>
  <si>
    <t>UiT The Arctic University of Tromso; University of Oslo; University of Tasmania; Concord Repatriation General Hospital; Concord Repatriation General Hospital; University of Sydney; ANZAC Research Institute; University of Sydney; Tokyo Medical &amp; Dental University (TMDU)</t>
  </si>
  <si>
    <t>Smedsrod, B (corresponding author), Univ Tromso, Dept Med Biol, Vasc Biol Res Grp, Fac Hlth Sci, NO-9037 Tromso, Norway.</t>
  </si>
  <si>
    <t>bard.smedsrod@uit.no</t>
  </si>
  <si>
    <t>McCourt, Peter/B-3043-2009; Research Institute, ANZAC/CAE-9030-2022</t>
  </si>
  <si>
    <t>McCourt, Peter/0000-0001-5072-4590; Smedsrod, Bard/0000-0002-3308-8948; Sorensen, Karen Kristine/0000-0002-7570-186X; Le Couteur, David/0000-0002-4227-5817</t>
  </si>
  <si>
    <t>Tromso Research Foundation (Tromso, Norway); Ageing and Alzheimer's Research Foundation; Sydney of Medical School Foundation of the University of Sydney</t>
  </si>
  <si>
    <t>This study was supported by The Tromso Research Foundation (Tromso, Norway) and The Ageing and Alzheimer's Research Foundation, a division of the Sydney of Medical School Foundation of the University of Sydney.</t>
  </si>
  <si>
    <t>AMER PHYSIOLOGICAL SOC</t>
  </si>
  <si>
    <t>BETHESDA</t>
  </si>
  <si>
    <t>9650 ROCKVILLE PIKE, BETHESDA, MD 20814 USA</t>
  </si>
  <si>
    <t>0363-6119</t>
  </si>
  <si>
    <t>1522-1490</t>
  </si>
  <si>
    <t>AM J PHYSIOL-REG I</t>
  </si>
  <si>
    <t>Am. J. Physiol.-Regul. Integr. Comp. Physiol.</t>
  </si>
  <si>
    <t>R1217</t>
  </si>
  <si>
    <t>R1230</t>
  </si>
  <si>
    <t>10.1152/ajpregu.00686.2011</t>
  </si>
  <si>
    <t>Physiology</t>
  </si>
  <si>
    <t>057SQ</t>
  </si>
  <si>
    <t>WOS:000312584700002</t>
  </si>
  <si>
    <t>Sinha, RK; Krishnan, KP; Sarkar, A</t>
  </si>
  <si>
    <t>Sinha, Rupesh Kumar; Krishnan, Kottekkatu Padinchati; Sarkar, Angshuman</t>
  </si>
  <si>
    <t>Heat shock response as a cue for phenotypic variability: a study of psychrotrophic and mesophilic strains of Cellulosimicrobium cellulans</t>
  </si>
  <si>
    <t>ANNALS OF MICROBIOLOGY</t>
  </si>
  <si>
    <t>Heat shock protein; Thermotolerance; Bacteria; Antarctica</t>
  </si>
  <si>
    <t>PROTEIN-SYNTHESIS; ESCHERICHIA-COLI; TEMPERATURE; HSP70; LIFE; BACTERIA; HSP40; CHAPERONIN; NOV</t>
  </si>
  <si>
    <t>We report the expression pattern of heat shock proteins (HSPs) in an Antarctic psychrotrophic strain of Cellulosimicrobium cellulans (DSM 22151) by comparing with its mesophilic counterpart (DSM 43879(T)) at different temperatures. In both strains, the synthesis of HSPs declined with growth phase. The Antarctic isolate could upregulate 60 kDa, 52 kDa and 41.6 kDa HSPs at 60 degrees C while for its mesophilic counterpart, regulation was restricted to a 64 kDa fraction. The highly unstable nature of this fraction could have led to the impaired thermotolerance exhibited by the mesophilic strain. The downshift of thermal shock from 60 degrees C to 45 degrees C resulted in further upregulation of HSPs in the psychrotrophic strain, while there was no marked variation in the mesophilic strain. This work highlights the significance of a 60 kDa protein in the Antarctic strain of C. cellulans and also indicates the role of a 52 kDa protein in the previously reported heat shock response. Contrary to expectations, the psychrotrophic strain was found to have better mechanisms to tolerate higher temperatures-a property that could give valuable insights into the evolution and adaptation of cold-adapted bacteria.</t>
  </si>
  <si>
    <t>[Sinha, Rupesh Kumar; Krishnan, Kottekkatu Padinchati] Natl Ctr Antarctic &amp; Ocean Res, Vasco Da Gama, Goa, India; [Sarkar, Angshuman] Birla Inst Technol &amp; Sci, Dept Biol Sci, Goa, India</t>
  </si>
  <si>
    <t>Ministry of Earth Sciences (MoES) - India; National Centre for Polar and Ocean Research (NCPOR); Birla Institute of Technology &amp; Science Pilani (BITS Pilani)</t>
  </si>
  <si>
    <t>Krishnan, KP (corresponding author), Natl Ctr Antarctic &amp; Ocean Res, Vasco Da Gama, Goa, India.</t>
  </si>
  <si>
    <t>kpkrishnan@gmail.com</t>
  </si>
  <si>
    <t>Sinha, Rupesh/ABB-8319-2020; P, Krishnan K/ABF-8783-2020</t>
  </si>
  <si>
    <t>Sinha, Rupesh Kumar/0000-0002-2080-0975; , K. P. Krishnan/0000-0003-1101-657X</t>
  </si>
  <si>
    <t>Birla Institute of Technology and Science-Pilani</t>
  </si>
  <si>
    <t>The authors wish to express their gratitude to Shri. Rasik Ravindra, Director, National Centre for Antarctic and Ocean Research (NCAOR) and Dr. Thamban Meloth, Programme Director-Laboratories, NCAOR for their interest in this work. A. S. acknowledges the support of seed grant 2011 from the Birla Institute of Technology and Science-Pilani. This is NCAOR contribution No. 043/2011.</t>
  </si>
  <si>
    <t>1590-4261</t>
  </si>
  <si>
    <t>ANN MICROBIOL</t>
  </si>
  <si>
    <t>Ann. Microbiol.</t>
  </si>
  <si>
    <t>10.1007/s13213-011-0411-6</t>
  </si>
  <si>
    <t>034PU</t>
  </si>
  <si>
    <t>WOS:000310886200027</t>
  </si>
  <si>
    <t>Winther, JG; Njaastad, B</t>
  </si>
  <si>
    <t>Winther, Jan-Gunnar; Njaastad, Birgit</t>
  </si>
  <si>
    <t>Strengthening the role of science in Antarctic policy shaping: learning from the Arctic</t>
  </si>
  <si>
    <t>10.1017/S0954102012001010</t>
  </si>
  <si>
    <t>WOS:000311918400001</t>
  </si>
  <si>
    <t>Safi, K; Hawes, I; Sorrell, B</t>
  </si>
  <si>
    <t>Safi, Karl; Hawes, Ian; Sorrell, Brian</t>
  </si>
  <si>
    <t>Microbial population responses in three stratified Antarctic meltwater ponds during the autumn freeze</t>
  </si>
  <si>
    <t>bacteria; ciliates; flagellate grazing; food webs; planktonic communities</t>
  </si>
  <si>
    <t>MCMURDO-ICE-SHELF; PLANKTON DYNAMICS; INLAND WATERS; LAKES; WINTER; BACTERIOPLANKTON; PHOTOSYNTHESIS; COMMUNITIES; MIXOTROPHY; BACTERIA</t>
  </si>
  <si>
    <t>The planktonic microbial communities of three meltwater ponds, located on the McMurdo Ice Shelf, were investigated from the end of January 2008 to early April, during which almost the entire pond volumes froze. The ponds were comprised of an upper mixed layer overlying a salt-stabilized density gradient in which planktonic communities were primarily embedded. Plankton comprised all components of the microbial loop, though carnivorous protists were rare. As the ponds froze and light became increasingly limited, it was expected conditions would induce physiological changes altering the functional role of autotrophic and heterotrophic microplankton within the ponds. The results showed that microbial groups responded to the onset of winter by declining in abundance, though an exception was the appearance of filamentous cyanobacteria in the water column in March. As freezing progressed, autotrophs declined more rapidly than heterotrophs and grazing rates and abundances of mixotrophic and heterotrophic organisms increased. Grazing pressure on bacteria and picophytoplankton also increased, in part explaining their decline over time. The results indicate that stressors imposed during freezing select for increasing heterotrophy within the remaining microbial communities, although all components of the food web eventually decline as the final freeze approaches.</t>
  </si>
  <si>
    <t>[Safi, Karl] NIWA Ltd, Hamilton, New Zealand; [Hawes, Ian] Univ Canterbury, Christchurch 1, New Zealand; [Sorrell, Brian] Aarhus Univ, Dept Biol Sci, DK-8000 Aarhus 3, Denmark</t>
  </si>
  <si>
    <t>National Institute of Water &amp; Atmospheric Research (NIWA) - New Zealand; University of Canterbury; Aarhus University</t>
  </si>
  <si>
    <t>Safi, K (corresponding author), NIWA Ltd, POB 11-115,Silverdale Rd, Hamilton, New Zealand.</t>
  </si>
  <si>
    <t>karl.safi@niwa.co.nz</t>
  </si>
  <si>
    <t>Sorrell, Brian/L-1351-2013</t>
  </si>
  <si>
    <t>Sorrell, Brian/0000-0002-2460-8438; Safi, Karl/0000-0002-7785-1909; Hawes, Ian/0000-0003-2471-6903</t>
  </si>
  <si>
    <t>New Zealand Foundation for Research, Science and Technology [C01 X 0708, C01 X 0306]</t>
  </si>
  <si>
    <t>New Zealand Foundation for Research, Science and Technology(New Zealand Foundation for Research, Science and Technology)</t>
  </si>
  <si>
    <t>This research was funded by the New Zealand Foundation for Research, Science and Technology (Contracts C01 X 0708 and C01 X 0306) and Antarctica New Zealand which provided logistic support. We thank Nat Wilson who was an integral part of the field team. We also thank Dr Julie Hall for critical comments on various drafts of the manuscript, Dr Warwick Vincent, an anonymous reviewer and the editor for their comments that much improved the manuscript.</t>
  </si>
  <si>
    <t>10.1017/S0954102012000636</t>
  </si>
  <si>
    <t>WOS:000311918400005</t>
  </si>
  <si>
    <t>Moreno, L; Silva-Busso, A; López-Martínez, J; Durán-Valsero, JJ; Martínez-Navarrete, C; Cuchí, JA; Ermolin, E</t>
  </si>
  <si>
    <t>Moreno, L.; Silva-Busso, A.; Lopez-Martinez, J.; Duran-Valsero, J. J.; Martinez-Navarrete, C.; Cuchi, J. A.; Ermolin, E.</t>
  </si>
  <si>
    <t>Hydrogeochemical characteristics at Cape Lamb, Vega Island, Antarctic Peninsula</t>
  </si>
  <si>
    <t>aquifers; hydrochemistry; hydrogeology; isotopes; permafrost; soils</t>
  </si>
  <si>
    <t>JAMES-ROSS-ISLAND; SNOW CHEMISTRY; CLIMATE-CHANGE; VICTORIA LAND; SIGNY ISLAND; PERMAFROST; HYDROLOGY; PLATEAU; SURFACE; HALLETT</t>
  </si>
  <si>
    <t>Environmental changes in the northern Antarctic Peninsula provide a sensitive local indicator of climate warming. A consequence of these changes is the activation of surface and subsurface hydrological cycles in areas where water, in colder conditions, would remain frozen. This paper analyses the effects of hydrological cycle activation at Cape Lamb, Vega Island. The conclusions are based on hydrochemistry and isotope interpretation of 51 representative water samples from precipitation, streams, lakes, ice, snow and groundwater. Based on these results relationships between the different components of the hydrological cycle are proposed. This paper highlights the important contribution of groundwater to surface water chemistry, the disconnection of the lakes from the overall flow, the lack of an ocean spray signature in surface water and groundwater and the significant influence of windblown dust in the composition of the analysed waters.</t>
  </si>
  <si>
    <t>[Moreno, L.; Duran-Valsero, J. J.; Martinez-Navarrete, C.] Inst Geol &amp; Minero Espana, Madrid 28003, Spain; [Silva-Busso, A.] Inst Nacl Agua, Buenos Aires, DF, Argentina; [Lopez-Martinez, J.] Univ Autonoma Madrid, Fac Ciencias, E-28049 Madrid, Spain; [Cuchi, J. A.] Univ Zaragoza, Escuela Politecn Huesca, Huesca 22071, Spain; [Ermolin, E.] Inst Antcirtico Argentino, RA-1248 Buenos Aires, DF, Argentina</t>
  </si>
  <si>
    <t>Autonomous University of Madrid; University of Zaragoza</t>
  </si>
  <si>
    <t>Moreno, L (corresponding author), Inst Geol &amp; Minero Espana, Rios Rosas 23, Madrid 28003, Spain.</t>
  </si>
  <si>
    <t>l.moreno@igme.es</t>
  </si>
  <si>
    <t>Durán, Juan Jose/L-4932-2014; Duran, Juan/GRZ-0839-2022; Lopez-Martinez, Jeronimo/C-5744-2011</t>
  </si>
  <si>
    <t>Lopez-Martinez, Jeronimo/0000-0002-1750-8287; Martinez Navarrete, Carlos/0000-0003-0562-7470; Moreno Merino, Luis/0000-0002-9984-6035</t>
  </si>
  <si>
    <t>R+D Spanish National Plan [CGL2005-03256ANT, CTM2011- 26372]; PICTO [2005N36155]; Secretariat for Science and Technology; Argentinean Antarctic Institute; National Human Resources Mobility Research (Spanish Ministry of Education) [PR20101-0166]</t>
  </si>
  <si>
    <t>R+D Spanish National Plan; PICTO; Secretariat for Science and Technology; Argentinean Antarctic Institute(ANPCyT); National Human Resources Mobility Research (Spanish Ministry of Education)</t>
  </si>
  <si>
    <t>This research has been supported by the projects: CGL2005-03256ANT and CTM2011- 26372 of the R+D Spanish National Plan, and PICTO 2005N36155, of the Secretariat for Science and Technology and the Argentinean Antarctic Institute. The fieldwork was conducted thanks to the logistic support of the Argentinean Air Force and Argentinean Antarctic Institute. The project PR20101-0166 of the National Human Resources Mobility Research 2010 (Spanish Ministry of Education) has facilitated the cooperation between the Spanish and Argentinean research teams. Authors also want to express their gratitude to the reviewers and the editor who helped to improve significantly the paper with their revision and useful remarks.</t>
  </si>
  <si>
    <t>10.1017/S0954102012000478</t>
  </si>
  <si>
    <t>WOS:000311918400007</t>
  </si>
  <si>
    <t>Heirman, K; De Batist, M; Arnaud, F; De Beaulieu, JL</t>
  </si>
  <si>
    <t>Heirman, Katrien; De Batist, Marc; Arnaud, Fabien; De Beaulieu, Jacques-Louis</t>
  </si>
  <si>
    <t>Seismic stratigraphy of the late Quaternary sedimentary infill of Lac d'Armor (Kerguelen archipelago): a record of glacier retreat, sedimentary mass wasting and southern Westerly intensification</t>
  </si>
  <si>
    <t>drift deposit; glacial sedimentation; lacustrine sedimentation; wind-driven currents</t>
  </si>
  <si>
    <t>LAKE; OCEAN; CLIMATE; CIRCULATION; EVOLUTION; HISTORY; MAXIMUM; ORIGIN</t>
  </si>
  <si>
    <t>Lac d'Armor (49 degrees 27'S, 69 degrees 42'E) is a medium-sized, fiord-type lake located on the 'Grande Terre' island of the Kerguelen archipelago. A dense grid of high-resolution reflection seismic profiles was collected from this lake basin. The seismic stratigraphic facies reveal a last deglaciation to Holocene infill comparable to the seismic facies found in other glacigenic lakes all over the world. Remarkable features in the seismic stratigraphy are mounded structures found at the southern edge of both sub-basins. The sediment mounds can be interpreted as sediment drifts created by wind-induced bottom currents. The onset of the build-up of these drifts initiated at some point in the Holocene and indicates a strengthening of the southern Westerlies, which are currently the dominant winds on this island.</t>
  </si>
  <si>
    <t>[Heirman, Katrien; De Batist, Marc] Univ Ghent, Dept Geol &amp; Soil Sci, Renard Ctr Marine Geol, B-9000 Ghent, Belgium; [Heirman, Katrien] Geol Survey Belgium, Royal Belgian Inst Nat Sci, B-1000 Brussels, Belgium; [Arnaud, Fabien] Univ Savoie, CNRS, UMR 5204, Technolac, F-73370 Le Bourget Du Lac, France; [De Beaulieu, Jacques-Louis] Fac Sci &amp; Tech St Jerome, IMEP, CNRS, UMR 6116, F-13397 Marseille, France</t>
  </si>
  <si>
    <t>Ghent University; Royal Belgian Institute of Natural Sciences; Centre National de la Recherche Scientifique (CNRS); Universite Savoie Mont Blanc; Centre National de la Recherche Scientifique (CNRS); Aix-Marseille Universite</t>
  </si>
  <si>
    <t>Heirman, K (corresponding author), Univ Ghent, Dept Geol &amp; Soil Sci, Renard Ctr Marine Geol, Krijgslaan 281 S8, B-9000 Ghent, Belgium.</t>
  </si>
  <si>
    <t>Katrien.Heirman@naturalsciences.be</t>
  </si>
  <si>
    <t>De Batist, Marc/F-5722-2012; Arnaud, Fabien/F-7003-2012</t>
  </si>
  <si>
    <t>De Batist, Marc/0000-0002-1625-2080; Arnaud, Fabien/0000-0002-8706-9902; Heirman, Katrien/0000-0001-6832-8385</t>
  </si>
  <si>
    <t>Institut polaire francais Paul-Emile Victor (IPEV); Belgian-UK HOLANT project; Belgian Science Policy Office (BELSPO); Fund for Scientific Research - Flanders (FWO - Vlaanderen)</t>
  </si>
  <si>
    <t>Institut polaire francais Paul-Emile Victor (IPEV); Belgian-UK HOLANT project; Belgian Science Policy Office (BELSPO)(Belgian Federal Science Policy Office); Fund for Scientific Research - Flanders (FWO - Vlaanderen)(FWO)</t>
  </si>
  <si>
    <t>We thank Dries Boone and Roland Pagni for logistic and technical support, Wim Versteeg for expert assistance with the processing of the seismic data, and Dr Jasper Moernaut for stimulating discussions on earthquakes and lake sedimentation processes. We also kindly acknowledge the reviewers, Dr Michele Rubesco and Dr Brenda Hall, and the editor, Dr Alan Vaughan, for their useful comments and suggestions which significantly improved the manuscript. This study was carried out in the framework of the French-Belgian collaborative PEISACG program, supported by the Institut polaire francais Paul-Emile Victor (IPEV), and of the Belgian-UK HOLANT project, funded by the Belgian Science Policy Office (BELSPO). Katrien Heirman was supported by a grant from the Fund for Scientific Research - Flanders (FWO - Vlaanderen).</t>
  </si>
  <si>
    <t>10.1017/S0954102012000466</t>
  </si>
  <si>
    <t>WOS:000311918400008</t>
  </si>
  <si>
    <t>Whittle, RJ; Quaglio, F; Crame, JA; Linse, K</t>
  </si>
  <si>
    <t>Whittle, Rowan J.; Quaglio, Fernanda; Crame, J. Alistair; Linse, Katrin</t>
  </si>
  <si>
    <t>Nuculidae (Bivalvia) in the Cape Melville Formation, King George Island, Antarctica, with an overview of the bivalve fauna</t>
  </si>
  <si>
    <t>biogeography; Cenozoic; Southern Ocean; taxonomy</t>
  </si>
  <si>
    <t>WEST ANTARCTICA; SEYMOUR ISLAND; MOLLUSCA; MIOCENE; OLIGOCENE; BIODIVERSITY; PENINSULA; TERTIARY; PLIOCENE; ISOTOPE</t>
  </si>
  <si>
    <t>Nuculid bivalves of the Cape Melville Formation (Early Miocene, King George Island) are reviewed. Ten bivalve taxa are listed from the formation in the families Nuculidae (two species), Sareptidae, Malletiidae, Limopsidae (two species), Limidae, Pectinidae, Hiatellidae, and Periplomatidae. The Nuculidae consist of two species of Leionucula Quenstedt, 1930. One of these, L. melvilleana n. sp., is described and the other consists of the two species named previously by Anelli et al. (2006), which are demonstrated to be synonymous and are assigned to the species Leionucula frigida (Anelli, Rocha-Campos, Santos, Perinotto &amp; Quaglio 2006). This assemblage, dominated by protobranchs (89% of specimens), is a typical fauna of offshore soft substrates, with a few specimens transported from hard substrates nearby. The diversity of Nuculidae has decreased in the Antarctic region through the Cenozoic.</t>
  </si>
  <si>
    <t>[Whittle, Rowan J.; Crame, J. Alistair; Linse, Katrin] British Antarctic Survey, NERC, Cambridge CB3 0ET, England; [Quaglio, Fernanda] Univ Sao Paulo, Inst Geociencias, BR-05508080 Sao Paulo, Brazil</t>
  </si>
  <si>
    <t>UK Research &amp; Innovation (UKRI); Natural Environment Research Council (NERC); NERC British Antarctic Survey; Universidade de Sao Paulo</t>
  </si>
  <si>
    <t>Whittle, RJ (corresponding author), British Antarctic Survey, NERC, Madingley Rd, Cambridge CB3 0ET, England.</t>
  </si>
  <si>
    <t>roit@bas.ac.uk</t>
  </si>
  <si>
    <t>Quaglio, Fernanda/F-2765-2013</t>
  </si>
  <si>
    <t>Linse, Katrin/0000-0003-3477-3047</t>
  </si>
  <si>
    <t>Natural Environment Research Council; CNPq (Conselho Nacional de Desenvolvimento Cientifico e Tecnologico); NERC [bas0100026] Funding Source: UKRI; Natural Environment Research Council [bas0100026] Funding Source: researchfish</t>
  </si>
  <si>
    <t>Natural Environment Research Council(UK Research &amp; Innovation (UKRI)Natural Environment Research Council (NERC)); CNPq (Conselho Nacional de Desenvolvimento Cientifico e Tecnologico)(Conselho Nacional de Desenvolvimento Cientifico e Tecnologico (CNPQ));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</si>
  <si>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The Natural Environment Research Council. We acknowledge the help of S. M. Redshaw with BAS fossil collection. FQ is funded by CNPq (Conselho Nacional de Desenvolvimento Cientifico e Tecnologico). We thank the reviewers, Alan Beu and Liz Harper, whose comments and suggestions greatly improved the manuscript and Alan Vaughan for his editorial comments. We acknowledge the help of Hilary Blagbrough and Lucy Wilson with access to BAS collections and databases, and Mike Tabecki for help with fossil preparation. We thank Chris Gilbert and Pete Bucktrout for specimen photography. We are grateful to L.E. Anelli and the Instituto de Geociencias, Universidade de Sao Paulo for their hospitality and the chance to view their material. We thank Huw Griffiths for the creation of maps and helpful discussion.</t>
  </si>
  <si>
    <t>10.1017/S0954102012000454</t>
  </si>
  <si>
    <t>WOS:000311918400010</t>
  </si>
  <si>
    <t>Vaughan, APM; Holland, CH; Bradshaw, JD; Thomson, MRA</t>
  </si>
  <si>
    <t>Vaughan, Alan P. M.; Holland, Charles H.; Bradshaw, John D.; Thomson, Michael R. A.</t>
  </si>
  <si>
    <t>Late Ordovician-Silurian orthoconic nautiloid cephalopods in the View Point Formation conglomerate, Antarctic Peninsula</t>
  </si>
  <si>
    <t>[Vaughan, Alan P. M.] British Antarctic Survey, NERC, Cambridge CB3 0ET, England; [Holland, Charles H.] Trinity Coll Dublin, Dept Geol, Dublin 2, Ireland; [Bradshaw, John D.] Univ Canterbury, Dept Geol Sci, Christchurch 8140, New Zealand; [Thomson, Michael R. A.] Univ Leeds, Sch Earth Sci, Ctr Polar Sci, Leeds LS2 9JT, W Yorkshire, England</t>
  </si>
  <si>
    <t>UK Research &amp; Innovation (UKRI); Natural Environment Research Council (NERC); NERC British Antarctic Survey; Trinity College Dublin; University of Canterbury; University of Leeds</t>
  </si>
  <si>
    <t>Vaughan, APM (corresponding author), British Antarctic Survey, NERC, Madingley Rd, Cambridge CB3 0ET, England.</t>
  </si>
  <si>
    <t>a.vaughan@bas.ac.uk</t>
  </si>
  <si>
    <t>Vaughan, Alan PM/B-7829-2010</t>
  </si>
  <si>
    <t>NERC British Antarctic Survey core funds as part of the Polar Science for Planet Earth programme; Natural Environment Research Council [bas0100026] Funding Source: researchfish; NERC [bas0100026] Funding Source: UKRI</t>
  </si>
  <si>
    <t>NERC British Antarctic Survey core funds as part of the Polar Science for Planet Earth programme; Natural Environment Research Council(UK Research &amp; Innovation (UKRI)Natural Environment Research Council (NERC)); NERC(UK Research &amp; Innovation (UKRI)Natural Environment Research Council (NERC))</t>
  </si>
  <si>
    <t>This work was funded by NERC British Antarctic Survey core funds as part of the Polar Science for Planet Earth programme. The authors would like to thank an anonymous reviewer and the editor. The authors thank the captain, crew and helicopter pilots of HMS Endurance and BAS Operations staff for their cooperation and assistance with logistics.</t>
  </si>
  <si>
    <t>10.1017/S095410201200065X</t>
  </si>
  <si>
    <t>WOS:000311918400011</t>
  </si>
  <si>
    <t>Wright, A; Siegert, M</t>
  </si>
  <si>
    <t>Wright, Andrew; Siegert, Martin</t>
  </si>
  <si>
    <t>A fourth inventory of Antarctic subglacial lakes</t>
  </si>
  <si>
    <t>active surface height change features; Antarctic basal conditions; gravitational anomaly survey; hydrology; ice penetrating radar; seismic survey</t>
  </si>
  <si>
    <t>EAST ANTARCTICA; WEST ANTARCTICA; ICE STREAMS; DOME-C; WATER; BENEATH; SYSTEM; SHEET</t>
  </si>
  <si>
    <t>Antarctic subglacial lakes are studied for three main scientific reasons. First, they form an important component of the basal hydrological system which is known to affect the dynamics of the ice sheet. Second, they are amongst the most extreme viable habitats on Earth and third, if sediments exist on their floors, they may contain high-resolution records of ice sheet history. Here we present a new inventory of locations, dimensions and data sources for 379 subglacial lakes. Several major advances are responsible for the rise in the total number of lakes from the 145 known at the time of the last inventory in 2005. New radar datasets have been collected in previously unexplored regions of the ice sheet while digital data collection and processing techniques have allowed improvements to lake identification methods. Satellite measurements of ice surface elevation change caused by the movement of subglacial water have also been found to be widespread in Antarctica, often in places where radar data are absent. These advances have changed our appreciation of the Antarctic subglacial environment and have expanded our understanding of the behaviour of subglacial lakes.</t>
  </si>
  <si>
    <t>[Wright, Andrew; Siegert, Martin] Univ Edinburgh, Sch Geosci, Edinburgh EH8 9XP, Midlothian, Scotland</t>
  </si>
  <si>
    <t>Wright, A (corresponding author), Univ Edinburgh, Sch Geosci, Drummond St, Edinburgh EH8 9XP, Midlothian, Scotland.</t>
  </si>
  <si>
    <t>a.p.wright@ed.ac.uk</t>
  </si>
  <si>
    <t>Siegert, Martin/M-9939-2019; Siegert, Martin J/A-3826-2008</t>
  </si>
  <si>
    <t>Siegert, Martin/0000-0002-0090-4806; Siegert, Martin J/0000-0002-0090-4806</t>
  </si>
  <si>
    <t>UK NERC [NE/D003733/1]; Natural Environment Research Council [NE/D008751/1, NE/F016646/2, NE/G00465X/2, NE/D009200/1] Funding Source: researchfish; NERC [NE/D009200/1, NE/D008751/1, NE/F016646/2, NE/G00465X/2] Funding Source: UKRI</t>
  </si>
  <si>
    <t>UK NERC(UK Research &amp; Innovation (UKRI)Natural Environment Research Council (NERC)); Natural Environment Research Council(UK Research &amp; Innovation (UKRI)Natural Environment Research Council (NERC)); NERC(UK Research &amp; Innovation (UKRI)Natural Environment Research Council (NERC))</t>
  </si>
  <si>
    <t>APW and MJS acknowledge funding from the UK NERC (NE/D003733/1) for the US-UK-Australian ICECAP program. We thank two anonymous referees for helpful and constructive comments.</t>
  </si>
  <si>
    <t>10.1017/S095410201200048X</t>
  </si>
  <si>
    <t>WOS:000311918400013</t>
  </si>
  <si>
    <t>Takano, Y; Tyler, JJ; Kojima, H; Yokoyama, Y; Tanabe, Y; Sato, T; Ogawa, NO; Ohkouchi, N; Fukui, M</t>
  </si>
  <si>
    <t>Takano, Yoshinori; Tyler, Jonathan James; Kojima, Hisaya; Yokoyama, Yusuke; Tanabe, Yukiko; Sato, Takaharu; Ogawa, Nanako O.; Ohkouchi, Naohiko; Fukui, Manabu</t>
  </si>
  <si>
    <t>Holocene lake development and glacial-isostatic uplift at Lake Skallen and Lake Oyako, Lutzow-Holm Bay, East Antarctica: Based on biogeochemical facies and molecular signatures</t>
  </si>
  <si>
    <t>APPLIED GEOCHEMISTRY</t>
  </si>
  <si>
    <t>KING-GEORGE ISLAND; RADIOCARBON AGE CALIBRATION; BIVALVE LATERNULA-ELLIPTICA; GEOCHEMICAL REFERENCE SAMPLES; FRESH-WATER LAKES; SEA-LEVEL CHANGE; ICE-SHEET; VESTFOLD HILLS; SYOWA STATION; CRUSTAL MOTIONS</t>
  </si>
  <si>
    <t>The paleolimnology of two lakes which were isolated as a result of the crustal uplift during the late Holocene along the Soya Coast, Lutzow-Holm Bay, East Antarctica were studied. The focus was on temporal variations in the biogeochemical composition of sediment cores recovered from Lake Skallen at Skallen and Lake Oyako at Skarvsnes. Both sets of lake sediments record environmental changes associated with a transition from marine to lacustrine settings, as indicated by analyses of C and N contents, nitrogen isotopic compositions (delta N-15), and major element concentrations. Changes in the dominant primary producers during the marine-lacustrine transition (marine diatom to cyanobacteria) at L. Skallen was clearly revealed by biogenic opal-A, diatom assemblages, and molecular signature from denaturing gradient gel electrophoresis (DGGE) with 16S ribosomal RNA (rRNA) gene analysis. Radiocarbon dating of acid-insoluble organic C suggested that the environmental transition from marine to fresh water occurred at 2940 +/- 100 cal yr BP at L. Skallen and 1060 +/- 90 cal yr BP at L. Oyako. Based on these data, a mean crustal uplift rate of 3.2 mm yr (1) is inferred for the history of marine-lacustrine transition via brackish conditions. The geological setting causing glacio-isostatic uplift was the primary factor in controlling the transition event in sedimentary and biological facies. (C) 2012 Elsevier Ltd. All rights reserved.</t>
  </si>
  <si>
    <t>[Takano, Yoshinori; Tyler, Jonathan James; Yokoyama, Yusuke; Ogawa, Nanako O.; Ohkouchi, Naohiko] Japan Agcy Marine Earth Sci &amp; Technol JAMSTEC, Inst Biogeosci, Yokosuka, Kanagawa 2370061, Japan; [Takano, Yoshinori] Hokkaido Univ, Dept Nat Hist Sci, Kita Ku, Sapporo, Hokkaido 0600810, Japan; [Tyler, Jonathan James; Yokoyama, Yusuke] Univ Tokyo, Atmosphere &amp; Ocean Res Inst, Chiba 2778564, Japan; [Tyler, Jonathan James; Ohkouchi, Naohiko] Univ Tokyo, Dept Earth &amp; Planetary Sci, Tokyo 1130033, Japan; [Kojima, Hisaya; Fukui, Manabu] Hokkaido Univ, Inst Low Temp Sci, Kita Ku, Sapporo, Hokkaido 0600819, Japan; [Tanabe, Yukiko] Univ Tokyo, Grad Sch Frontier Sci, Dept Nat Environm Studies, Kashiwa, Chiba 2778563, Japan; [Sato, Takaharu] Hiroshima Univ, Fac Integrated Arts &amp; Sci, Kagamiyama, Higashi Hiroshi 7398521, Japan; [Tanabe, Yukiko] Natl Inst Polar Res, Tachikawa, Tokyo 1908518, Japan</t>
  </si>
  <si>
    <t>Japan Agency for Marine-Earth Science &amp; Technology (JAMSTEC); Hokkaido University; University of Tokyo; University of Tokyo; Hokkaido University; University of Tokyo; Hiroshima University; Research Organization of Information &amp; Systems (ROIS); National Institute of Polar Research (NIPR) - Japan</t>
  </si>
  <si>
    <t>Takano, Y (corresponding author), Japan Agcy Marine Earth Sci &amp; Technol JAMSTEC, Inst Biogeosci, 2-15 Natsushima, Yokosuka, Kanagawa 2370061, Japan.</t>
  </si>
  <si>
    <t>takano@jamstec.go.jp</t>
  </si>
  <si>
    <t>Yokoyama, Yusuke/N-9623-2013; Ohkouchi, Naohiko/B-2071-2008; Ogawa, Nanako O./AAJ-6456-2020; Kojima, Hisaya/D-9100-2012; Fukui, Manabu/E-1323-2012</t>
  </si>
  <si>
    <t>Tyler, Jonathan/0000-0001-8046-0215; Ohkouchi, Naohiko/0000-0002-6355-7469; OGAWA, Nanako O/0000-0002-3823-6444</t>
  </si>
  <si>
    <t>Japan Society for the Promotion of Science; Global Environment Research Fund; REGAL project of NIPR; Grants-in-Aid for Scientific Research [22370005] Funding Source: KAKEN</t>
  </si>
  <si>
    <t>Japan Society for the Promotion of Science(Ministry of Education, Culture, Sports, Science and Technology, Japan (MEXT)Japan Society for the Promotion of Science); Global Environment Research Fund; REGAL project of NIPR; Grants-in-Aid for Scientific Research(Ministry of Education, Culture, Sports, Science and Technology, Japan (MEXT)Japan Society for the Promotion of ScienceGrants-in-Aid for Scientific Research (KAKENHI))</t>
  </si>
  <si>
    <t>We thank S. Okamura (Geograph. Surv. Inst.), S. Osono (GNSS Technology Inc.), S. Sakanaka (Akita Univ.), T. Irino and N. Suzuki (Hokkaido Univ.) for support and discussion, S. Kudoh, S. Imura (Natl. Inst. Polar Res., NIPR) and K. Seto (Shimane Univ.) for logistical support, H. Miura (NIPR) and G. Matsumoto-Inoue (Otsuma Women Univ.) for reviewing the manuscript, and the 47th Japanese Antarctic Research Expedition (K. Shiraishi) for their assistance. AMS experiments were partly supported by H. Matsuzaki (Univ. Tokyo). The assistance of E. Takeda (Hokkaido Univ.) with microbial community analysis, M. Saito-Kato (Natl. Museum, Japan) and R. Jordan (Yamagata Univ.) with diatom taxonomy and the provision of reference materials is greatly appreciated, as is the contribution of S. Darroch (Tokyo Univ.) for assistance in the preparation of diatom slides. The authors express their sincere thanks to Dr. Dominic Hodgson (British Antarctic Survey) and other two anonymous reviewers for constructive comments which helped to improve the earlier version of the manuscript. This research was supported in part by the Japan Society for the Promotion of Science (Y.T., N.O., and J.J.T.), the Global Environment Research Fund (Y.Y.) and REGAL project of NIPR.</t>
  </si>
  <si>
    <t>0883-2927</t>
  </si>
  <si>
    <t>APPL GEOCHEM</t>
  </si>
  <si>
    <t>Appl. Geochem.</t>
  </si>
  <si>
    <t>10.1016/j.apgeochem.2012.08.009</t>
  </si>
  <si>
    <t>032YS</t>
  </si>
  <si>
    <t>WOS:000310757600025</t>
  </si>
  <si>
    <t>Vitek, P; Jehlicka, J; Edwards, HGM; Hutchinson, I; Ascaso, C; Wierzchos, J</t>
  </si>
  <si>
    <t>Vitek, Petr; Jehlicka, Jan; Edwards, Howell G. M.; Hutchinson, Ian; Ascaso, Carmen; Wierzchos, Jacek</t>
  </si>
  <si>
    <t>The Miniaturized Raman System and Detection of Traces of Life in Halite from the Atacama Desert: Some Considerations for the Search for Life Signatures on Mars</t>
  </si>
  <si>
    <t>ASTROBIOLOGY</t>
  </si>
  <si>
    <t>SPECTROSCOPIC DETECTION; MICROBIAL COMMUNITIES; ANTARCTIC HABITATS; CYANOBACTERIA; SPECTROMETER; BIOMARKERS</t>
  </si>
  <si>
    <t>Raman spectroscopy is being adopted as a nondestructive instrumentation for the robotic exploration of Mars to search for traces of life in the geological record. Here, miniaturized Raman spectrometers of two different types equipped with 532 and 785 nm lasers for excitation, respectively, were compared for the detection of microbial biomarkers in natural halite from the hyperarid region of the Atacama Desert. Measurements were performed directly on the rock as well as on the homogenized, powdered samples prepared from this material-the effects of this sample preparation and the excitation wavelength employed in the analysis are compared and discussed. From these results, 532 nm excitation was found to be superior for the analysis of powdered specimens due to its high sensitivity toward carotenoids and hence a higher capability for their detection at relatively low concentration in bulk powdered specimens. For the same reason, this wavelength was a better choice for the detection of carotenoids in direct measurements made on the rock samples. The 785 nm excitation wavelength, in contrast, proved to be more sensitive toward the detection of scytonemin. Key Words: Miniaturized portable Raman-Atacama-Mars-Biomarker detection. Astrobiology 12, 1095-1099.</t>
  </si>
  <si>
    <t>[Vitek, Petr; Jehlicka, Jan] Charles Univ Prague, Inst Geochem Mineral &amp; Mineral Resources, Prague 12843 2, Czech Republic; [Edwards, Howell G. M.] Univ Bradford, Sch Life Sci, Ctr Astrobiol &amp; Extremophiles Res, Bradford BD7 1DP, W Yorkshire, England; [Edwards, Howell G. M.; Hutchinson, Ian] Univ Leicester, Dept Phys &amp; Astron, Space Sci Res Ctr, Leicester LE1 7RH, Leics, England; [Ascaso, Carmen; Wierzchos, Jacek] CSIC, Museo Nacl Ciencias Nat, E-28006 Madrid, Spain</t>
  </si>
  <si>
    <t>Charles University Prague; University of Bradford; University of Leicester; Consejo Superior de Investigaciones Cientificas (CSIC); CSIC - Museo Nacional de Ciencias Naturales (MNCN)</t>
  </si>
  <si>
    <t>Vitek, P (corresponding author), Charles Univ Prague, Inst Geochem Mineral &amp; Mineral Resources, Albertov 6, Prague 12843 2, Czech Republic.</t>
  </si>
  <si>
    <t>petr.vitek@natur.cuni.cz</t>
  </si>
  <si>
    <t>Vitek, Petr/R-8022-2016; Jehlicka, Jan/H-9357-2016; Wierzchos, Jacek/F-7036-2011; Ascaso, Carmen/F-5369-2011</t>
  </si>
  <si>
    <t>Jehlicka, Jan/0000-0002-4294-876X; Wierzchos, Jacek/0000-0003-3084-3837; Ascaso, Carmen/0000-0001-9665-193X</t>
  </si>
  <si>
    <t>Czech Science Foundation [210/10/0467, P210/12/P330]; Ministry of Education of the Czech Republic [MSM0021620855]; Spanish Ministry of Economy and Competitiveness [CGL2010-16004]; UK Space Agency [ST/I002677/1] Funding Source: researchfish</t>
  </si>
  <si>
    <t>Czech Science Foundation(Grant Agency of the Czech Republic); Ministry of Education of the Czech Republic(Ministry of Education, Youth &amp; Sports - Czech Republic); Spanish Ministry of Economy and Competitiveness(Spanish Government); UK Space Agency</t>
  </si>
  <si>
    <t>This work has been supported by the Czech Science Foundation (Project 210/10/0467 and P210/12/P330) and a grant MSM0021620855 from the Ministry of Education of the Czech Republic. C.A. and J.W. were supported by grant CGL2010-16004 from the Spanish Ministry of Economy and Competitiveness.</t>
  </si>
  <si>
    <t>MARY ANN LIEBERT, INC</t>
  </si>
  <si>
    <t>NEW ROCHELLE</t>
  </si>
  <si>
    <t>140 HUGUENOT STREET, 3RD FL, NEW ROCHELLE, NY 10801 USA</t>
  </si>
  <si>
    <t>1531-1074</t>
  </si>
  <si>
    <t>1557-8070</t>
  </si>
  <si>
    <t>Astrobiology</t>
  </si>
  <si>
    <t>10.1089/ast.2012.0879</t>
  </si>
  <si>
    <t>Astronomy &amp; Astrophysics; Biology; Geosciences, Multidisciplinary</t>
  </si>
  <si>
    <t>Astronomy &amp; Astrophysics; Life Sciences &amp; Biomedicine - Other Topics; Geology</t>
  </si>
  <si>
    <t>057KH</t>
  </si>
  <si>
    <t>WOS:000312561600001</t>
  </si>
  <si>
    <t>Tremblin, P; Schneider, N; Minier, V; Durand, GA; Urban, J</t>
  </si>
  <si>
    <t>Tremblin, P.; Schneider, N.; Minier, V.; Durand, G. Al.; Urban, J.</t>
  </si>
  <si>
    <t>Worldwide site comparison for submillimetre astronomy</t>
  </si>
  <si>
    <t>ASTRONOMY &amp; ASTROPHYSICS</t>
  </si>
  <si>
    <t>site testing; submillimeter: general</t>
  </si>
  <si>
    <t>ATMOSPHERIC OPACITY; DOME C; MODEL; TRANSMISSION; MILLIMETER; STABILITY; ATM</t>
  </si>
  <si>
    <t>Aims. The most important limitation for ground-based submillimetre (submm) astronomy is the broad-band absorption of the total water vapour in the atmosphere above an observation site, often expressed as the precipitable water vapour (PWV). A long-term statistic on the PWV is thus mandatory to characterize the quality of an existing or potential site for observational submm-astronomy. In this study we present a three-year statistic (2008-2010) of the PWV for ground-based telescope sites all around the world and for stratospheric altitudes relevant for SOFIA (Stratospheric Observatory for Far-Infrared Astronomy). The submm-transmission is calculated for typical PWVs using an atmospheric model. Methods. We used data from IASI (Infrared Atmospheric Sounding Interferometer) on the Metop-A satellite to retrieve water vapour profiles for each site (11 in total, comprising Antarctica, Chile, Mauna Kea, Greenland, Tibet). The use of a single instrument to make the comparison provides unbiased data with a common calibration method. The profiles are integrated above the mountain/stratospheric altitude to get an estimation of the PWV. We then applied the atmospheric model MOLIERE (Microwave Observation and LIne Estimation and REtrieval) to compute the corresponding atmospheric absorption for wavelengths between 150 mu m and 3 mm. Results. We present the absolute PWV values for each site sorted by year and time percentage. The PWV corresponding to the first decile (10%) and the quartiles (25%, 50%, 75%) are calculated and transmission curves between 150 mu m and 3 mm for these values are shown. The Antarctic and South-American sites present very good conditions for submillimetre astronomy. The 350 mu m and 450 mu m atmospheric windows are open all year long, whereas the 200 mu m atmospheric window opens reasonably for 25% of the time in Antarctica and the extremely high-altitude sites in Chile. Potential interesting new facilities are Macon in Argentina and Summit in Greenland, which show similar conditions to for example, Mauna Kea (Hawaii). For SOFIA, we present transmission curves for different altitudes (11 to 14 km), PWV values, and higher frequencies (up to 5 THz) in more detail. Though the atmosphere at these altitude is generally very transparent, the absorption at very high frequencies becomes more important, partly caused by minor species. The method presented in this paper could identify sites on Earth, with great potential for submillimetre astronomy, and guide future site testing campaigns in situ.</t>
  </si>
  <si>
    <t>[Tremblin, P.; Schneider, N.; Minier, V.; Durand, G. Al.] Univ Paris Diderot, Lab AIM Paris Saclay, Ctr Etud Saclay, CEA Irfu,CNRS INSU, F-91191 Gif Sur Yvette, France; [Schneider, N.] Univ Bordeaux 1, CNRS, LAB, UMR 5804, F-33270 Floirac, France; [Urban, J.] Chalmers Univ Technol, Dept Earth &amp; Space Sci, S-41296 Gothenburg, Sweden</t>
  </si>
  <si>
    <t>Universite Paris Saclay; Centre National de la Recherche Scientifique (CNRS); CNRS - National Institute for Earth Sciences &amp; Astronomy (INSU); CEA; Universite Paris Cite; Centre National de la Recherche Scientifique (CNRS); CNRS - National Institute for Earth Sciences &amp; Astronomy (INSU); Universite de Bordeaux; Chalmers University of Technology</t>
  </si>
  <si>
    <t>Tremblin, P (corresponding author), Univ Paris Diderot, Lab AIM Paris Saclay, Ctr Etud Saclay, CEA Irfu,CNRS INSU, F-91191 Gif Sur Yvette, France.</t>
  </si>
  <si>
    <t>pascal.tremblin@cea.fr</t>
  </si>
  <si>
    <t>Schneider, Nicola/GPK-5451-2022; Urban, Jo/F-9172-2010</t>
  </si>
  <si>
    <t>Urban, Jo/0000-0001-7026-793X; Tremblin, Pascal/0000-0001-6172-3403; Schneider, Nicola/0000-0003-3485-6678</t>
  </si>
  <si>
    <t>0004-6361</t>
  </si>
  <si>
    <t>1432-0746</t>
  </si>
  <si>
    <t>ASTRON ASTROPHYS</t>
  </si>
  <si>
    <t>Astron. Astrophys.</t>
  </si>
  <si>
    <t>A65</t>
  </si>
  <si>
    <t>10.1051/0004-6361/201220420</t>
  </si>
  <si>
    <t>048HF</t>
  </si>
  <si>
    <t>WOS:000311901200065</t>
  </si>
  <si>
    <t>Goldwater, N; Perry, GLW; Clout, MN</t>
  </si>
  <si>
    <t>Goldwater, Nick; Perry, George L. W.; Clout, Mick N.</t>
  </si>
  <si>
    <t>Responses of house mice to the removal of mammalian predators and competitors</t>
  </si>
  <si>
    <t>AUSTRAL ECOLOGY</t>
  </si>
  <si>
    <t>body weight; density; house mouse; mainland island; predator and competitor release</t>
  </si>
  <si>
    <t>NEW-ZEALAND FORESTS; MOUSE MUS-MUSCULUS; STOATS MUSTELA-ERMINEA; SUB-ANTARCTIC ISLAND; RATS RATTUS-RATTUS; POPULATION ERUPTIONS; SHIP RATS; HABITAT; DIET; DYNAMICS</t>
  </si>
  <si>
    <t>Efforts to eradicate multiple mammal pests from offshore islands and fenced mainland habitat islands often fail to remove mice, and such failures can result in a dramatic change in the food-web whereby the removal of larger mammal pests facilitates a population explosion of mice through predator and competitor release. We investigated the ecological responses of house mice to the removal of mammalian predators from a 500-ha fenced sanctuary at Tawharanui, northern New Zealand. Data on population structure and body condition of mice trapped in 2007, in four habitat types within the sanctuary, were compared with baseline data collected in 2001, before mammal control operations commenced. We hypothesized that: (i) in the absence of mammalian predators mouse densities would increase in all habitat types that provide vegetation cover, and (ii) in the absence of mammalian competitors mice would become heavier due to greater access to food resources. Mouse densities were significantly higher in 2007 than in 2001 in three habitat types. The high density of mice in forest where none were trapped prior to control suggests a competitive release, in which mice profited from the removal of ship rats. No mice were caught in the presence of ship rats on a forest trap-line at a control site outside the sanctuary. Mice trapped in 2007 were significantly heavier than those trapped in 2001, and significantly heavier than mice trapped at the control site. Greater access to food in the absence of competing and predatory mammals probably explains the heavier body weight of Tawharanui mice. There has been a significant change in the mammalian food-web at Tawharanui, such that the house mouse is now the primary pest. A rapid and dramatic increase in mouse numbers is likely to adversely impact invertebrates and seedling recruitment, which in turn could affect ecosystem functions.</t>
  </si>
  <si>
    <t>[Goldwater, Nick] Wildland Consultants Ltd, Auckland 1011, New Zealand; [Perry, George L. W.; Clout, Mick N.] Univ Auckland, Sch Environm, Auckland 1, New Zealand; [Perry, George L. W.; Clout, Mick N.] Univ Auckland, Sch Biol Sci, Auckland 1, New Zealand</t>
  </si>
  <si>
    <t>University of Auckland; University of Auckland</t>
  </si>
  <si>
    <t>Goldwater, N (corresponding author), Wildland Consultants Ltd, POB 46 299, Auckland 1011, New Zealand.</t>
  </si>
  <si>
    <t>nick.goldwater@wildlands.co.nz</t>
  </si>
  <si>
    <t>Clout, Mick/0000-0003-2864-4628; Perry, George/0000-0001-9672-9135</t>
  </si>
  <si>
    <t>Auckland Council</t>
  </si>
  <si>
    <t>This research was funded by the Auckland Council. We thank Ezra Barwell for the previous research he conducted. Sandra Anderson, Jamie MacKay and two anonymous referees made helpful comments on earlier drafts of the manuscript. Staff at Wildland Consultants Ltd assisted with map production. Field research was conducted according to University of Auckland Animal Ethics Committee guidelines (AEC/09/2006/R505).</t>
  </si>
  <si>
    <t>1442-9985</t>
  </si>
  <si>
    <t>AUSTRAL ECOL</t>
  </si>
  <si>
    <t>Austral Ecol.</t>
  </si>
  <si>
    <t>10.1111/j.1442-9993.2011.02356.x</t>
  </si>
  <si>
    <t>041KK</t>
  </si>
  <si>
    <t>WOS:000311400500030</t>
  </si>
  <si>
    <t>Dobinski, W</t>
  </si>
  <si>
    <t>Dobinski, Wojciech</t>
  </si>
  <si>
    <t>PERMAFROST. THE CONTEMPORARY MEANING OF THE TERM AND ITS CONSEQUENCES</t>
  </si>
  <si>
    <t>BULLETIN OF GEOGRAPHY-PHYSICAL GEOGRAPHY SERIES</t>
  </si>
  <si>
    <t>permafrost; definition; processes; extend; origin and age</t>
  </si>
  <si>
    <t>ICE</t>
  </si>
  <si>
    <t>Nowadays the term 'permafrost' means the thermal state of the ground, for which the temperature limit value is 0 degrees C remaining for at least two years. It is the effect of the climate where the average annual temperature of the air is -1 degrees C or lower. As a result of air temperature, it does not need to contain ice, so it can no longer be called underground glaciation, and the only processes which are subject to permafrost are aggradation and degradation. Also the occurrence of permafrost in the geographical environment is conditioned neither by the presence of water nor its phase change - freezing, as the cryotic state is its synonym. Although it is known that the majority of permafrost dates back to the Pleistocene, still the determination of its age is difficult because it consists in determining 'the age of the temperature', as it were. The maximum thickness of permafrost occurs in the Antarctic, and it is estimated to reach 2600 m. Permafrost covers more than 25% of the Earth surface together with ice-sheets and ice-caps.</t>
  </si>
  <si>
    <t>[Dobinski, Wojciech] Univ Silesia, Fac Earth Sci, Dept Geomorphol, Bedzinska 60, PL-41200 Sosnowiec, Poland</t>
  </si>
  <si>
    <t>University of Silesia in Katowice</t>
  </si>
  <si>
    <t>Dobinski, W (corresponding author), Univ Silesia, Fac Earth Sci, Dept Geomorphol, Bedzinska 60, PL-41200 Sosnowiec, Poland.</t>
  </si>
  <si>
    <t>dobin@wnoz.us.edu.pl</t>
  </si>
  <si>
    <t>Dobinski, Wojciech/K-1428-2019; Dobinski, Wojciech/U-9317-2018</t>
  </si>
  <si>
    <t>Dobinski, Wojciech/0000-0002-6249-7273;</t>
  </si>
  <si>
    <t>DE GRUYTER POLAND SP ZOO</t>
  </si>
  <si>
    <t>BOGUMILA ZUGA 32A STR., 01-811 WARSAW, POLAND</t>
  </si>
  <si>
    <t>2080-7686</t>
  </si>
  <si>
    <t>2300-8490</t>
  </si>
  <si>
    <t>BULL GEOGR-PHYS GEOG</t>
  </si>
  <si>
    <t>Bull. Geogr.-Phys. Geogr. Ser.</t>
  </si>
  <si>
    <t>10.2478/v10250-012-0002-9</t>
  </si>
  <si>
    <t>V24DY</t>
  </si>
  <si>
    <t>WOS:000215138900002</t>
  </si>
  <si>
    <t>Ashford, J; Dinniman, M; Brooks, C; Andrews, AH; Hofmann, E; Cailliet, G; Jones, C; Ramanna, N</t>
  </si>
  <si>
    <t>Ashford, Julian; Dinniman, Michael; Brooks, Cassandra; Andrews, Allen H.; Hofmann, Eileen; Cailliet, Gregor; Jones, Christopher; Ramanna, Nakul</t>
  </si>
  <si>
    <t>Does large-scale ocean circulation structure life history connectivity in Antarctic toothfish (Dissostichus mawsoni)?</t>
  </si>
  <si>
    <t>CANADIAN JOURNAL OF FISHERIES AND AQUATIC SCIENCES</t>
  </si>
  <si>
    <t>PARTICLE-TRACKING SIMULATIONS; MESOSCALE-PREDICTION-SYSTEM; KRILL EUPHAUSIA-SUPERBA; RANDOM-WALK MODELS; ROSS SEA; CIRCUMPOLAR CURRENT; OTOLITH CHEMISTRY; SOUTHERN-OCEAN; BOTTOM WATER; ELEGINOIDES</t>
  </si>
  <si>
    <t>A multidisciplinary approach incorporating otolith chemistry, age data, and numerical Lagrangian particle simulations indicated a single, self-recruiting population of Antarctic toothfish (Dissostichus mawsoni) in the Southeast Pacific Basin (SPB) and Ross Sea, with a life history structured by the large-scale circulation. Chemistry deposited prior to capture along otolith edges demonstrated strong environmental heterogeneity, yet the chemistry in otolith nuclei, deposited during early life, showed no differences. Age data showed only adult fish in catches on the Pacific-Antarctic Ridge in the SPB and structuring of life stages consistent with transport pathways from the northern Ross Sea. Lagrangian particle simulations predicted that early life stages following the flow in the SPB would be transported to areas in the Ross Sea where juveniles are caught, whereas the circulation would facilitate adult movement along the shelf slope and back into the SPB where spawning adults are caught. These results suggest that successfully spawning fish spend only a part of their adult life history in the Ross Sea, areas in the eastern Ross Sea contribute disproportionately to the spawning population, and areas in the southwestern Ross Sea may supply fisheries in the southern Indian Ocean.</t>
  </si>
  <si>
    <t>[Ashford, Julian; Ramanna, Nakul] Old Dominion Univ, Ctr Quantitat Fisheries Ecol, Norfolk, VA 23508 USA; [Dinniman, Michael; Hofmann, Eileen] Old Dominion Univ, Ctr Coastal Phys Oceanog, Norfolk, VA 23508 USA; [Brooks, Cassandra; Andrews, Allen H.; Cailliet, Gregor] Moss Landing Marine Labs, Moss Landing, CA 95039 USA; [Andrews, Allen H.] NOAA Fisheries, Pacific Isl Fisheries Sci Ctr, Aeia, HI 96701 USA; [Jones, Christopher] NOAA SW Fisheries Sci Ctr, Antarctic Ecosyst Res Div, La Jolla, CA 92037 USA</t>
  </si>
  <si>
    <t>Old Dominion University; Old Dominion University; Moss Landing Marine Laboratories; National Oceanic Atmospheric Admin (NOAA) - USA; National Oceanic Atmospheric Admin (NOAA) - USA</t>
  </si>
  <si>
    <t>Ashford, J (corresponding author), Old Dominion Univ, Ctr Quantitat Fisheries Ecol, 800 W 46th St, Norfolk, VA 23508 USA.</t>
  </si>
  <si>
    <t>jashford@odu.edu</t>
  </si>
  <si>
    <t>Andrews, Allen H/G-3686-2016; Andrews, Allen Hia/AAA-8554-2019</t>
  </si>
  <si>
    <t>Andrews, Allen H/0000-0002-9001-8305; Andrews, Allen Hia/0000-0002-9001-8305; Dinniman, Michael/0000-0001-7519-9278; Brooks, Cassandra/0000-0002-1397-0394</t>
  </si>
  <si>
    <t>United States National Science Foundation [NSF-OPP-0338294]; NOAA AMLR; [ANT-0944174]</t>
  </si>
  <si>
    <t>United States National Science Foundation(National Science Foundation (NSF)); NOAA AMLR(National Oceanic Atmospheric Admin (NOAA) - USA);</t>
  </si>
  <si>
    <t>We thank personnel from the NOAA Antarctic Marine Living Resources Program (AMLR) and CCAMLR who organized and sampled the otoliths. The Woods Hole Oceanographic Institution kindly made available their Plasma Mass Spectrometry Facility, and Scot Birdwhistell provided technical support. Cynthia Jones, Director of CQFE at Old Dominion University, was instrumental in her advice and encouragement. John Klinck, Director of CCPO at Old Dominion University, Christian Reiss, currently at NOAA AMLR, and Patrick Gaffney and Kristen Kuhn at the University of Delaware also gave valuable insights and advice. Stuart Hanchet gave permission for use of the map and schematic in Fig. 1, and Christina Stover-Wiederwohl provided the bathymetry shown in Fig. 2a. Funding was through the United States National Science Foundation (NSF-OPP-0338294) and NOAA AMLR; support for M. Dinniman and E. Hofmann was provided by ANT-0944174.</t>
  </si>
  <si>
    <t>CANADIAN SCIENCE PUBLISHING, NRC RESEARCH PRESS</t>
  </si>
  <si>
    <t>OTTAWA</t>
  </si>
  <si>
    <t>1200 MONTREAL ROAD, BUILDING M-55, OTTAWA, ON K1A 0R6, CANADA</t>
  </si>
  <si>
    <t>0706-652X</t>
  </si>
  <si>
    <t>CAN J FISH AQUAT SCI</t>
  </si>
  <si>
    <t>Can. J. Fish. Aquat. Sci.</t>
  </si>
  <si>
    <t>10.1139/f2012-111</t>
  </si>
  <si>
    <t>054WR</t>
  </si>
  <si>
    <t>WOS:000312376600001</t>
  </si>
  <si>
    <t>Higher precision estimates of regional polar warming by ensemble regression of climate model projections</t>
  </si>
  <si>
    <t>CMIP3; CMIP5; Climate model; Arctic; Antarctic; Regional climate; Weighting; Observational constraint; Southern Ocean; Sea ice edge; Polar climate</t>
  </si>
  <si>
    <t>SOUTHERN-HEMISPHERE; UNCERTAINTY; REANALYSIS; TRENDS; FUTURE; NCEP; SIMULATIONS; PERFORMANCE; SURFACE; ERA-40</t>
  </si>
  <si>
    <t>This study presents projections of twenty-first century wintertime surface temperature changes over the high-latitude regions based on the third Coupled Model Inter-comparison Project (CMIP3) multi-model ensemble. The state-dependence of the climate change response on the present day mean state is captured using a simple yet robust ensemble linear regression model. The ensemble regression approach gives different and more precise estimated mean responses compared to the ensemble mean approach. Over the Arctic in January, ensemble regression gives less warming than the ensemble mean along the boundary between sea ice and open ocean (sea ice edge). Most notably, the results show 3 A degrees C less warming over the Barents Sea (similar to 7 A degrees C compared to similar to 10 A degrees C). In addition, the ensemble regression method gives projections that are 30 % more precise over the Sea of Okhostk, Bering Sea and Labrador Sea. For the Antarctic in winter (July) the ensemble regression method gives 2 A degrees C more warming over the Southern Ocean close to the Greenwich Meridian (similar to 7 A degrees C compared to similar to 5 A degrees C). Projection uncertainty was almost half that of the ensemble mean uncertainty over the Southern Ocean between 30A degrees W to 90A degrees E and 30 % less over the northern Antarctic Peninsula. The ensemble regression model avoids the need for explicit ad hoc weighting of models and exploits the whole ensemble to objectively identify overly influential outlier models. Bootstrap resampling shows that maximum precision over the Southern Ocean can be obtained with ensembles having as few as only six climate models.</t>
  </si>
  <si>
    <t>[Bracegirdle, Thomas J.] British Antarctic Survey, Cambridge CB3 0ET, England; [Stephenson, David B.] Univ Exeter, Math Res Inst, Exeter, Devon, England; [Stephenson, David B.] NCAS Climate, Reading, Berks, England</t>
  </si>
  <si>
    <t>UK Research &amp; Innovation (UKRI); Natural Environment Research Council (NERC); NERC British Antarctic Survey; University of Exeter; University of Reading; UK Research &amp; Innovation (UKRI); Natural Environment Research Council (NERC); NERC National Centre for Atmospheric Science</t>
  </si>
  <si>
    <t>Stephenson, David B/A-9903-2011; Bracegirdle, Tom/AAD-6060-2020</t>
  </si>
  <si>
    <t>Natural Environment Research Council; Office of Science, U.S. Department of Energy; NERC [bas0100023] Funding Source: UKRI; Natural Environment Research Council [bas0100023] Funding Source: researchfish</t>
  </si>
  <si>
    <t>Natural Environment Research Council(UK Research &amp; Innovation (UKRI)Natural Environment Research Council (NERC)); Office of Science, U.S. Department of Energy(United States Department of Energy (DOE));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</si>
  <si>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the Natural Environment Research Council. Two anonymous authors are thanked for their useful comments, which helped to significantly improve the manuscript. We acknowledge the modeling groups for making their simulations available for analysis, the Program for Climate Model Diagnosis and Inter-comparison (PCMDI) for collecting and archiving the CMIP3 model output, and the WCRP's Working Group on Coupled Modelling (WGCM) for organizing the model data analysis activity. The WCRP CMIP3 multimodel data set is supported by the Office of Science, U.S. Department of Energy. The European Centre for Medium Range Weather Forecasting are thanked for providing the ERA-40 and ERA-Interim datasets.</t>
  </si>
  <si>
    <t>10.1007/s00382-012-1330-3</t>
  </si>
  <si>
    <t>038VV</t>
  </si>
  <si>
    <t>WOS:000311203100004</t>
  </si>
  <si>
    <t>Lei, RB; Leppäranta, M; Cheng, B; Heil, P; Li, ZJ</t>
  </si>
  <si>
    <t>Lei, Ruibo; Lepparanta, Matti; Cheng, Bin; Heil, Petra; Li, Zhijun</t>
  </si>
  <si>
    <t>Changes in ice-season characteristics of a European Arctic lake from 1964 to 2008</t>
  </si>
  <si>
    <t>NORTH-ATLANTIC OSCILLATION; BREAK-UP; AIR TEMPERATURES; BALTIC SEA; DATES; HEMISPHERE; PHENOLOGY; FINLAND; REGION; TRENDS</t>
  </si>
  <si>
    <t>The long-term ice record (from 1964 to 2008) of an Arctic lake in northern Europe (Lake Kilpisjarvi) reveals the response of lake ice to climate change at local and regional scales. Average freeze-up and ice breakup occurred on 9 November and 19 June, respectively. The freeze-up has been significantly delayed at a rate of 2.3 d per decade from 1964 onward (P &lt; 0.05). No significant change has taken place in ice breakup. Annual average ice thickness has become smaller since the mid-1980s (P &lt; 0.05). Air temperature during the early ice season significantly affected the ice thickness. The freeze-up date exhibits the highest correlation with the 2-month average daily minimum air temperature centered at the end of October, while the ice breakup date exhibits the highest correlation with the 2-month average daily maximal air temperature centered in mid May. A 1A degrees C increase in the surface air temperature corresponds to a freeze-up later by 3.4 days and an ice breakup earlier by 3.6 days. Snow cover is a critical factor in lake-ice climatology. For cumulative November to March precipitation of less than 0.13 m, the insulating effect of the snow dominated, while higher rates of precipitation favored thicker ice due to the formation of snow ice. Variations in ice records of Lake Kilpisjarvi can serve as an indicator of climate variations across the northern Europe. The North Atlantic Oscillation (NAO) does not significantly affect the ice season there, although both the local air temperatures and winter precipitation contain a strong NAO signal.</t>
  </si>
  <si>
    <t>[Lei, Ruibo] Polar Res Inst China, Shanghai 200136, Peoples R China; [Lei, Ruibo; Lepparanta, Matti] Univ Helsinki, Dept Phys, FI-00014 Helsinki, Finland; [Cheng, Bin] Finnish Meteorol Inst, FI-00101 Helsinki, Finland; [Heil, Petra] Univ Tasmania, Australian Antarctic Div, Hobart, Tas 7001, Australia; [Heil, Petra] Univ Tasmania, Antarctic Climate &amp; Ecosyst Cooperat Res Ctr, Hobart, Tas 7001, Australia; [Li, Zhijun] Dalian Univ Technol, State Key Lab Coastal &amp; Offshore Engn, Dalian 116024, Peoples R China</t>
  </si>
  <si>
    <t>Polar Research Institute of China; University of Helsinki; Finnish Meteorological Institute; University of Tasmania; Australian Antarctic Division; University of Tasmania; Antarctic Climate &amp; Ecosystems Cooperative Research Centre (ACE CRC); Dalian University of Technology</t>
  </si>
  <si>
    <t>Lei, RB (corresponding author), Polar Res Inst China, 451 Jiqiao, Shanghai 200136, Peoples R China.</t>
  </si>
  <si>
    <t>leiruibo@pric.gov.cn; matti.lepparanta@helsinki.fi; Bin.Cheng@fmi.fi; p_heil@postoffice.utas.edu.au; lizhijun@dlut.edu.cn</t>
  </si>
  <si>
    <t>Li, Zhijun/A-5299-2019; Cheng, Bin/D-4354-2013; Lepparanta, Matti/M-7507-2017</t>
  </si>
  <si>
    <t>Li, Zhijun/0000-0002-2897-0450; Cheng, Bin/0000-0001-8156-8412; Lepparanta, Matti/0000-0002-4754-5564; Heil, Petra/0000-0003-2078-0342</t>
  </si>
  <si>
    <t>Academy of Finland [116905, 140939]; National Natural Science Foundation of China [40930848, 41106160]; CIMO scholarship from the Ministry of Education in Finland; Australian Government's Cooperative Research Centre Program; Academy of Finland (AKA) [116905, 140939] Funding Source: Academy of Finland (AKA)</t>
  </si>
  <si>
    <t>Academy of Finland(Research Council of Finland); National Natural Science Foundation of China(National Natural Science Foundation of China (NSFC)); CIMO scholarship from the Ministry of Education in Finland; Australian Government's Cooperative Research Centre Program(Australian GovernmentDepartment of Industry, Innovation and ScienceCooperative Research Centres (CRC) Programme); Academy of Finland (AKA)(Research Council of Finland)</t>
  </si>
  <si>
    <t>This work was supported by the Academy of Finland (grant nos. 116905 and 140939) and the National Natural Science Foundation of China (grant nos. 40930848 and 41106160). RL was supported by a CIMO scholarship from the Ministry of Education in Finland. PH was supported by the Australian Government's Cooperative Research Centre Program. Ice records of Lake Kilpisjarvi were provided by the Finnish Environment Center. Atmospheric data from the Kilpisjarvi Biological Station and Enontekio Kilpisjarvi Kylakeskus were provided by the Finnish Meteorological Institute. Two anonymous reviewers are thanked for their comments, which considerably improved this work. Dr. S. Lake is thanked for grammatical check on our manuscript.</t>
  </si>
  <si>
    <t>10.1007/s10584-012-0489-2</t>
  </si>
  <si>
    <t>032TI</t>
  </si>
  <si>
    <t>WOS:000310741600016</t>
  </si>
  <si>
    <t>Bailey, E; Samrnonds, PR; Feltham, DL</t>
  </si>
  <si>
    <t>Bailey, Eleanor; Samrnonds, P. R.; Feltham, D. L.</t>
  </si>
  <si>
    <t>The consolidation and bond strength of rafted sea ice</t>
  </si>
  <si>
    <t>Rafted sea ice; Consolidation; Ice shear strength; Ice bond strength</t>
  </si>
  <si>
    <t>THICKNESS; SNOW</t>
  </si>
  <si>
    <t>The consolidation and bond strength of rafted sea ice were investigated through a series of experiments undertaken in the Ice Physics Laboratory at the UCL. To simulate a section of rafted sea ice, blocks of laboratory grown saline ice were stacked in an insulated tank with spacers between adjacent blocks to allow saline water to flood in. The rate of consolidation was then monitored using a combination of temperature readings recorded in the ice and liquid layer, salinity measurements of the liquid layer, and cores taken at specific times of interest. Two states of consolidation were observed: thermodynamic consolidation where the ice blocks were physically bonded but the bond strength was weak, and mechanical consolidation where the bond had reached full strength. Results showed that the rafted ice had physically bonded in less than a day, however it took many more days (6 to 30 depending on the environmental conditions) for the bond to reach maximum strength. Increasing the thickness of the ice, the salinity of the water and the inter-block gap size all increased the consolidation time. Once consolidated, ice cores were taken and sheared using the asymmetric four-point bending method to measure the strength of the bond between the ice blocks. These were then compared to the shear strength of solid ice blocks simulating level sea ice. Our results show that the shear strength of the bond between the rafted ice blocks is about 30% weaker than that of level ice. (C) 2012 Elsevier B.V. All rights reserved.</t>
  </si>
  <si>
    <t>[Bailey, Eleanor; Samrnonds, P. R.] UCL, Dept Earth Sci, Rock &amp; Ice Phys Lab, London, England; [Samrnonds, P. R.; Feltham, D. L.] UCL, Dept Earth Sci, Ctr Polar Observat &amp; Modelling, London, England; [Feltham, D. L.] British Antarctic Survey, Cambridge CB3 0ET, England</t>
  </si>
  <si>
    <t>University of London; University College London; University of London; University College London; UK Research &amp; Innovation (UKRI); Natural Environment Research Council (NERC); NERC British Antarctic Survey</t>
  </si>
  <si>
    <t>Bailey, E (corresponding author), C CORE, Morrissey Rd, St John, NF, Canada.</t>
  </si>
  <si>
    <t>Eleanor.bailey@c-core.ca</t>
  </si>
  <si>
    <t>Feltham, Daniel/0000-0003-2289-014X</t>
  </si>
  <si>
    <t>U.K. National Environmental Research Council; UCL Graduate School; Natural Environment Research Council [bas0100028] Funding Source: researchfish; NERC [bas0100028] Funding Source: UKRI</t>
  </si>
  <si>
    <t>U.K. National Environmental Research Council; UCL Graduate School; Natural Environment Research Council(UK Research &amp; Innovation (UKRI)Natural Environment Research Council (NERC)); NERC(UK Research &amp; Innovation (UKRI)Natural Environment Research Council (NERC))</t>
  </si>
  <si>
    <t>The authors would like to thank Steve Boon, John Bowles and Neil Hughes of the Rock and Ice Physics Laboratory at UCL for technical support throughout the study and the British Antarctic Survey and the Hamburgische Schiffbau-Versuchsanstalt (HSVA) for loaning of augers. This research was supported by the U.K. National Environmental Research Council and the UCL Graduate School.</t>
  </si>
  <si>
    <t>83-84</t>
  </si>
  <si>
    <t>10.1016/j.coldregions.2012.06.002</t>
  </si>
  <si>
    <t>013MD</t>
  </si>
  <si>
    <t>WOS:000309308600006</t>
  </si>
  <si>
    <t>Hausmann, U; Czaja, A</t>
  </si>
  <si>
    <t>Hausmann, Ute; Czaja, Arnaud</t>
  </si>
  <si>
    <t>The observed signature of mesoscale eddies in sea surface temperature and the associated heat transport</t>
  </si>
  <si>
    <t>DEEP-SEA RESEARCH PART I-OCEANOGRAPHIC RESEARCH PAPERS</t>
  </si>
  <si>
    <t>Mesoscale; Sea surface temperature; Mixed-layer heat transport; Gulf Stream; Antarctic circumpolar current; Eddy-tracking</t>
  </si>
  <si>
    <t>GULF-STREAM; SOUTHERN-OCEAN; NORTH PACIFIC; CYCLONIC RING; EDDY; VARIABILITY; ANOMALIES; PROPAGATION; CIRCULATION; EVOLUTION</t>
  </si>
  <si>
    <t>An estimate of the signature of mesoscale motions in sea surface temperature (SST) is provided for the North Atlantic and the Southern Ocean by analysing the relationship between satellite microwave SST and multi-altimeter sea surface height (SSH) observations. After a preliminary analysis at fixed location, the study focuses on the SST/SSH relationship following eddy tracks. At fixed location, the clearest signature of mesoscale motions in SST is found in regions of large SSH variability, roughly coincident with the major fronts of the Gulf Stream and the Antarctic Circumpolar Current (ACC). Large-scale, likely atmospherically forced, variability masks a major part of the mesoscale signature in SST in more quiescent parts of the World Ocean. Following eddy tracks allows us to detect the signature of mesoscale motions in SST even in regions of weak SSH variability. The track-following analysis reveals robust westward phase shifts of the eddies' SST anomalies with respect to their rotating cores in all regions. In energetic regions, the observed intense warm-top anticyclones and cold-top cyclones are only nearly in-phase, whereas in quiet regions, weaker SST signatures are almost in quadrature with the eddies' SSH. Propagating eddies are found to flux heat poleward in the mixed-layer over a broad range of oceanic regimes and the size of this heat transport is particularly significant in the ACC region ( &gt;= 0.2 PW). Although eddy shedding from major currents is appealing as a mechanism for heat transport (drift heat transport), we find that the poleward (equatorward) motion of warm anticyclones (cold cyclones) produces a much weaker poleward heat transport in the mixed layer than that resulting from the westward phase shift between SST and SSH fluctuations (swirl heat transport). Associated diffusivities, modest in quiescent interiors (kappa &lt; 1000 m(2) s(-1)), intermediate in the ACC (1200 m(2) s(-1)) and large in the Gulf Stream (similar or equal to 3000 m(2) s(-1)), thus primarily reflect the eddy swirl heat transport. (C) 2012 Elsevier Ltd. All rights reserved.</t>
  </si>
  <si>
    <t>[Hausmann, Ute; Czaja, Arnaud] Univ London Imperial Coll Sci Technol &amp; Med, Dept Phys, Space &amp; Atmospher Phys Grp, London SW7 2BW, England</t>
  </si>
  <si>
    <t>Imperial College London</t>
  </si>
  <si>
    <t>Hausmann, U (corresponding author), Univ London Imperial Coll Sci Technol &amp; Med, Dept Phys, Space &amp; Atmospher Phys Grp, London SW7 2BW, England.</t>
  </si>
  <si>
    <t>uh07@imperial.ac.uk</t>
  </si>
  <si>
    <t>Czaja, Arnaud/0000-0003-3645-0284; Hausmann, Ute/0000-0003-2753-5710</t>
  </si>
  <si>
    <t>NASA Earth Science MEaSUREs DISCOVER Project; AMSR-E Science Team; Grantham Institute for Climate Change, Imperial College London</t>
  </si>
  <si>
    <t>We greatly thank Dudley Chelton for his valuable comments and kindly providing the eddy dataset, available at http://cioss.coas.oregonstate.edu/eddies. AMSR-E data, available at www.remss.comare produced by Remote Sensing Systems and sponsored by the NASA Earth Science MEaSUREs DISCOVER Project and the AMSR-E Science Team. We also thank Peter Cornillon and two other anonymous reviewers for their insightful and helpful comments which greatly improved the manuscript. The altimeter products were produced by Ssalto/Duacs and distributed by Aviso, with support from Cnes (http://www.aviso.oceanobs.com/duacs/). U. Hausmann was funded by the Grantham Institute for Climate Change, Imperial College London.</t>
  </si>
  <si>
    <t>0967-0637</t>
  </si>
  <si>
    <t>1879-0119</t>
  </si>
  <si>
    <t>DEEP-SEA RES PT I</t>
  </si>
  <si>
    <t>Deep-Sea Res. Part I-Oceanogr. Res. Pap.</t>
  </si>
  <si>
    <t>10.1016/j.dsr.2012.08.005</t>
  </si>
  <si>
    <t>052DW</t>
  </si>
  <si>
    <t>WOS:000312178900006</t>
  </si>
  <si>
    <t>Usui, T; Alexander, CMO; Wang, JH; Simon, JI; Jones, JH</t>
  </si>
  <si>
    <t>Usui, Tomohiro; Alexander, Conel M. O'D.; Wang, Jianhua; Simon, Justin I.; Jones, John H.</t>
  </si>
  <si>
    <t>Origin of water and mantle-crust interactions on Mars inferred from hydrogen isotopes and volatile element abundances of olivine-hosted melt inclusions of primitive shergottites</t>
  </si>
  <si>
    <t>mantle-crust interaction; primordial Martian water; olivine-hosted melt inclusion; volatile element; hydrogen isotope; ion microprobe</t>
  </si>
  <si>
    <t>LARKMAN NUNATAK 06319; MARTIAN MANTLE; TERRESTRIAL PLANETS; SNC METEORITES; ACCRETION HISTORY; SILICATE-GLASSES; OXYGEN FUGACITY; CARBON; DIFFERENTIATION; BASALTS</t>
  </si>
  <si>
    <t>Volatile elements have influenced the differentiation and eruptive behavior of Martian magmas and played an important role in the evolution of Martian climate and near-surface environments. However, the abundances of volatiles, and in particular the amount of water in the Martian interior, are disputed. A record of volatile reservoirs is contained in primitive Martian basalts (shergottites). Olivine-hosted melt inclusions from a geochemically depleted shergottite (Yamato 980459, representing a very primitive Martian melt) possess undegassed water with a chondritic and Earth-like D/H ratio (delta D &lt;= 275%). Based on volatile measurements in these inclusions, the water content of the depleted shergottite mantle is calculated to be 15-47 ppm, which is consistent with the dry mantle hypothesis. In contrast to D/H in the depleted shergottite, melt from an enriched shergottite (Larkman Nunatak 06319), which either formed by melting of an enriched mantle or by assimilation of crust, exhibits an extreme delta D of similar to 5000 parts per thousand, indicative of a surface reservoir (e.g., the Martian atmosphere or crustal hydrosphere). These data provide strong evidence that the Martian mantle had retained the primordial low-delta D component until at least the time of shergottite formation, and that young Martian basalts assimilated old Martian crust. (C) 2012 Elsevier B.V. All rights reserved.</t>
  </si>
  <si>
    <t>[Usui, Tomohiro; Simon, Justin I.; Jones, John H.] NASA, Astromat Res &amp; Explorat Sci Directorate, Johnson Space Center, Houston, TX 77058 USA; [Usui, Tomohiro] Lunar &amp; Planetary Inst, Houston, TX 77058 USA; [Alexander, Conel M. O'D.; Wang, Jianhua] Carnegie Inst Sci, Dept Terr Magnetism, Washington, DC 20015 USA</t>
  </si>
  <si>
    <t>National Aeronautics &amp; Space Administration (NASA); NASA Johnson Space Center; Carnegie Institution for Science</t>
  </si>
  <si>
    <t>Usui, T (corresponding author), Tokyo Inst Technol, Dept Earth &amp; Planetary Sci, Meguro Ku, 12-18,2-12-1 Ookayama, Tokyo 1528551, Japan.</t>
  </si>
  <si>
    <t>tomohirousui@geo.titech.ac.jp</t>
  </si>
  <si>
    <t>Alexander, Conel M. O'D./N-7533-2013; Wang, Jianhua/D-6500-2011; Jones, Brian/B-8792-2016; jones, john/IQW-0502-2023; Usui, Tomohiro/G-1204-2010; Simon, Justin/D-7015-2011</t>
  </si>
  <si>
    <t>Alexander, Conel M. O'D./0000-0002-8558-1427; Wang, Jianhua/0000-0002-7671-2413; Usui, Tomohiro/0000-0002-4653-293X;</t>
  </si>
  <si>
    <t>NASA; Astrobiology Institute</t>
  </si>
  <si>
    <t>NASA(National Aeronautics &amp; Space Administration (NASA)); Astrobiology Institute</t>
  </si>
  <si>
    <t>The NASA Antarctic Meteorite Collection and Curation group and the National Institute of Polar Research, Japan, are thanked for providing the shergottite samples. We are grateful to A.M. Davis, F.M. McCubbin and an anonymous reviewer for constructive reviews, and T.M. Harrison for editorial handling. This work was supported by a NASA Mars Fundamental Research Program grant to TU, a NASA Cosmochemistry Program grant to JJ, and by the Astrobiology Institute grant to CIW for CA and JW.</t>
  </si>
  <si>
    <t>10.1016/j.epsl.2012.09.008</t>
  </si>
  <si>
    <t>058GH</t>
  </si>
  <si>
    <t>WOS:000312621600012</t>
  </si>
  <si>
    <t>Mazaud, A; Channell, JET; Stoner, JS</t>
  </si>
  <si>
    <t>Mazaud, A.; Channell, J. E. T.; Stoner, J. S.</t>
  </si>
  <si>
    <t>Relative paleointensity and environmental magnetism since 1.2 Ma at IODP site U1305 (Eirik Drift, NW Atlantic)</t>
  </si>
  <si>
    <t>IODP; relative paleointensity; environmental magnetism; Eirik Drift; North West Atlantic</t>
  </si>
  <si>
    <t>PRINGLE FALLS EXCURSION; DEEP LABRADOR-SEA; NORTH-ATLANTIC; GEOMAGNETIC PALEOINTENSITY; SOUTHERN GREENLAND; POLARITY TRANSITIONS; ICE-SHEET; SEDIMENTS; FIELD; KA</t>
  </si>
  <si>
    <t>Integrated Ocean Drilling Program (IODP) Expedition 303 to the North Atlantic in 2004 recovered rapidly deposited deep-sea sediments at IODP Site U1305 on Eirik Drift, located south of Greenland at 3460 m water depth, along the path of the Western Boundary Under Current (WBUC). About 200 m of sediment was sampled with u-channels from the composite section, providing a continuous record of paleomagnetic field directions and relative paleointensity (RPI) variations covering the past 1.2 Myr. The age model, based on an oxygen isotope record, is consistent with the fit of the RPI record to a calibrated template, and indicates higher sedimentation rates during interglacials relative to glacial epochs. Magnetite grain-size and concentration proxies indicate higher concentrations of magnetite with larger grain sizes during interglacials. Enhanced interglacial deposition can be attributed to a combination of elevated entrainment of terrigenous detritus into the WBUC due to glacial retreat on continents flanking the upstream path of the WBUC (east Greenland and Iceland), and of increased bottom current (WBUC) vigor leading to elevated transport and deposition at the site during interglacials. This pattern is opposite to observations of flow of the Antarctic circum polar current (ACC) in the south Indian Ocean, which suggests an inter-hemispheric antiphase in marine circulation at the Milankovitch scale, with strong circulation in the deep North Atlantic when the ACC is weak, and vice versa. (C) 2012 Elsevier B.V. All rights reserved.</t>
  </si>
  <si>
    <t>[Mazaud, A.] Domaine CNRS, CEA CNRS UVSQ, Lab Sci Climat &amp; Environm, F-91198 Gif Sur Yvette, France; [Channell, J. E. T.] Univ Florida, Dept Geol Sci, Gainesville, FL 32611 USA; [Stoner, J. S.] Oregon State Univ, Coll Ocean &amp; Atmospher Sci, Corvallis, OR 97331 USA</t>
  </si>
  <si>
    <t>CEA; Centre National de la Recherche Scientifique (CNRS); Universite Paris Saclay; State University System of Florida; University of Florida; Oregon State University</t>
  </si>
  <si>
    <t>Mazaud, A (corresponding author), Domaine CNRS, CEA CNRS UVSQ, Lab Sci Climat &amp; Environm, F-91198 Gif Sur Yvette, France.</t>
  </si>
  <si>
    <t>alain.mazaud@lsce.ipsl.fr</t>
  </si>
  <si>
    <t>French Commissariat a l'Energie Atomique (CEA); Centre National de la Recherche Scientifique (CNRS); US National Science Foundation [OCE 0850413, OCE 1014506]; Integrated Ocean Drilling Program; Directorate For Geosciences; Division Of Earth Sciences [1014506] Funding Source: National Science Foundation; Directorate For Geosciences; Division Of Ocean Sciences [0929066] Funding Source: National Science Foundation; Division Of Ocean Sciences; Directorate For Geosciences [0850413] Funding Source: National Science Foundation</t>
  </si>
  <si>
    <t>French Commissariat a l'Energie Atomique (CEA)(French Atomic Energy Commission); Centre National de la Recherche Scientifique (CNRS)(Centre National de la Recherche Scientifique (CNRS)); US National Science Foundation(National Science Foundation (NSF)); Integrated Ocean Drilling Program; Directorate For Geosciences; Division Of Earth Sciences(National Science Foundation (NSF)NSF - Directorate for Geosciences (GEO)); Directorate For Geosciences; Division Of Ocean Sciences(National Science Foundation (NSF)NSF - Directorate for Geosciences (GEO)); Division Of Ocean Sciences; Directorate For Geosciences(National Science Foundation (NSF)NSF - Directorate for Geosciences (GEO))</t>
  </si>
  <si>
    <t>Laboratory investigations were funded by the French Commissariat a l'Energie Atomique (CEA) and the Centre National de la Recherche Scientifique (CNRS) and US National Science Foundation Grants OCE 0850413 and OCE 1014506. Participation in IODP Expedition 303/306 was funded by the Integrated Ocean Drilling Program. Thanks to anonymous reviewer :3 for helpful suggestions and remarks, which improved the manuscript. Data are available in a Supplementary material file. This is LSCE contribution no 4832.</t>
  </si>
  <si>
    <t>10.1016/j.epsl.2012.09.037</t>
  </si>
  <si>
    <t>WOS:000312621600014</t>
  </si>
  <si>
    <t>Cook, SJ; Swift, DA</t>
  </si>
  <si>
    <t>Cook, Simon J.; Swift, Darrel A.</t>
  </si>
  <si>
    <t>Subglacial basins: Their origin and importance in glacial systems and landscapes</t>
  </si>
  <si>
    <t>EARTH-SCIENCE REVIEWS</t>
  </si>
  <si>
    <t>Glacier dynamics; Glacier hydrology; Overdeepening; Glacial geomorphology; Landscape evolution; Climate sensitivity</t>
  </si>
  <si>
    <t>ANTARCTIC ICE-SHEET; RICH BASAL ICE; SEDIMENT-TRANSPORT PATHWAYS; WATER-LEVEL VARIATIONS; FREEZE-ON MECHANISM; PINE ISLAND GLACIER; SEA-LEVEL; MATANUSKA GLACIER; EAST ANTARCTICA; OUTLET GLACIERS</t>
  </si>
  <si>
    <t>Closed topographic basins are found beneath contemporary ice masses and within the footprint of former ice masses in all glaciated regions. We present the first integrated review of subglacial basin occurrence and formation and the implications of such basins for glaciological processes and the evolution of landscape. Our purpose is to motivate research in areas where understanding of basin origin and process significance is weak. Basins on the order of 10-10(2) m deep and 10(2)-10(3) m long are produced by glacial erosion of subglacial rock and/or sediment and are known as 'overdeepenings'. Outlet and valley glaciers can 'overdeepen' their beds far below sea level or local fluviatile base level. Larger basins, typically in ice sheet contexts, may have a pre-glacial (usually tectonic) origin. Subglacial basins are important glaciologically because they require ice, water and sediment to ascend an adverse subglacial slope in order to exit the glacial system, the efficiency of which is dependent upon the gradient of the adverse slope and that of the ice surface. Basins thus influence subglacial drainage system morphology and transmissivity, the thickness and distribution of basal ice and sediment layers, and the mechanisms and dynamics of ice flow. Adverse gradients that exceed 11 times that of the ice surface may even permit the formation of subglacial lakes. We speculate that, in comparison to ice masses with few or no subglacial basins, those with numerous or very large basins may respond to climatic changes with unexpected vigour. In addition, erosion rates and transport pathways of water and sediment through the glacial system, and the expression of these processes in the sediment and landform record, may be unexpectedly complex. Further, our review shows that, in a warming climate, ice masses resting on adverse slopes will be vulnerable to rapid and potentially catastrophic retreat; new lakes in subglacial basins exposed by mountain glacier retreat will present an increasing hazard; and subglacial lakes may drain catastrophically. On even longer time scales, we speculate that the glacial excavation and post-glacial filling of basins in mountainous regions should contribute importantly to climate-related changes in isostasy and relief. Although the controls on overdeepening and their influence on other glacial and landscape processes remain uncertain, we hypothesise that overdeepened glacial systems reflect an equilibrium ice-bed geometry that maximises the efficiency of ice discharge. Improved understanding of overdeepening processes, especially overdeepened-bed hydrology, is therefore necessary to understand fully the dynamic behaviour of valley and outlet glaciers, and thus the fate of Earth's largest ice masses. (C) 2012 Elsevier B.V. All rights reserved.</t>
  </si>
  <si>
    <t>[Cook, Simon J.] Aberystwyth Univ, Ctr Glaciol, Inst Geog &amp; Earth Sci, Ceredigion SY23 3DB, Wales; [Swift, Darrel A.] Univ Sheffield, Dept Geog, Sheffield S10 2TN, S Yorkshire, England</t>
  </si>
  <si>
    <t>Aberystwyth University; University of Sheffield</t>
  </si>
  <si>
    <t>Cook, SJ (corresponding author), Manchester Metropolitan Univ, Sch Sci &amp; Environm, Chester St, Manchester M1 5GD, Lancs, England.</t>
  </si>
  <si>
    <t>basalice@gmail.com; d.a.swift@sheffield.ac.uk</t>
  </si>
  <si>
    <t>Cook, Simon/J-2393-2012; Cook, Simon/AAP-9358-2021; Swift, Darrel A/A-3476-2009</t>
  </si>
  <si>
    <t>Cook, Simon/0000-0003-1532-6532; Cook, Simon/0000-0003-1532-6532; Swift, Darrel A/0000-0001-5320-5104</t>
  </si>
  <si>
    <t>Natural Environment Research Council; BP/The Royal Society of Edinburgh; Royal Geographical Society; Carnegie Trust for the Universities of Scotland; Carnegie Trust for the Universities of Keele; Carnegie Trust for the Universities of Aberystwyth Universities; Universities of Glasgow; Universities of Sheffield; C3W (the Climate Change Consortium for Wales)</t>
  </si>
  <si>
    <t>Natural Environment Research Council(UK Research &amp; Innovation (UKRI)Natural Environment Research Council (NERC)); BP/The Royal Society of Edinburgh; Royal Geographical Society; Carnegie Trust for the Universities of Scotland; Carnegie Trust for the Universities of Keele; Carnegie Trust for the Universities of Aberystwyth Universities; Universities of Glasgow; Universities of Sheffield; C3W (the Climate Change Consortium for Wales)</t>
  </si>
  <si>
    <t>This work evolved gradually from long-held interests in glacial erosional and hydrological processes and we acknowledge the many friends, colleagues and co-workers who, by giving up their valuable time to work with us in the field, read drafts of this manuscript, or engage in discussion over a beer, have contributed so importantly to the development of many of the ideas presented herein. In particular, we acknowledge the insightful and detailed comments on earlier drafts of this paper from Urs H. Fischer, Mike Hambrey, Chris Clark and Phil O'Brien. Special thanks are extended to Mike Hambrey for allowing us to finalise the submitted manuscript in quiet rural splendour - and surrounded by overdeepenings - at his house in the northern English Lake District, and to Chris Clark for suggesting impolite terminology for the glacial process implications of adverse slopes. Neil Ross, Robin Bell, Martin Siegert, Neil Glasser, David Evans, David Vaughan, Urs H. Fischer, Eyjolfur Magnusson, Mike Hambrey, Adrian Jenkins and Holger Frey kindly agreed to allow us to reproduce published figures; Paul Coles assisted with figure production. We gratefully acknowledge various institutions who have supported our research, including the Natural Environment Research Council, BP/The Royal Society of Edinburgh, the Royal Geographical Society, the Carnegie Trust for the Universities of Scotland, Keele and Aberystwyth Universities, the Universities of Glasgow and Sheffield, and C3W (the Climate Change Consortium for Wales). Finally, we thank two anonymous reviewers for their constructive reviews of this manuscript.</t>
  </si>
  <si>
    <t>0012-8252</t>
  </si>
  <si>
    <t>1872-6828</t>
  </si>
  <si>
    <t>EARTH-SCI REV</t>
  </si>
  <si>
    <t>Earth-Sci. Rev.</t>
  </si>
  <si>
    <t>10.1016/j.earscirev.2012.09.009</t>
  </si>
  <si>
    <t>071QJ</t>
  </si>
  <si>
    <t>WOS:000313609000008</t>
  </si>
  <si>
    <t>Keeley, NB; Forrest, BM; Crawford, C; Macleod, CK</t>
  </si>
  <si>
    <t>Keeley, Nigel B.; Forrest, Barrie M.; Crawford, Christine; Macleod, Catriona K.</t>
  </si>
  <si>
    <t>Exploiting salmon farm benthic enrichment gradients to evaluate the regional performance of biotic indices and environmental indicators</t>
  </si>
  <si>
    <t>Marine aquaculture; Organic enrichment; Eco-Group classifications; Impact assessment; Ecological quality status; Seabed monitoring; Marlborough Sounds, New Zealand</t>
  </si>
  <si>
    <t>PROFESSIONAL JUDGMENT; ECOLOGICAL STATUS; ORGANIC ENRICHMENT; QUALITY; IMPACT; DIVERSITY; COASTAL; ESTUARINE; BAY; APPLICABILITY</t>
  </si>
  <si>
    <t>This study evaluates five benthic indicators (total abundance, number of taxa, redox potential, total free sulfides, total organic matter) and ten biotic indices (Margalef's d. Peilou's J', Shannon H', AMBI, M-AMBI, MEDOCC, BENTIX, BOPA, ITI, BQI), to identify those that best define organic enrichment gradients under different flow regimes. Performance was measured against Enrichment Stage (ES), a continuous variable characterising the full range of sediment conditions (natural to azoic). None of the 15 metrics were able to consistently discriminate over the full enrichment gradient for both flow environments. The most versatile indices were BQI &gt; M-AMBI &gt; AMBI &gt; Log(N) &gt; BENTIX. Of these, M-AMBI best catered for different flow environments, while the BQI was the most effective under highly enriched conditions. Under strong enrichment, i.e. when macrofauna abundance is in decline, changes in redox, sulfides, number of taxa and abundance were reasonably clear. However, the more complex biotic indices were relatively insensitive at this level, highlighting a limited applicability beyond the 'peak of opportunists' (PO). Conversely, in high flow regimes, some of the biological indicators were relatively sensitive to low-to-moderate levels of enrichment that were not well discerned by the physico-chemical variables. A useful subset of variables for assessing enrichment status is recommended, comprising two of the best performing biotic indices that are based on alternative/independent classification schemes (i.e. EG's and ES50(0.05)), total abundance, to aid in discerning PO, and a geochemical variable (redox or S2-). Inconsistencies between metrics were found to be more significant than the variability surrounding the predictive capacity of individual indicators, and as a result there is a risk of ES misclassification where only a single index is used. Whilst there is a recognised need to use combinations of indicators, this study also stresses the importance of focusing on a few regionally validated measures and down-weighting the importance placed on any that are not. Additionally, although using a combination of different indicators may produce a 'safe' average result, it may be inefficient, and the averaging effect has the potential to mask extreme conditions. Hence, there remains a need for expert judgement to select and appropriately weight indicator variables, to identify any erroneous results, and to reliably assess ecological quality status. (C) 2012 Elsevier Ltd. All rights reserved.</t>
  </si>
  <si>
    <t>[Keeley, Nigel B.; Forrest, Barrie M.] Cawthron Inst, Nelson 7010, New Zealand; [Keeley, Nigel B.; Crawford, Christine; Macleod, Catriona K.] Univ Tasmania, IMAS, Hobart, Tas, Australia</t>
  </si>
  <si>
    <t>Keeley, NB (corresponding author), Cawthron Inst, Coastal &amp; Freshwater Grp, Nelson 7071, New Zealand.</t>
  </si>
  <si>
    <t>Macleod, Catriona/0000-0002-0539-6361; Crawford, Christine/0000-0002-0705-2378</t>
  </si>
  <si>
    <t>Cawthron Institute (Nelson, New Zealand) through internal investment funding (IIF)</t>
  </si>
  <si>
    <t>This research was supported by the Cawthron Institute (Nelson, New Zealand) through internal investment funding (IIF), with additional support from Institute of Marine and Antarctic Sciences (IMAS), University of Tasmania. We would also like to acknowledge the support of New Zealand King Salmon Company Ltd., who kindly made available much of the source data. Assessment of best professional judgement was provided by Dr B. Forrest, Dr P. Gillespie, Dr G. Hopkins, R. Forrest, Dr R. Dunmore and Dr D. Taylor of Cawthron Institute and Dr C. Macleod from the University of Tasmania, Australia. Taxonomic advice was provided by R. Asher and F. Gower and statistical advice from Dr W. Jiang (also from the Cawthron Institute).</t>
  </si>
  <si>
    <t>1872-7034</t>
  </si>
  <si>
    <t>10.1016/j.ecolind.2012.04.028</t>
  </si>
  <si>
    <t>983PD</t>
  </si>
  <si>
    <t>WOS:000307130300048</t>
  </si>
  <si>
    <t>Price, CA; Weitz, JS; Savage, VM; Stegen, J; Clarke, A; Coomes, DA; Dodds, PS; Etienne, RS; Kerkhoff, AJ; McCulloh, K; Niklas, KJ; Olff, H; Swenson, NG</t>
  </si>
  <si>
    <t>Price, Charles A.; Weitz, Joshua S.; Savage, Van M.; Stegen, James; Clarke, Andrew; Coomes, David A.; Dodds, Peter S.; Etienne, Rampal S.; Kerkhoff, Andrew J.; McCulloh, Katherine; Niklas, Karl J.; Olff, Han; Swenson, Nathan G.</t>
  </si>
  <si>
    <t>Testing the metabolic theory of ecology</t>
  </si>
  <si>
    <t>ECOLOGY LETTERS</t>
  </si>
  <si>
    <t>Allometry; fractal; kleiber curve; metabolic theory; metabolism; scaling theory; WBE model</t>
  </si>
  <si>
    <t>GENERAL QUANTITATIVE THEORY; SCALING LAWS; ALLOMETRIC COVARIATION; TEMPERATURE-DEPENDENCE; MATHEMATICALLY CORRECT; FOREST STRUCTURE; ENQUISTS MODEL; FRACTAL MODEL; BODY-MASS; SIZE</t>
  </si>
  <si>
    <t>The metabolic theory of ecology (MTE) predicts the effects of body size and temperature on metabolism through considerations of vascular distribution networks and biochemical kinetics. MTE has also been extended to characterise processes from cellular to global levels. MTE has generated both enthusiasm and controversy across a broad range of research areas. However, most efforts that claim to validate or invalidate MTE have focused on testing predictions. We argue that critical evaluation of MTE also requires strong tests of both its theoretical foundations and simplifying assumptions. To this end, we synthesise available information and find that MTE's original derivations require additional assumptions to obtain the full scope of attendant predictions. Moreover, although some of MTE's simplifying assumptions are well supported by data, others are inconsistent with empirical tests and even more remain untested. Further, although many predictions are empirically supported on average, work remains to explain the often large variability in data. We suggest that greater effort be focused on evaluating MTE's underlying theory and simplifying assumptions to help delineate the scope of MTE, generate new theory and shed light on fundamental aspects of biological form and function.</t>
  </si>
  <si>
    <t>[Price, Charles A.] Univ Western Australia, Sch Plant Biol, Perth, WA 6009, Australia; [Weitz, Joshua S.] Georgia Inst Technol, Sch Biol, Atlanta, GA 30332 USA; [Weitz, Joshua S.] Georgia Inst Technol, Sch Phys, Atlanta, GA 30332 USA; [Savage, Van M.] Univ Calif Los Angeles, David Geffen Sch Med, Dept Biomath, Los Angeles, CA 90095 USA; [Savage, Van M.] Univ Calif Los Angeles, David Geffen Sch Med, Dept Ecol &amp; Evolutionary Biol, Los Angeles, CA 90095 USA; [Savage, Van M.] Santa Fe Inst, Santa Fe, NM 87501 USA; [Stegen, James] Pacific NW Natl Lab, Div Biol Sci, Richland, WA 99352 USA; [Clarke, Andrew] British Antarctic Survey, Cambridge CB3 0ET, England; [Coomes, David A.] Univ Cambridge, Dept Plant Sci, Cambridge CB2 3EA, England; [Dodds, Peter S.] Univ Vermont, Dept Math &amp; Stat, Burlington, VT 05401 USA; [Etienne, Rampal S.; Olff, Han] Univ Groningen, Ctr Ecol &amp; Evolutionary Studies, NL-9700 CC Groningen, Netherlands; [Kerkhoff, Andrew J.] Kenyon Coll, Dept Biol, Gambier, OH 43022 USA; [Kerkhoff, Andrew J.] Kenyon Coll, Dept Math, Gambier, OH 43022 USA; [McCulloh, Katherine] Oregon State Univ, Dept Forest Ecosyst &amp; Soc, Corvallis, OR 97331 USA; [Niklas, Karl J.] Cornell Univ, Dept Plant Biol, Ithaca, NY 14853 USA; [Swenson, Nathan G.] Michigan State Univ, Dept Plant Biol, E Lansing, MI 48824 USA</t>
  </si>
  <si>
    <t>University of Western Australia; University System of Georgia; Georgia Institute of Technology; University System of Georgia; Georgia Institute of Technology;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 The Santa Fe Institute; United States Department of Energy (DOE); Pacific Northwest National Laboratory; UK Research &amp; Innovation (UKRI); Natural Environment Research Council (NERC); NERC British Antarctic Survey; University of Cambridge; University of Vermont; University of Groningen; University System of Ohio; Kenyon College; University System of Ohio; Kenyon College; Oregon State University; Cornell University; Michigan State University</t>
  </si>
  <si>
    <t>Price, CA (corresponding author), Univ Western Australia, Sch Plant Biol, Perth, WA 6009, Australia.</t>
  </si>
  <si>
    <t>charles.price@uwa.edu.au; jsweitz@gatech.edu; vsavage@ucla.edu</t>
  </si>
  <si>
    <t>Stegen, James/Q-3078-2016; Weitz, Joshua S/I-6696-2012; Price, Charles A/B-1171-2011; Olff, Han/A-8516-2008; Niklas, Karl/AAV-4760-2021; Etienne, Rampal S./F-5835-2012; Swenson, Nathan G/A-3514-2012; Coomes, David A/H-5630-2011; Price, Chuck A/HIK-1431-2022; Dodds, Peter/C-9119-2014</t>
  </si>
  <si>
    <t>Stegen, James/0000-0001-9135-7424; Olff, Han/0000-0003-2154-3576; Etienne, Rampal S./0000-0003-2142-7612; Kerkhoff, Andrew/0000-0001-9617-8687; Coomes, David/0000-0002-8261-2582; Dodds, Peter/0000-0003-1973-8614; Price, Charles/0000-0002-4737-9033</t>
  </si>
  <si>
    <t>Australian Research Council (ARC); Burroughs Wellcome Fund; UCLA Biomathematics start-up funds; NSF DEB Award [1021010]; NSF [DBI-0906005]; Netherlands Organization for Scientific Research (NWO); NSF UBM Award [DMS-0827208]; National Science Foundation [IBN 09-19871]; NERC [bas0100025] Funding Source: UKRI; Natural Environment Research Council [bas0100025] Funding Source: researchfish; Direct For Biological Sciences; Division Of Integrative Organismal Systems [0919871] Funding Source: National Science Foundation; Direct For Social, Behav &amp; Economic Scie; Divn Of Social and Economic Sciences [0846668] Funding Source: National Science Foundation</t>
  </si>
  <si>
    <t>Australian Research Council (ARC)(Australian Research Council); Burroughs Wellcome Fund(Burroughs Wellcome Fund); UCLA Biomathematics start-up funds; NSF DEB Award; NSF(National Science Foundation (NSF)); Netherlands Organization for Scientific Research (NWO)(Netherlands Organization for Scientific Research (NWO)); NSF UBM Award(National Science Foundation (NSF)); National Science Foundation(National Science Foundation (NSF)); NERC(UK Research &amp; Innovation (UKRI)Natural Environment Research Council (NERC)); Natural Environment Research Council(UK Research &amp; Innovation (UKRI)Natural Environment Research Council (NERC)); Direct For Biological Sciences; Division Of Integrative Organismal Systems(National Science Foundation (NSF)NSF - Directorate for Biological Sciences (BIO)NSF - Division of Integrative Organismal Systems (IOS)); Direct For Social, Behav &amp; Economic Scie; Divn Of Social and Economic Sciences(National Science Foundation (NSF)NSF - Directorate for Social, Behavioral &amp; Economic Sciences (SBE))</t>
  </si>
  <si>
    <t>CAP is supported by a Discovery Early Career Research Award (DECRA) from the Australian Research Council (ARC). JSW is supported by a Career Award at the Scientific Interface from the Burroughs Wellcome Fund. VMS was supported by UCLA Biomathematics start-up funds and by NSF DEB Award 1021010. JCS was supported by a NSF Postdoctoral Fellowship in Biological Informatics (DBI-0906005). RSE is supported by the Netherlands Organization for Scientific Research (NWO). AJK was supported by NSF UBM Award DMS-0827208. KAM was supported by National Science Foundation grant IBN 09-19871. The authors wish to thank Morgan Ernest and three anonymous reviewers for providing helpful comments on this manuscript.</t>
  </si>
  <si>
    <t>1461-023X</t>
  </si>
  <si>
    <t>1461-0248</t>
  </si>
  <si>
    <t>ECOL LETT</t>
  </si>
  <si>
    <t>Ecol. Lett.</t>
  </si>
  <si>
    <t>10.1111/j.1461-0248.2012.01860.x</t>
  </si>
  <si>
    <t>026CO</t>
  </si>
  <si>
    <t>WOS:000310250600014</t>
  </si>
  <si>
    <t>Fröls, S; Dyall-Smith, M; Pfeifer, F</t>
  </si>
  <si>
    <t>Froels, Sabrina; Dyall-Smith, Mike; Pfeifer, Felicitas</t>
  </si>
  <si>
    <t>Biofilm formation by haloarchaea</t>
  </si>
  <si>
    <t>ENVIRONMENTAL MICROBIOLOGY</t>
  </si>
  <si>
    <t>GAS VESICLE FORMATION; HALOBACTERIUM-HALOBIUM; HALOPHILIC ARCHAEON; NATRONOBACTERIUM-VACUOLATUM; PYROCOCCUS-FURIOSUS; MICROBIAL BIOFILMS; EXTRACELLULAR DNA; CELL-AGGREGATION; GENE-CLUSTER; PROTEIN GENE</t>
  </si>
  <si>
    <t>A fluorescence-based live-cell adhesion assay was used to examine biofilm formation by 20 different haloarchaea, including species of Halobacterium, Haloferax and Halorubrum, as well as novel natural isolates from an Antarctic salt lake. Thirteen of the 20 tested strains significantly adhered (P-value?</t>
  </si>
  <si>
    <t>[Froels, Sabrina; Pfeifer, Felicitas] Tech Univ Darmstadt, Dept Biol, D-64287 Darmstadt, Germany; [Dyall-Smith, Mike] Charles Sturt Univ, Sch Biomed Sci, Wagga Wagga, NSW 2678, Australia</t>
  </si>
  <si>
    <t>Technical University of Darmstadt; Charles Sturt University</t>
  </si>
  <si>
    <t>Fröls, S (corresponding author), Tech Univ Darmstadt, Dept Biol, Schnittspahnstr 10, D-64287 Darmstadt, Germany.</t>
  </si>
  <si>
    <t>froels@bio.tu-darmstadt.de</t>
  </si>
  <si>
    <t>Pfeifer, Felicitas/0000-0003-1631-1543</t>
  </si>
  <si>
    <t>Max Planck Society</t>
  </si>
  <si>
    <t>Max Planck Society(Max Planck Society)</t>
  </si>
  <si>
    <t>F.P. and S.F. thank Arnulf Kletzin and Gerald Losensky (TUD, Germany) for valuable discussions and technical assistance. M.D.-S. thanks Rick Cavicchioli (UNSW, Australia) and Jeff Hoffman for supplying water samples of Deep Lake. M.D.-S. is grateful for the support by the Max Planck Society, and particularly D. Oesterhelt, Department of Membrane Biochemistry, MPI, Martinsried.</t>
  </si>
  <si>
    <t>1462-2912</t>
  </si>
  <si>
    <t>1462-2920</t>
  </si>
  <si>
    <t>ENVIRON MICROBIOL</t>
  </si>
  <si>
    <t>Environ. Microbiol.</t>
  </si>
  <si>
    <t>10.1111/j.1462-2920.2012.02895.x</t>
  </si>
  <si>
    <t>051VL</t>
  </si>
  <si>
    <t>WOS:000312155800007</t>
  </si>
  <si>
    <t>Ricard, D; Minto, C; Jensen, OP; Baum, JK</t>
  </si>
  <si>
    <t>Ricard, Daniel; Minto, Coilin; Jensen, Olaf P.; Baum, Julia K.</t>
  </si>
  <si>
    <t>Examining the knowledge base and status of commercially exploited marine species with the RAM Legacy Stock Assessment Database</t>
  </si>
  <si>
    <t>FISH AND FISHERIES</t>
  </si>
  <si>
    <t>Marine fisheries; meta-analysis; overfishing; population dynamics models; relational database; stock assessment</t>
  </si>
  <si>
    <t>MAXIMUM REPRODUCTIVE RATE; FISH STOCKS; FISHERIES; CATCH; VARIABILITY; COLLAPSE; RECOVERY; TRENDS; SUSTAINABILITY; METAANALYSIS</t>
  </si>
  <si>
    <t>Meta-analyses of stock assessments can provide novel insight into marine population dynamics and the status of fished species, but the worlds main stock assessment database (the Myers Stock-Recruitment Database) is now outdated. To facilitate new analyses, we developed a new database, the RAM Legacy Stock Assessment Database, for commercially exploited marine fishes and invertebrates. Time series of total biomass, spawner biomass, recruits, fishing mortality and catch/landings form the core of the database. Assessments were assembled from 21 national and international management agencies for a total of 331 stocks (295 fish stocks representing 46 families and 36 invertebrate stocks representing 12 families), including nine of the worlds 10 largest fisheries. Stock assessments were available from 27 large marine ecosystems, the Caspian Sea and four High Seas regions, and include the Atlantic, Pacific, Indian, Arctic and Antarctic Oceans. Most assessments came from the USA, Europe, Canada, New Zealand and Australia. Assessed marine stocks represent a small proportion of harvested fish taxa (16%), and an even smaller proportion of marine fish biodiversity (1%), but provide high-quality data for intensively studied stocks. The database provides new insight into the status of exploited populations: 58% of stocks with reference points (n = 214) were estimated to be below the biomass resulting in maximum sustainable yield (BMSY) and 30% had exploitation levels above the exploitation rate resulting in maximum sustainable yield (UMSY). We anticipate that the database will facilitate new research in population dynamics and fishery management, and we encourage further data contributions from stock assessment scientists.</t>
  </si>
  <si>
    <t>[Ricard, Daniel; Minto, Coilin] Dalhousie Univ, Dept Biol, Halifax, NS B3H 4R2, Canada; [Jensen, Olaf P.] Univ Washington, Sch Aquat &amp; Fishery Sci, Seattle, WA 98195 USA; [Baum, Julia K.] UCSB, Natl Ctr Ecol Anal &amp; Synth, Santa Barbara, CA 93101 USA</t>
  </si>
  <si>
    <t>Dalhousie University; University of Washington; University of Washington Seattle; National Center for Ecological Analysis &amp; Synthesis; University of California System; University of California Santa Barbara</t>
  </si>
  <si>
    <t>Ricard, D (corresponding author), Dalhousie Univ, Dept Biol, Halifax, NS B3H 4R2, Canada.</t>
  </si>
  <si>
    <t>ricardd@mathstat.dal.ca</t>
  </si>
  <si>
    <t>Baum, Julia K/A-4693-2008; Minto, Coilin/JNR-1568-2023; Ricard, Daniel/G-1814-2014</t>
  </si>
  <si>
    <t>Minto, Coilin/0000-0003-0630-6775; Ricard, Daniel/0000-0002-5605-3940; Baum, Julia/0000-0002-9827-1612</t>
  </si>
  <si>
    <t>National Science Foundation through an NCEAS Working Group; Natural Sciences and Engineering Research Council (NSERC) of Canada; Canadian Foundation for Innovation; David H. Smith Conservation Research Fellowship; Schmidt Ocean Institute; Census of Marine Life's Future of Marine Animal Populations (CoML/FMAP); Walton Family Foundation; Irish Department of Education, Technological Sector Research Program, Strand III; New Jersey Sea Grant Consortium; National Oceanic and Atmospheric Administration (NOAA) Office of Sea Grant; US Department of Commerce, under NOAA [NA10OAR4170075, NJSG-11-799]</t>
  </si>
  <si>
    <t>National Science Foundation through an NCEAS Working Group; Natural Sciences and Engineering Research Council (NSERC) of Canada(Natural Sciences and Engineering Research Council of Canada (NSERC)); Canadian Foundation for Innovation(Canada Foundation for Innovation); David H. Smith Conservation Research Fellowship; Schmidt Ocean Institute; Census of Marine Life's Future of Marine Animal Populations (CoML/FMAP); Walton Family Foundation; Irish Department of Education, Technological Sector Research Program, Strand III; New Jersey Sea Grant Consortium; National Oceanic and Atmospheric Administration (NOAA) Office of Sea Grant(National Oceanic Atmospheric Admin (NOAA) - USA); US Department of Commerce, under NOAA</t>
  </si>
  <si>
    <t>We sincerely thank all of the fisheries scientists whose assessments form the basis of this new database. We are also grateful for the database contributions, advice, and support of Trevor Branch, Jeremy Collie, Laurence Fauconnet, Mike Fogarty and his staff at the Northeast Fisheries Science Center, Rainer Froese, Ray Hilborn, Jeff Hutchings, Simon Jennings, Heike Lotze, Pamela Mace, Michael Melnychuk, Ana Parma, Malin Pinsky, Renee Prefontaine, Nancy Roney, Mary Roop, Kate Stanton, Reg Watson, Boris Worm, Dirk Zeller, and the financial support of the National Science Foundation through an NCEAS Working Group, the Natural Sciences and Engineering Research Council (NSERC) of Canada, the Canadian Foundation for Innovation, the David H. Smith Conservation Research Fellowship, the Schmidt Ocean Institute, the Census of Marine Life's Future of Marine Animal Populations (CoML/FMAP) and the Walton Family Foundation. Comments from the members of the NCEAS Working Group 'Finding common ground in marine conservation and management' greatly improved an earlier version of this manuscript and two anonymous referees provided constructive and critical reviews. Funding to CM was provided by the Irish Department of Education, Technological Sector Research Program, Strand III. This publication is the result of work sponsored in part by the New Jersey Sea Grant Consortium with funds from the National Oceanic and Atmospheric Administration (NOAA) Office of Sea Grant, US Department of Commerce, under NOAA grant number NA10OAR4170075 and NJSG-11-799. The statements, findings, conclusions and recommendations are those of the author(s) and do not necessarily reflect the views of the NJSGC or the US Department of Commerce.</t>
  </si>
  <si>
    <t>1467-2960</t>
  </si>
  <si>
    <t>1467-2979</t>
  </si>
  <si>
    <t>FISH FISH</t>
  </si>
  <si>
    <t>Fish. Fish.</t>
  </si>
  <si>
    <t>10.1111/j.1467-2979.2011.00435.x</t>
  </si>
  <si>
    <t>026JU</t>
  </si>
  <si>
    <t>WOS:000310273500002</t>
  </si>
  <si>
    <t>Ziegler, PE</t>
  </si>
  <si>
    <t>Ziegler, Philippe E.</t>
  </si>
  <si>
    <t>Fishing tactics and fleet structure of the small-scale coastal scalefish fishery in Tasmania, Australia</t>
  </si>
  <si>
    <t>Small-scale fishery; Fishing tactics; Metiers; Vessel groups; Multivariate analyses</t>
  </si>
  <si>
    <t>DYNAMICS; METIERS; DEFINITION; MANAGEMENT; PROFILES; CATCH</t>
  </si>
  <si>
    <t>The small-scale coastal scalefish fishery in Tasmania, south-eastern Australia, uses a large number of fishing gear types to target a range of fish, shark and cephalopod species. This study applied multivariate analyses of catch and effort logbook records to identify fishing tactics (characterised by fishing gear, target species, location and month) and vessel groups (characterised by their fishing activities) for the 17 gear types used in the fishery. A total of 35 fishing tactics were defined, with up to 10, mostly species-specific, fishing tactics per gear type. Subsequently, 20 vessel groups were characterised that were categorised according to three degrees of specialisation and a deepwater component. The analysis highlighted the strongly-interlinked fishing tactics and the high level of flexibility in selecting target species and fishing tactics. This flexibility should be taken into consideration in stock assessments and the management of this fishery that have traditionally focussed on single fish species and individual fishing methods. (c) 2012 Elsevier B.V. All rights reserved.</t>
  </si>
  <si>
    <t>[Ziegler, Philippe E.] Univ Tasmania, Inst Marine &amp; Antarctic Sci, Hobart, Tas 7001, Australia</t>
  </si>
  <si>
    <t>Ziegler, PE (corresponding author), Australian Antarctic Div, Dept Sustainabil Environm Water Populat &amp; Communi, 203 Channel Highway, Kingston, Tas 7050, Australia.</t>
  </si>
  <si>
    <t>Philippe.Ziegler@aad.gov.au</t>
  </si>
  <si>
    <t>Ziegler, Philippe/0000-0001-5940-9394</t>
  </si>
  <si>
    <t>Australian Fisheries Research and Development Corporation (FRDC Project) [20081010]</t>
  </si>
  <si>
    <t>Australian Fisheries Research and Development Corporation (FRDC Project)(Fisheries R&amp;D Corp)</t>
  </si>
  <si>
    <t>I would like to thank Jeremy Lyle, Andrew Sullivan and Jessica Andre, Paul Marchal and an anonymous referee for helpful advice and comments during the research and on earlier drafts. This study was supported by the Australian Fisheries Research and Development Corporation (FRDC Project No. 20081010).</t>
  </si>
  <si>
    <t>10.1016/j.fishres.2012.08.011</t>
  </si>
  <si>
    <t>WOS:000310821600007</t>
  </si>
  <si>
    <t>Dantas, GPD; Meyer, D; Godinho, R; Ferrand, N; Morgante, JS</t>
  </si>
  <si>
    <t>de Mendonca Dantas, Gisele Pires; Meyer, Diogo; Godinho, Raquel; Ferrand, Nuno; Morgante, Joao Stenghel</t>
  </si>
  <si>
    <t>Genetic variability in mitochondrial and nuclear genes of Larus dominicanus (Charadriiformes, Laridae) from the Brazilian coast</t>
  </si>
  <si>
    <t>GENETICS AND MOLECULAR BIOLOGY</t>
  </si>
  <si>
    <t>cytb; FIB7 intron; phylogeography; recent origin; selective sweep</t>
  </si>
  <si>
    <t>KELP GULLS; POPULATION-STRUCTURE; PHYLOGENETIC-RELATIONSHIPS; MOLECULAR EVIDENCE; CONTROL REGION; DNA VARIATION; AVES; DIFFERENTIATION; SEQUENCE; MTDNA</t>
  </si>
  <si>
    <t>Several phylogeographic studies of seabirds have documented low genetic diversity that has been attributed to bottleneck events or individual capacity for dispersal. Few studies have been done in seabirds on the Brazilian coast and all have shown low genetic differentiation on a wide geographic scale. The Kelp Gull is a common species with a wide distribution in the Southern Hemisphere. In this study, we used mitochondrial and nuclear markers to examine the genetic variability of Kelp Gull populations on the Brazilian coast and compared this variability with that of sub-Antarctic island populations of this species. Kelp Gulls showed extremely low genetic variability for nnitochondrial markers (cytb and ATPase) and high diversity for a nuclear locus (intron 7 of the beta-fibrinogen). The intraspecific evolutionary history of Kelp Gulls showed that the variability found in intron 7 of the beta-fibrinogen gene was compatible with the variability expected under neutral evolution but suggested an increase in population size during the last 10,000 years. However, none of the markers revealed evidence of a bottleneck population. These findings indicate that the recent origin of Kelp Gulls is the main explanation for their nuclear diversity, although selective pressure on the mtDNA of this species cannot be discarded.</t>
  </si>
  <si>
    <t>[de Mendonca Dantas, Gisele Pires; Meyer, Diogo; Morgante, Joao Stenghel] Univ Sao Paulo, Inst Biociencias, Dept Genet &amp; Biol Evolut, Lab Biol Evolut &amp; Conservacao Vertebrados, Sao Paulo, Brazil; [Godinho, Raquel; Ferrand, Nuno] Ctr Invest Biodiversidade &amp; Recursos Nat, Oporto, Portugal</t>
  </si>
  <si>
    <t>Universidade de Sao Paulo</t>
  </si>
  <si>
    <t>Dantas, GPD (corresponding author), Univ Fed Minas Gerais, Inst Ciencias Biomed, Lab Biodiversidade &amp; Evolucao Mol, Av Antonio Carlos 6627,Sala L3-244, BR-31270010 Belo Horizonte, MG, Brazil.</t>
  </si>
  <si>
    <t>giselebio@yahoo.com.br</t>
  </si>
  <si>
    <t>Dantas, Gisele PM/T-6782-2019; Godinho, Raquel/L-6804-2013; Ferrand, Nuno/E-6085-2014</t>
  </si>
  <si>
    <t>Dantas, Gisele PM/0000-0001-5282-7577; Godinho, Raquel/0000-0002-4260-4799; Ferrand, Nuno/0000-0002-2408-4195</t>
  </si>
  <si>
    <t>Fundacao de Amparo a Pesquisa de Sao Paulo (FAPESP) [05/55438-4]; FAPESP PhD scholarship [03/01599-1]; Fundacao de Amparo a Pesquisa do Estado de Sao Paulo (FAPESP) [03/01599-1] Funding Source: FAPESP</t>
  </si>
  <si>
    <t>Fundacao de Amparo a Pesquisa de Sao Paulo (FAPESP)(Fundacao de Amparo a Pesquisa do Estado de Sao Paulo (FAPESP)); FAPESP PhD scholarship(Fundacao de Amparo a Pesquisa do Estado de Sao Paulo (FAPESP)); Fundacao de Amparo a Pesquisa do Estado de Sao Paulo (FAPESP)(Fundacao de Amparo a Pesquisa do Estado de Sao Paulo (FAPESP))</t>
  </si>
  <si>
    <t>This work was supported by Fundacao de Amparo a Pesquisa de Sao Paulo (FAPESP, grant no. 05/55438-4). Gisele Dantas was supported by a FAPESP PhD scholarship (grant no. 03/01599-1). We thank the Instituto Florestal de Sao Paulo, Estacao Ecologica Jureia-Itatins for logistical support (783/2003) and CEMAVE/ICMBio for providing metal bands and permits (licence no. 1060). We thank friends and colleagues who helped with the field work and Joaquim O. Branco, Fausto Campos, Peter Ryan and Martin Sander for help with sampling. We are especially grateful to M.A. Aires, J.O. Branco, C.Y. Miyiaki and M.C. Arias for their suggestions on previous drafts.</t>
  </si>
  <si>
    <t>SOC BRASIL GENETICA</t>
  </si>
  <si>
    <t>RIBEIRAO PRET</t>
  </si>
  <si>
    <t>RUA CAP ADELMIO NORBET DA SILVA, 736, ALTO DA BOA VISTA, 14025-670 RIBEIRAO PRET, BRAZIL</t>
  </si>
  <si>
    <t>1415-4757</t>
  </si>
  <si>
    <t>1678-4685</t>
  </si>
  <si>
    <t>GENET MOL BIOL</t>
  </si>
  <si>
    <t>Genet. Mol. Biol.</t>
  </si>
  <si>
    <t>Biochemistry &amp; Molecular Biology; Genetics &amp; Heredity</t>
  </si>
  <si>
    <t>074WN</t>
  </si>
  <si>
    <t>WOS:000313845800023</t>
  </si>
  <si>
    <t>Lee, HM; Lee, JI; Lee, MJ; Kim, J; Choi, SW</t>
  </si>
  <si>
    <t>Lee, Hyo Min; Lee, Jong Ik; Lee, Mi Jung; Kim, Jeongmin; Choi, Seok Won</t>
  </si>
  <si>
    <t>The A-type Pirrit Hills Granite, West Antarctica: an example of magmatism associated with the Mesozoic break-up of the Gondwana supercontinent</t>
  </si>
  <si>
    <t>GEOSCIENCES JOURNAL</t>
  </si>
  <si>
    <t>A-type granite; Pirrit Hills; West Antarctica; Gondwana supercontinent; continental break-up</t>
  </si>
  <si>
    <t>GEOCHEMICAL CHARACTERISTICS; EVOLUTION; DISCRIMINATION; PHOSPHORUS; VOLCANISM; BEARING; LIQUID; ORIGIN</t>
  </si>
  <si>
    <t>The Mesozoic geology of West Antarctica is largely related with the break-up of the Gondwana supercontinent and offers a good example for understanding magmatism associated with the continental break-up process. West Antarctica can be divided into five crustal blocks with relatively thin crust. The blocks are separated by deep rift zones and have moved during the Mesozoic break-up of Gondwana. The Pirrit Hills granite occurs as an isolated pluton in the Ellsworth-Whitmore Mountains block, which is the center of five blocks in the present configuration. The granite consists of quartz, perthitic alkali feldspar, and plagioclase with minor amounts of interstitial biotite and muscovite. The granite is a highly homogeneous, strongly fractionated, and mildly peraluminous granite and belongs to A-type granites with A2-type characteristics, suggesting its generation in an anorogenic environment. The strong enrichment of HREE and significant negative Eu anomalies suggest that the granitic magma was produced by a small degree of partial melting of a garnet granulitic source in the unusually hot lower crust. A weighted mean Pb-206/U-238 age of zircons is 164.5 +/- 2.3 Ma (MSWD = 1.3), which is 8 to 9 Mys younger than a former Rb-Sr whole rock age (173 +/- 3 Ma), and corresponds to the first rifting stage of the break-up of Gondwana (at 165 Ma). We suggest this age to be the emplacement age of the Pirrit Hills granite. The A-type Pirrit Hills granite was emplaced in the Middle Jurassic accompanying crustal thinning due to the break-up of Gondwana.</t>
  </si>
  <si>
    <t>[Lee, Jong Ik; Lee, Mi Jung] Korea Polar Res Inst KOPRI, Div Polar Earth Syst Sci, Inchon 406840, South Korea; [Lee, Hyo Min] KIGAM, Geochem Anal Dept, Taejon 305350, South Korea; [Lee, Hyo Min; Choi, Seok Won] Kongju Natl Univ, Dept Geoenvironm Sci, Kong Ju 314701, South Korea; [Kim, Jeongmin] KBSI, Geochronol Team, Chungbuk 363883, South Korea</t>
  </si>
  <si>
    <t>Korea Polar Research Institute (KOPRI); Korea Institute of Geoscience &amp; Mineral Resources (KIGAM); Kongju National University; Korea Basic Science Institute (KBSI)</t>
  </si>
  <si>
    <t>Lee, JI (corresponding author), Korea Polar Res Inst KOPRI, Div Polar Earth Syst Sci, Inchon 406840, South Korea.</t>
  </si>
  <si>
    <t>jilee@kopri.re.kr</t>
  </si>
  <si>
    <t>KOPRI project [PE12060]</t>
  </si>
  <si>
    <t>KOPRI project(Korea Polar Research Institute of Marine Research Placement (KOPRI))</t>
  </si>
  <si>
    <t>We are grateful to Prof. D. B. Shin of Kongju National University for constructive comments which improved our manuscript. We thank Prof. Min, Prof. Whattam, and an anonymous reviewer for their helpful and constructive reviews of the manuscript. We thank Mr. H. K. Kim of KBSI for U-Pb zircon SHRIMP dating and Ms. M. K. Choo of KOPRI for analytical support on the ICP-MS. JI Lee thanks the members of the 1st Korea Expedition for Antarctic Meteorites (KOREAMET) for sampling and field assistance. This study was financially supported by KOPRI project (PE12060; Korea Curation of Antarctic Meteorites and Evolution of Planetary Materials).</t>
  </si>
  <si>
    <t>GEOLOGICAL SOCIETY KOREA</t>
  </si>
  <si>
    <t>NEW BLD RM 813, KSTC, 835-4, YEOKSAM-DONG, KANGNAM-GU, SEOUL, 135-703, SOUTH KOREA</t>
  </si>
  <si>
    <t>1226-4806</t>
  </si>
  <si>
    <t>1598-7477</t>
  </si>
  <si>
    <t>GEOSCI J</t>
  </si>
  <si>
    <t>Geosci. J.</t>
  </si>
  <si>
    <t>10.1007/s12303-012-0041-4</t>
  </si>
  <si>
    <t>058JV</t>
  </si>
  <si>
    <t>WOS:000312630800005</t>
  </si>
  <si>
    <t>Carneiro, AR; Ramos, RTJ; Dall'Agnol, H; Pinto, AC; Soares, SD; Santos, AR; Guimaraes, LC; Almeida, SS; Baraúna, RA; das Graças, DA; Franco, LC; Ali, A; Hassan, SS; Nunes, CIP; Barbosa, MS; Fiaux, KK; Aburjaile, FF; Barbosa, EGV; Bakhtiar, SM; Vilela, D; Nóbrega, F; dos Santos, AL; Carepo, MSP; Azevedo, V; Schneider, MPC; Pellizari, VH; Silva, A</t>
  </si>
  <si>
    <t>Carneiro, Adriana Ribeiro; Juca Ramos, Rommel Thiago; Dall'Agnol, Hivana; Pinto, Anne Cybelle; Soares, Siomar de Castro; Santos, Anderson Rodrigues; Guimaraes, Luis Carlos; Almeida, Sintia Silva; Barauna, Rafael Azevedo; das Gracas, Diego Assis; Franco, Luciano Chaves; Ali, Amjad; Hassan, Syed Shah; Nunes, Catarina Isabel P.; Barbosa, Maria Silvanira; Fiaux, Karina Kelly; Aburjaile, Flavia Figueira; Vieira Barbosa, Eudes Guilherme; Bakhtiar, Syeda Marriam; Vilela, Daniella; Nobrega, Felipe; dos Santos, Adriana Lopes; Carepo, Marta Sofia P.; Azevedo, Vasco; Cruz Schneider, Maria Paula; Pellizari, Vivian Helena; Silva, Artur</t>
  </si>
  <si>
    <t>Genome Sequence of Exiguobacterium antarcticum B7, Isolated from a Biofilm in Ginger Lake, King George Island, Antarctica</t>
  </si>
  <si>
    <t>JOURNAL OF BACTERIOLOGY</t>
  </si>
  <si>
    <t>SHORT READS</t>
  </si>
  <si>
    <t>Exiguobacterium antarcticum is a psychotropic bacterium isolated for the first time from microbial mats of Lake Fryxell in Antarctica. Many organisms of the genus Exiguobacterium are extremophiles and have properties of biotechnological interest, e. g., the capacity to adapt to cold, which make this genus a target for discovering new enzymes, such as lipases and proteases, in addition to improving our understanding of the mechanisms of adaptation and survival at low temperatures. This study presents the genome of E. antarcticum B7, isolated from a biofilm sample of Ginger Lake on King George Island, Antarctic peninsula.</t>
  </si>
  <si>
    <t>[Carneiro, Adriana Ribeiro; Juca Ramos, Rommel Thiago; Dall'Agnol, Hivana; Barauna, Rafael Azevedo; das Gracas, Diego Assis; Franco, Luciano Chaves; Barbosa, Maria Silvanira; Cruz Schneider, Maria Paula; Silva, Artur] Fed Univ Para, Inst Biol Sci, BR-66059 Belem, Para, Brazil; [Pinto, Anne Cybelle; Soares, Siomar de Castro; Santos, Anderson Rodrigues; Guimaraes, Luis Carlos; Almeida, Sintia Silva; Ali, Amjad; Hassan, Syed Shah; Fiaux, Karina Kelly; Aburjaile, Flavia Figueira; Vieira Barbosa, Eudes Guilherme; Bakhtiar, Syeda Marriam; Azevedo, Vasco] Univ Fed Minas Gerais, Inst Biol Sci, Belo Horizonte, MG, Brazil; [Dall'Agnol, Hivana; Nunes, Catarina Isabel P.; Carepo, Marta Sofia P.] Univ Nova Lisboa, REQUIMTE CQFB, Dept Chem, Fac Sci &amp; Technol, Caparica, Portugal; [Vilela, Daniella; Nobrega, Felipe; dos Santos, Adriana Lopes; Pellizari, Vivian Helena] Univ Sao Paulo, Lab Ecol Microorganisms, IO, Sao Paulo, Brazil</t>
  </si>
  <si>
    <t>Universidade Federal do Para; Universidade Federal de Minas Gerais; Universidade Nova de Lisboa; Universidade de Sao Paulo</t>
  </si>
  <si>
    <t>Silva, A (corresponding author), Fed Univ Para, Inst Biol Sci, BR-66059 Belem, Para, Brazil.</t>
  </si>
  <si>
    <t>asilva@ufpa.br</t>
  </si>
  <si>
    <t>dos Santos, Adriana Lopes/J-6960-2019; Azevedo, Vasco/B-1556-2019; Santos, Anderson/G-3020-2011; Folador, Adriana Ribeiro Carneiro/R-2658-2019; Aburjaile, Flavia Figueira/E-4042-2013; Franco Filho, Luciano Chaves/JZT-8098-2024; gomide, anne cybelle pinto/H-1997-2019; Guimarães, Luis Carlos/T-7186-2019; Nunes, Adriana/H-6410-2016; Hassan, Syed Shah/AAQ-5460-2021; Graças, Diego/AAB-3421-2020; Ramos, Rommel Thiago Juca/L-9329-2013; Ali, Amjad/AAG-4441-2021; Carepo, Marta S.P./D-7196-2013; de Castro Soares, Siomar/I-2705-2012; Luiz Silva, Artur da Costa da/AAI-3516-2021; Almeida, Sintia/K-1217-2012; Pellizari, Vivian/J-9153-2012</t>
  </si>
  <si>
    <t>dos Santos, Adriana Lopes/0000-0002-0736-4937; Azevedo, Vasco/0000-0002-4775-2280; Santos, Anderson/0000-0003-3418-0823; Aburjaile, Flavia Figueira/0000-0002-1067-1882; Guimarães, Luis Carlos/0000-0002-7147-9448; Nunes, Adriana/0000-0003-1522-9871; Hassan, Syed Shah/0000-0003-1251-5215; Graças, Diego/0000-0002-5059-4316; Ramos, Rommel Thiago Juca/0000-0002-8032-1474; Ali, Amjad/0000-0002-0486-4661; Carepo, Marta S.P./0000-0003-3222-8141; de Castro Soares, Siomar/0000-0001-7299-3724; Luiz Silva, Artur da Costa da/0000-0002-4082-1132; Almeida, Sintia/0000-0003-0270-9059; Pellizari, Vivian/0000-0003-2757-6352; Barbosa Dall'Agnol, Hivana/0000-0002-0659-8053</t>
  </si>
  <si>
    <t>National Council for Scientific and Technological Development (Conselho Nacional de Desenvolvimento Cientifico e Tecnologico-CNPq); Brazilian Federal Agency for the Support and Evaluation of Graduate Education (Coordenacao de Aperfeicoamento de Pessoal de Nivel Superior-CAPES); Paraense Amazonia Foundation (Fundacao Amazonia Paraense-FAPESPA); Amazon Center of Excellence in Genomics of Microorganisms (Nucleo Amazonico de Excelencia em Genomica de Microorganismos)-Centers of Excellence Support Program (Programa de apoio a Nucleo de Excelencia) Pronex/CNPq/FAPESPA; National Program for Academic Cooperation (Programa Nacional de Cooperacao Academica) PROCAD/CAPES; Studies and Projects Funding Agency (Financiadora de Estudos e Projetos-FINEP); Minas Gerais Research Fund (Fundacao de Amparo a Pesquisa do estado de Minas Gerais-FAPEMIG)</t>
  </si>
  <si>
    <t>National Council for Scientific and Technological Development (Conselho Nacional de Desenvolvimento Cientifico e Tecnologico-CNPq)(Conselho Nacional de Desenvolvimento Cientifico e Tecnologico (CNPQ)); Brazilian Federal Agency for the Support and Evaluation of Graduate Education (Coordenacao de Aperfeicoamento de Pessoal de Nivel Superior-CAPES); Paraense Amazonia Foundation (Fundacao Amazonia Paraense-FAPESPA)(Fundacao Amazonia de Amparo a Estudos e Pesquisas (FAPESPA)); Amazon Center of Excellence in Genomics of Microorganisms (Nucleo Amazonico de Excelencia em Genomica de Microorganismos)-Centers of Excellence Support Program (Programa de apoio a Nucleo de Excelencia) Pronex/CNPq/FAPESPA; National Program for Academic Cooperation (Programa Nacional de Cooperacao Academica) PROCAD/CAPES; Studies and Projects Funding Agency (Financiadora de Estudos e Projetos-FINEP); Minas Gerais Research Fund (Fundacao de Amparo a Pesquisa do estado de Minas Gerais-FAPEMIG)</t>
  </si>
  <si>
    <t>M.P.C.S., A. S., V. A., A. R. C., S. D. C. S., S. S. A., A. S., F. F. A., and E. G. V. B. were supported by the National Council for Scientific and Technological Development (Conselho Nacional de Desenvolvimento Cientifico e Tecnologico-CNPq). R.T.J.R., A. R. S., L. C. G., R. A. B., D. A. D. G., H. D., and A. A. were supported by the Brazilian Federal Agency for the Support and Evaluation of Graduate Education (Coordenacao de Aperfeicoamento de Pessoal de Nivel Superior-CAPES). This work was part of the Paraense Network of Genomics and Proteomics (Rede Paraense de Genomica e Proteomica), supported by the Paraense Amazonia Foundation (Fundacao Amazonia Paraense-FAPESPA), Amazon Center of Excellence in Genomics of Microorganisms (Nucleo Amazonico de Excelencia em Genomica de Microorganismos)-Centers of Excellence Support Program (Programa de apoio a Nucleo de Excelencia) Pronex/CNPq/FAPESPA, the National Program for Academic Cooperation (Programa Nacional de Cooperacao Academica) PROCAD/CAPES, the Studies and Projects Funding Agency (Financiadora de Estudos e Projetos-FINEP), and the Minas Gerais Research Fund (Fundacao de Amparo a Pesquisa do estado de Minas Gerais-FAPEMIG). This study is also part of a CAPES-FCT (Science and Technology Fund-Fundacao para a Ciencia e a Tecnologia) international cooperation with the Department of Chemistry (Departamento de Quimica) of the New University of Lisbon Faculty of Sciences and Technology (Faculdade de Ciencias e Tecnologia da Universidade Nova de Lisboa).</t>
  </si>
  <si>
    <t>0021-9193</t>
  </si>
  <si>
    <t>1098-5530</t>
  </si>
  <si>
    <t>J BACTERIOL</t>
  </si>
  <si>
    <t>J. Bacteriol.</t>
  </si>
  <si>
    <t>10.1128/JB.01791-12</t>
  </si>
  <si>
    <t>035DV</t>
  </si>
  <si>
    <t>WOS:000310924300078</t>
  </si>
  <si>
    <t>Yearly variation and annual cycle of total column ozone over New Delhi (29A°N, 77A°E), India and Halley Bay (76A°S, 27A°W), British Antarctic Survey Station and its effect on night airglow intensity of OH(8,3) for the period 1979-2005</t>
  </si>
  <si>
    <t>Ozone depletion; airglow emission; excitation mechanism; intensity</t>
  </si>
  <si>
    <t>LI 6708 ANGSTROM; ROTATIONAL TEMPERATURE; SOLAR-CYCLE; OH; DECLINE; 76-DEGREES-S; EMISSIONS; HYDROXYL; BAND; CLOUD</t>
  </si>
  <si>
    <t>A critical analysis made on the long-term monthly, seasonal, yearly variation and annual cycle of total column ozone (TCO) concentration at New Delhi (29A degrees N, 77A degrees E), India and Halley Bay (76A degrees S, 27A degrees W), a British Antarctic Service Station reveals more decline in yearly mean ozone concentration at Halley Bay than at New Delhi from 1979 to 2005. The nature of variations of monthly mean TCO during the months of August and September was the most identical with that of yearly mean ozone values at New Delhi and Halley Bay, respectively, for the same period. Annual cycles of TCO over these stations are completely different for the above period. The effect of O-3 depletion on night airglow emission of OH(8, 3) line at New Delhi and Halley Bay has been studied. Calculations based on chemical kinetics show that the airglow intensity of OH(8, 3) has also been affected due to the depletion of O-3 concentration. The yearly variations and annual cycle of intensities of OH(8, 3) line for the above two stations are depicted and compared. It has been shown that the rate of decrease of intensity of OH(8, 3) line was comparatively more at Halley Bay due to dramatic decrease of Antarctic O-3 concentration.</t>
  </si>
  <si>
    <t>[Jana, P. K.] Inst Educ PG Women, Dept Chem, Hooghly 712138, W Bengal, India; [Saha, D. K.] Dinabandhu Mahavidyalaya, Dept Chem, Bangaon 743235, W Bengal, India; [Sarkar, D.] Howrah Zilla Sch, Dept Chem, Howrah 711101, W Bengal, India</t>
  </si>
  <si>
    <t>Jana, PK (corresponding author), Inst Educ PG Women, Dept Chem, Hooghly 712138, W Bengal, India.</t>
  </si>
  <si>
    <t>10.1007/s12040-012-0242-2</t>
  </si>
  <si>
    <t>072HV</t>
  </si>
  <si>
    <t>WOS:000313661800011</t>
  </si>
  <si>
    <t>Tesi, T; Langone, L; Ravaioli, M; Giglio, F; Capotondi, L</t>
  </si>
  <si>
    <t>Tesi, T.; Langone, L.; Ravaioli, M.; Giglio, F.; Capotondi, L.</t>
  </si>
  <si>
    <t>Particulate export and lateral advection in the Antarctic Polar Front (Southern Pacific Ocean): One-year mooring deployment</t>
  </si>
  <si>
    <t>Sediment traps; Lateral advection; Organic matter export; Polar Front; Vertical export; Particulate fluxes</t>
  </si>
  <si>
    <t>ORGANIC-CARBON FLUXES; SEDIMENT TRAP BIASES; PARTICLE FLUXES; DEEP-SEA; BIOGENIC SILICA; TURBULENT FLOWS; ROSS-SEA; DYNAMICS; SECTOR; ACCUMULATION</t>
  </si>
  <si>
    <t>An instrumented mooring line with sediment traps, current meters and recorders of temperature and conductivity was deployed just south of the Antarctic Polar Front (63 degrees 26' S, 178 03'E; water depth 4400 m) from January 9th 1999 to January 10th 2000. Sediment traps at 900 and 3700 m had a single large cup to collect particulate material throughout the 1-year study whereas time-series sediment traps were used to characterize the temporal variability at 1300 and 2400 m. Samples were characterized via several parameters including total mass flux, elemental composition (organic carbon, total nitrogen, biogenic silica, and calcium carbonate), concentration of metals (aluminum, iron, barium, and manganese), Pb-210 activity, and foraminifera identification. High vertical fluxes of biogenic particles were observed in both summer 1999 and 2000 as a result of seasonal algal blooms associated with sea ice retreat and water column stratification. During autumn and winter, several high energy events occurred and resulted in advecting resuspended biogenic particles from flat-topped summits of the Pacific Antarctic Ridge. Whereas the distance between seabed and uppermost sediment traps was sufficient to avoid lateral advection processes, resuspension was significant in the lowermost sediment traps accounting for similar to 60 and similar to 90% of the material caught at 2400 and 3700 m, respectively. Although resuspended material showed an elemental composition relatively similar to vertical summer fluxes, samples collected during high energy events contained benthic foraminifera and exhibited significantly higher Pb-210 activity indicating a longer residence time in the water column. In addition, during quiescent periods characterized by low mass fluxes, the content of lithogenic particles increased at the expense of phytodetritus indicating the influence of material advected through the benthic nepheloid layer. Organic matter content was particularly high during these periods and showed statistically significant linear correlations with metals suggesting adsorption of organic coatings onto the mineral surface of lithogenic particles. (C) 2012 Elsevier B.V. All rights reserved.</t>
  </si>
  <si>
    <t>[Tesi, T.; Langone, L.; Ravaioli, M.; Giglio, F.; Capotondi, L.] CNR, ISMAR Ist Sci Marine Bologna, I-40129 Bologna, Italy</t>
  </si>
  <si>
    <t>Consiglio Nazionale delle Ricerche (CNR); Istituto di Scienze Marine (ISMAR-CNR)</t>
  </si>
  <si>
    <t>Tesi, T (corresponding author), CNR, ISMAR Ist Sci Marine Bologna, Via Gobetti 101, I-40129 Bologna, Italy.</t>
  </si>
  <si>
    <t>tommaso.tesi@bo.ismar.cnr.it</t>
  </si>
  <si>
    <t>tesi, tommaso/L-4160-2019; Lucilla, Capotondi/C-8874-2015; Ravaioli, Mariangela/B-7589-2015; CNR, Ismar/P-1247-2014</t>
  </si>
  <si>
    <t>Lucilla, Capotondi/0000-0003-3282-7910; Tesi, Tommaso/0000-0002-1686-3375; tesi, tommaso/0000-0002-1283-9167; Ravaioli, Mariangela/0000-0001-6858-8013; CNR, Ismar/0000-0001-5351-1486</t>
  </si>
  <si>
    <t>Programma Nazionale di Ricerche in Antartide (P.N.R.A.) [2b.3.4]</t>
  </si>
  <si>
    <t>Programma Nazionale di Ricerche in Antartide (P.N.R.A.)</t>
  </si>
  <si>
    <t>This study was funded through the Programma Nazionale di Ricerche in Antartide (P.N.R.A., Progetto BIOSESO, project number 2b.3.4). We thank the Captain and crew members of the R/V Italica, Roberto Meloni, Francesco Degl'Innocenti and the cruise participants for their assistance in the mooring deployment and recovery. We thank Bethany Thompson for her comments on a previous draft of the manuscript. This is the contribution No. 1764 of the Istituto di Scienze Marine-CNR (U.O.S. Bologna).</t>
  </si>
  <si>
    <t>10.1016/j.jmarsys.2012.06.002</t>
  </si>
  <si>
    <t>033RS</t>
  </si>
  <si>
    <t>WOS:000310819100006</t>
  </si>
  <si>
    <t>Han, J; Jung, J; Hyun, S; Park, H; Park, W</t>
  </si>
  <si>
    <t>Han, Jiwon; Jung, Jaejoon; Hyun, Seunghun; Park, Hyun; Park, Woojun</t>
  </si>
  <si>
    <t>Effects of nutritional input and diesel contamination on soil enzyme activities and microbial communities in antarctic soils</t>
  </si>
  <si>
    <t>JOURNAL OF MICROBIOLOGY</t>
  </si>
  <si>
    <t>soil; enzyme; biogeochemical cycle; community analysis; Actinobacteria; Proteobacteria</t>
  </si>
  <si>
    <t>BACTERIAL DIVERSITY; DOMINANT BACTERIA; UREASE ACTIVITY; VICTORIA LAND; NITROGEN; FRACTIONATION; POLLUTION; VALLEY; SAMPLE; CYCLE</t>
  </si>
  <si>
    <t>Pollution of Antarctic soils may be attributable to increased nutritional input and diesel contamination via anthropogenic activities. To investigate the effect of these environmental changes on the Antarctic terrestrial ecosystem, soil enzyme activities and microbial communities in 3 types of Antarctic soils were evaluated. The activities of alkaline phosphomonoesterase and dehydrogenase were dramatically increased, whereas the activities of beta-glucosidase, urease, arylsulfatase, and fluorescein diacetate hydrolysis were negligible. Alkaline phosphomonoesterase and dehydrogenase activities in the 3 types of soils increased 3- to 10-fold in response to nutritional input, but did not increase in the presence of diesel contamination. Consistent with the enzymatic activity data, increased copy numbers of the phoA gene, encoding an alkaline phosphomonoesterase, and the 16S rRNA gene were verified using quantitative real-time polymerase chain reaction. Interestingly, dehydrogenase activity and 16S rRNA gene copy number increased slightly after 30 days, even under diesel contamination, probably because of adaptation of the bacterial population. Intact Antarctic soils showed a predominance of Actinobacteria phylum (mostly Pseudonorcarida species) and other phyla such as Proteobacteria, Chloroflexi, Planctomycetes, Firmicutes, and Verrucomicrobia were present in successively lower proportions. Nutrient addition might act as a selective pressure on the bacterial community, resulting in the prevalence of Actinobacteria phylum (mostly Arthrobacter species). Soils contaminated by diesel showed a predominance of Proteobacteria phylum (mostly Phyllobacterium species), and other phyla such as Actinobacteria, Bacteroidetes, Planctomycetes, and Gemmatimonadetes were present in successively lower proportions. Our data reveal that nutritional input has a dramatic impact on bacterial communities in Antarctic soils and that diesel contamination is likely toxic to enzymes in this population.</t>
  </si>
  <si>
    <t>[Han, Jiwon; Jung, Jaejoon; Hyun, Seunghun; Park, Woojun] Korea Univ, Dept Environm Sci &amp; Ecol Engn, Seoul 136713, South Korea; [Park, Hyun] Korea Polar Res Inst, Inchon 406840, South Korea</t>
  </si>
  <si>
    <t>Korea University; Korea Polar Research Institute (KOPRI); Korea Institute of Ocean Science &amp; Technology (KIOST)</t>
  </si>
  <si>
    <t>Park, W (corresponding author), Korea Univ, Dept Environm Sci &amp; Ecol Engn, Seoul 136713, South Korea.</t>
  </si>
  <si>
    <t>wpark@korea.ac.kr</t>
  </si>
  <si>
    <t>HYUN, SEUNGHUN/KAM-6088-2024</t>
  </si>
  <si>
    <t>Hyun, Seunghun/0000-0001-8806-5834; Park, Hyun/0000-0002-8055-2010</t>
  </si>
  <si>
    <t>Polar Academy Program (PAP) of the Korean Polar Research Institute (KOPRI); LG Yonam Foundation, Seoul, South Korea</t>
  </si>
  <si>
    <t>Polar Academy Program (PAP) of the Korean Polar Research Institute (KOPRI)(Korea Polar Research Institute of Marine Research Placement (KOPRI)); LG Yonam Foundation, Seoul, South Korea</t>
  </si>
  <si>
    <t>This work was supported by a grant from the Polar Academy Program (PAP) of the Korean Polar Research Institute (KOPRI) and Dr. W. Park was supported by the LG Yonam Foundation, Seoul, South Korea.</t>
  </si>
  <si>
    <t>MICROBIOLOGICAL SOCIETY KOREA</t>
  </si>
  <si>
    <t>KOREA SCIENCE &amp; TECHNOLOGY CENTER 803, 635-4 YEOGSAM-DONG, KANGNAM-KU, SEOUL 135-703, SOUTH KOREA</t>
  </si>
  <si>
    <t>1225-8873</t>
  </si>
  <si>
    <t>1976-3794</t>
  </si>
  <si>
    <t>J MICROBIOL</t>
  </si>
  <si>
    <t>J. Microbiol.</t>
  </si>
  <si>
    <t>10.1007/s12275-012-2636-x</t>
  </si>
  <si>
    <t>061VW</t>
  </si>
  <si>
    <t>WOS:000312879300004</t>
  </si>
  <si>
    <t>Stephens, T; Atkin, D; Augustinus, P; Shane, P; Lorrey, A; Street-Perrott, A; Nilsson, A; Snowball, I</t>
  </si>
  <si>
    <t>Stephens, Thomas; Atkin, Daniel; Augustinus, Paul; Shane, Philip; Lorrey, Andrew; Street-Perrott, Alayne; Nilsson, Andreas; Snowball, Ian</t>
  </si>
  <si>
    <t>A late glacial Antarctic climate teleconnection and variable Holocene seasonality at Lake Pupuke, Auckland, New Zealand</t>
  </si>
  <si>
    <t>Climate and environmental change; Antarctic teleconnection; Seasonality; Elemental flux; Stable isotope; Erosion; Biological productivity; Mixing</t>
  </si>
  <si>
    <t>NORTHERN NEW-ZEALAND; MULTI-PROXY; ICE-CORE; TERRESTRIAL RECORDS; ORGANIC-CARBON; POLLEN RECORD; SOUTHERN ALPS; WATER-CONTENT; AGE; VEGETATION</t>
  </si>
  <si>
    <t>We present the first continuous paleolimnological reconstruction from the North Island of New Zealand (37A degrees S) that spans the last 48.2 cal kyr. A tephra- and radiocarbon-based chronology was developed to infer the timing of marked paleolimnological changes in Lake Pupuke, Auckland, New Zealand, identified using sedimentology, magnetic susceptibility, grain size and geochemistry (carbon, nitrogen and sulphur concentrations and fluxes, carbon and nitrogen stable isotopes). Variable erosional influx, biomass and benthic REDOX conditions are linked to changing effective precipitation and seasonality within three inferred broad intervals of climatic change: (1) the Last Glacial Coldest Phase (LGCP) of reduced effective precipitation and cooler temperatures, from 28.8 to 18.0 cal kyr BP, (2) the Last Glacial Interglacial Transition (LGIT) of increasing effective precipitation and warmer conditions, from 18.0 to 10.2 cal kyr BP, and (3) a Holocene interval of high effective precipitation, beginning with a warm period of limited seasonality from 10.2 cal kyr BP and followed by increasing seasonality from 7.6 cal kyr BP. The LGCP and LGIT also contain millennial-scale climate events, including the coldest inferred glacial conditions during the LGCP from 27.8 to 26.0 and 22.0-19.0 cal kyr BP, and a climate reversal in the LGIT associated with lower lake level, from 14.5 to 13.8 cal kyr BP, coeval with the Antarctic Cold Reversal. The onset of seasonal thermal stratification occurred at 5.7 cal kyr BP and was linked to natural eutrophication of Lake Pupuke, which produced enhanced organic sedimentation.</t>
  </si>
  <si>
    <t>[Stephens, Thomas; Atkin, Daniel; Augustinus, Paul; Shane, Philip] Univ Auckland, Sch Environm, Auckland 1, New Zealand; [Stephens, Thomas] Univ Florida, Dept Geol Sci, Gainesville, FL USA; [Lorrey, Andrew] Natl Inst Water &amp; Atmospher Res, Auckland, New Zealand; [Street-Perrott, Alayne] Univ Swansea, Dept Geog, Swansea, W Glam, Wales; [Nilsson, Andreas; Snowball, Ian] Lund Univ, Dept Earth &amp; Ecosyst Sci, Lund, Sweden</t>
  </si>
  <si>
    <t>University of Auckland; State University System of Florida; University of Florida; National Institute of Water &amp; Atmospheric Research (NIWA) - New Zealand; Swansea University; Lund University</t>
  </si>
  <si>
    <t>Augustinus, Paul/B-5125-2011; Shane, Phil/HKV-7633-2023</t>
  </si>
  <si>
    <t>Shane, Phil/0000-0002-7824-1184; Nilsson, Andreas/0000-0002-9528-1276; Augustinus, Paul/0000-0002-1391-2151; Snowball, Ian/0000-0002-6257-3088; Stephens, Thomas/0000-0002-0003-9269</t>
  </si>
  <si>
    <t>This research was supported by the Royal Society of New Zealand Marsden Fund (Project UOA-0517) and Natural Environment Research Council grant (Project IP/995/1107). We would like to thank Peter Crossley, Brendan Hall, Dave Wackrow, David Jenkinson, Hiroki Ogawa and Aleksandra Zawalna-Geer for their expertise and assistance during fieldwork. Two anonymous reviewers, Mark Brenner and Thomas Whitmore are also thanked for their revisions that have helped improve this manuscript.</t>
  </si>
  <si>
    <t>10.1007/s10933-012-9644-z</t>
  </si>
  <si>
    <t>WOS:000311395000008</t>
  </si>
  <si>
    <t>Aslam, SN; Cresswell-Maynard, T; Thomas, DN; Underwood, GJC</t>
  </si>
  <si>
    <t>Aslam, Shazia N.; Cresswell-Maynard, Tania; Thomas, David N.; Underwood, Graham J. C.</t>
  </si>
  <si>
    <t>Production and Characterization of the Intra- and Extracellular Carbohydrates and Polymeric Substances (Eps) of Three Sea-Ice Diatom Species, and Evidence for a Cryoprotective Role for Eps</t>
  </si>
  <si>
    <t>cryoprotection; dissolved carbohydrates; exopolymers; extracellular polymeric substances; polar diatoms; sea ice</t>
  </si>
  <si>
    <t>FRAGILARIOPSIS-CYLINDRUS BACILLARIOPHYCEAE; STAURONEIS-AMPHIOXYS GREGORY; BENTHIC DIATOMS; CYLINDROTHECA-CLOSTERIUM; WEDDELL SEA; SALT-STRESS; EXOPOLYMER PARTICLES; BINDING PROTEINS; EPIPELIC DIATOMS; CELL-WALL</t>
  </si>
  <si>
    <t>Diatoms and their associated extracellular polymeric substances (EPS) are major constituents of the microalgal assemblages present within sea ice. Yields and chemical composition of soluble and cell-associated polysaccharides produced by three sea-ice diatoms, Synedropsis sp., Fragilariopsis curta, and F. cylindrus, were compared. Colloidal carbohydrates (CC) contained heteropolysaccharides rich in mannose, xylose, galactose, and glucose. Synedropsis sp. CC consisted mainly of carbohydrates &lt;8 kDa size, with relatively soluble EPS, compared to high proportions of less-soluble EPS produced by both Fragilariopsis spp. F. curta colloidal EPS contained high concentrations of amino sugars (AS). Both Fragilariopsis species had high yields of hot bicarbonate (HB) soluble EPS, rich in xylose, mannose, galactose, and fucose (and AS in F. cylindrus). All species had frustule-associated EPS rich in glucosemannose. Nutrient limitation resulted in declines in EPS yields and in glucose content of all EPS fractions. Significant similarities between EPS fractions from cultures and different components of natural EPS from Antarctic sea ice were found. Increased salinity (52) reduced growth, but increased yields of EPS in Fragilariopsis cylindrus. Ice formation was inhibited byF. cylindrus, EPS, and by enhanced EPS content (additional xanthan gum) down to -12 degrees C, with growth rate reduced in the presence of xanthan. Differences in the production and composition of EPS between Synedropsis sp. and Fragilariopsis spp., and the association between EPS, freezing and cell survival, supports the hypothesis that EPS production is a strategy to assist polar ice diatoms to survive the cold and saline conditions present in sea ice.</t>
  </si>
  <si>
    <t>[Aslam, Shazia N.; Cresswell-Maynard, Tania; Underwood, Graham J. C.] Univ Essex, Sch Biol Sci, Colchester CO4 3SQ, Essex, England; [Thomas, David N.] Bangor Univ, Coll Nat Sci, Menai Bridge LL59 5AB, Anglesey, Wales; [Thomas, David N.] Finnish Environm Inst SYKE, Ctr Marine Res, FI-00251 Helsinki, Finland</t>
  </si>
  <si>
    <t>University of Essex; Bangor University; Finnish Environment Institute</t>
  </si>
  <si>
    <t>Underwood, GJC (corresponding author), Univ Essex, Sch Biol Sci, Wivenhoe Pk, Colchester CO4 3SQ, Essex, England.</t>
  </si>
  <si>
    <t>gjcu@essex.ac.uk</t>
  </si>
  <si>
    <t>Thomas, David Neville/B-1448-2010</t>
  </si>
  <si>
    <t>Thomas, David Neville/0000-0001-8832-5907; Underwood, Graham/0000-0001-5605-0697</t>
  </si>
  <si>
    <t>U.K. Natural Environment Research Council [NE/E016251/1]; Natural Environment Research Council [NE/E016251/1, NE/E015409/1] Funding Source: researchfish; NERC [NE/E016251/1, NE/E015409/1]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</si>
  <si>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</si>
  <si>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the U.K. Natural Environment Research Council (NE/E016251/1). We thank Dr. John Hallsworth, University of Belfast, Northern Ireland, Dr. Gerhard S. Dieckmann, Alfred-Wegener-Institute, Bremerhaven, Germany, and Dr. Thomas Mock, University of East Anglia, Norwich, U.K., for providing diatom strains. We thank Mr. John Green for all technical support for GC-MS analysis and Dr. Ben Green for PRIMER analysis, and the helpful comments of three anonymous reviewers.</t>
  </si>
  <si>
    <t>10.1111/jpy.12004</t>
  </si>
  <si>
    <t>WOS:000312459900020</t>
  </si>
  <si>
    <t>Laurent, LS; Garabato, ACN; Ledwell, JR; Thurnherr, AM; Toole, JM; Watson, AJ</t>
  </si>
  <si>
    <t>Laurent, L. St.; Garabato, A. C. Naveira; Ledwell, J. R.; Thurnherr, A. M.; Toole, J. M.; Watson, A. J.</t>
  </si>
  <si>
    <t>Turbulence and Diapycnal Mixing in Drake Passage</t>
  </si>
  <si>
    <t>TRACER-RELEASE EXPERIMENT; SOUTHERN-OCEAN; SPATIAL VARIABILITY; HAWAIIAN RIDGE; ABYSSAL OCEAN; TIDAL ENERGY; TOPOGRAPHY; DISSIPATION; PROFILES; TIDES</t>
  </si>
  <si>
    <t>Direct measurements of turbulence levels in the Drake Passage region of the Southern Ocean show a marked enhancement over the Phoenix Ridge. At this site, the Antarctic Circumpolar Current (ACC) is constricted in its flow between the southern tip of South America and the northern tip of the Antarctic Peninsula. Observed turbulent kinetic energy dissipation rates are enhanced in the regions corresponding to the ACC frontal zones where strong flow reaches the bottom. In these areas, turbulent dissipation levels reach 10(-8) W kg(-1) at abyssal and middepths. The mixing enhancement in the frontal regions is sufficient to elevate the diapycnal turbulent diffusivity acting in the deep water above the axis of the ridge to 1 x 10(-4) m(2) s(-1). This level is an order of magnitude larger than the mixing levels observed upstream in the ACC above smoother bathymetry. Outside of the frontal regions, dissipation rates are O(10(-10)) W kg(-1), comparable to the background levels of turbulence found throughout most mid-and low-latitude regions of the global ocean.</t>
  </si>
  <si>
    <t>[Laurent, L. St.; Toole, J. M.] Woods Hole Oceanog Inst, Dept Phys Oceanog, Woods Hole, MA 02543 USA; [Garabato, A. C. Naveira] Univ Southampton, Natl Oceanog Ctr, Southampton, Hants, England; [Ledwell, J. R.] Woods Hole Oceanog Inst, Dept Appl Ocean Phys &amp; Engn, Woods Hole, MA 02543 USA; [Thurnherr, A. M.] Lamont Doherty Earth Observ, Div Ocean &amp; Climate Phys, Palisades, NY USA; [Watson, A. J.] Univ E Anglia, Sch Environm Sci, Norwich NR4 7TJ, Norfolk, England</t>
  </si>
  <si>
    <t>Woods Hole Oceanographic Institution; NERC National Oceanography Centre; University of Southampton; Woods Hole Oceanographic Institution; Columbia University; University of East Anglia</t>
  </si>
  <si>
    <t>Laurent, LS (corresponding author), Woods Hole Oceanog Inst, Dept Phys Oceanog, 266 Woods Hole Rd,MS29, Woods Hole, MA 02543 USA.</t>
  </si>
  <si>
    <t>lstlaurent@whoi.edu</t>
  </si>
  <si>
    <t>Garabato, Alberto Naveira/AAQ-1114-2020</t>
  </si>
  <si>
    <t>Garabato, Alberto Naveira/0000-0001-6071-605X; Thurnherr, Andreas/0000-0002-1977-7122; Toole, John/0000-0003-2905-0637; Watson, Andrew/0000-0002-9654-8147</t>
  </si>
  <si>
    <t>U.S. National Science Foundation; Natural Environment Research Council of the United Kingdom; NERC [NE/E005985/1, NE/E007058/1] Funding Source: UKRI; Directorate For Geosciences; Division Of Ocean Sciences [1232962, 1030309] Funding Source: National Science Foundation; Natural Environment Research Council [NE/E007058/1, NE/E005985/1] Funding Source: researchfish</t>
  </si>
  <si>
    <t>U.S. National Science Foundation(National Science Foundation (NSF)); Natural Environment Research Council of the United Kingdom(UK Research &amp; Innovation (UKRI)Natural Environment Research Council (NERC)); NERC(UK Research &amp; Innovation (UKRI)Natural Environment Research Council (NERC)); Directorate For Geosciences; Division Of Ocean Sciences(National Science Foundation (NSF)NSF - Directorate for Geosciences (GEO)); Natural Environment Research Council(UK Research &amp; Innovation (UKRI)Natural Environment Research Council (NERC))</t>
  </si>
  <si>
    <t>We thank the crews and technicians on the R/V Thomas G. Thompson and the RRS James Cook. Invaluable assistance with the work was provided by A. Bogdanoff, P. Courtois, K. Decoteau, R. Krishfield, S. Lambert, K. Sheen, and others. R. Ferrari, E. Kunze, and M. Nikurashin provided valuable comments on the draft material for the manuscript. This work was supported by the U.S. National Science Foundation and by the Natural Environment Research Council of the United Kingdom.</t>
  </si>
  <si>
    <t>10.1175/JPO-D-12-027.1</t>
  </si>
  <si>
    <t>WOS:000313054800004</t>
  </si>
  <si>
    <t>di Prisco, G; Convey, P; Gutt, J; Cowan, D; Conlan, K; Verde, C</t>
  </si>
  <si>
    <t>di Prisco, Guido; Convey, Peter; Gutt, Julian; Cowan, Don; Conlan, Kathleen; Verde, Cinzia</t>
  </si>
  <si>
    <t>Understanding and protecting the world's biodiversity: The role and legacy of the SCAR programme Evolution and Biodiversity in the Antarctic</t>
  </si>
  <si>
    <t>Adaptation; Antarctica; Climate change; Biodiversity; Tolerance limit</t>
  </si>
  <si>
    <t>POLAR MARINE ECOSYSTEMS; CLIMATE-CHANGE; ENVIRONMENTAL-CHANGE; THERMAL TOLERANCE; SOUTHERN-OCEAN; ADAPTATION; LIFE; ECTOTHERMS; PHYSIOLOGY; RESPONSES</t>
  </si>
  <si>
    <t>Current global changes are prompting scientists and governments to consider the risk of extinction of species inhabiting environments influenced by ice. Concerted, multidisciplinary, international programmes aimed at understanding life processes, evolution and adaptations in the Polar Regions will help to counteract such an event by protecting polar life and ecosystems. There is a long tradition of international scientific cooperation in Antarctica that provides a strong foundation for such approaches. While basic understanding is emerging, we still largely lack predictive biological models, and need to achieve further integration amongst biological and non-biological disciplines. The ongoing SCAR Science Research Programme, Evolution and Biodiversity in the Antarctic (EBA) has successfully carried out its crucial role of providing an overarching umbrella for SCAR research in Life Sciences. Now is the time for aiming to progress beyond this important role, and the Antarctic biology community is proposing two programmes, focussed on distinct but complementary aspects of polar biology and working across marine, freshwater and terrestrial environments: State of the Antarctic Ecosystem (AntEco), and Antarctic Thresholds-Ecosystem Resilience and Adaptation (AnT-ERA). These programmes are the legacy of EBA, and they are key to understanding and protect Antarctic biodiversity.(C) 2012 Elsevier B.V. All rights reserved.</t>
  </si>
  <si>
    <t>[di Prisco, Guido; Verde, Cinzia] CNR, Inst Prot Biochem, I-80131 Naples, Italy; [Convey, Peter] British Antarctic Survey, Cambridge CB3 0ET, England; [Gutt, Julian] Alfred Wegener Inst Polar &amp; Marine Res, D-27568 Bremerhaven, Germany; [Cowan, Don] Univ Western Cape, Inst Microbial Biotechnol &amp; Metagen, ZA-7535 Cape Town, South Africa; [Conlan, Kathleen] Canadian Museum Nat, Ottawa, ON K1P 6P4, Canada</t>
  </si>
  <si>
    <t>Consiglio Nazionale delle Ricerche (CNR); Istituto di Biochimica delle Proteine (IBP-CNR); UK Research &amp; Innovation (UKRI); Natural Environment Research Council (NERC); NERC British Antarctic Survey; Helmholtz Association; Alfred Wegener Institute, Helmholtz Centre for Polar &amp; Marine Research; University of the Western Cape</t>
  </si>
  <si>
    <t>Verde, C (corresponding author), CNR, Inst Prot Biochem, Via Pietro Castellino 111, I-80131 Naples, Italy.</t>
  </si>
  <si>
    <t>pcon@bas.ac.uk; julian.gutt@awi.de; dcowan@uwc.ac.za; kconlan@mus-nature.ca; c.verde@ibp.cnr.it</t>
  </si>
  <si>
    <t>Convey, Peter/AAV-5728-2020; Cowan, Donald A/E-3991-2012</t>
  </si>
  <si>
    <t>Convey, Peter/0000-0001-8497-9903; Cowan, Donald A/0000-0001-8059-861X; VERDE, Cinzia/0000-0001-6185-282X; Gutt, Julian/0000-0003-3773-9370</t>
  </si>
  <si>
    <t>European Commission [ENV.2007.2.2.1.6]; NERC [bas0100025] Funding Source: UKRI; Natural Environment Research Council [bas0100025] Funding Source: researchfish</t>
  </si>
  <si>
    <t>European Commission(European Union (EU)European Commission Joint Research Centre); NERC(UK Research &amp; Innovation (UKRI)Natural Environment Research Council (NERC)); Natural Environment Research Council(UK Research &amp; Innovation (UKRI)Natural Environment Research Council (NERC))</t>
  </si>
  <si>
    <t>We gratefully acknowledge the enthusiastic participation and contributions of the vast community of involved scientists. EBA research also falls in the framework of the National Programmes on Polar Research, and of the project CAREX (Coordination Action for Research Activities on Life in Extreme Environments), European Commission FP7 call ENV.2007.2.2.1.6.</t>
  </si>
  <si>
    <t>10.1016/j.margen.2012.04.001</t>
  </si>
  <si>
    <t>WOS:000313381000002</t>
  </si>
  <si>
    <t>Testut, L; Birol, F; Delebecque, C</t>
  </si>
  <si>
    <t>Testut, L.; Birol, F.; Delebecque, C.</t>
  </si>
  <si>
    <t>Regional Tidal Modeling and Evaluation of Jason-2 Tidal Geophysical Correction</t>
  </si>
  <si>
    <t>MARINE GEODESY</t>
  </si>
  <si>
    <t>Altimetry; tide gauge; de-aliasing; tidal modeling; tidal geophysical correction</t>
  </si>
  <si>
    <t>SATELLITE ALTIMETRY; GLOBAL OCEAN; SEA</t>
  </si>
  <si>
    <t>Through a validation exercise in the Kerguelen Island over 13 global, regional, and local tidal atlases, we have demonstrated the superiority of finite element high resolution model at the coast. The evaluation of different tidal geophysical corrections on the de-aliasing performance of the Jason-2 mission exhibited strong differences in the coastal domain (&lt;1020km from the coast) with SLA variance reduction that can reach up to 30% from one model to another. The lack of resolution is pointed out as a possible responsible of these difference.</t>
  </si>
  <si>
    <t>[Testut, L.; Birol, F.; Delebecque, C.] LEGOS, F-31400 Toulouse, France</t>
  </si>
  <si>
    <t>Universite de Toulouse; Universite Toulouse III - Paul Sabatier; Centre National de la Recherche Scientifique (CNRS); Institut de Recherche pour le Developpement (IRD); Laboratoire d'Etudes en Geophysique et oceanographie spatiales</t>
  </si>
  <si>
    <t>Testut, L (corresponding author), LEGOS, 14 Av Edouard Belin, F-31400 Toulouse, France.</t>
  </si>
  <si>
    <t>Laurent.testut@legos.obs-mip.fr</t>
  </si>
  <si>
    <t>Birol, Florence/R-9791-2016</t>
  </si>
  <si>
    <t>Birol, Florence/0000-0002-7475-6017; Testut, Laurent/0000-0002-3969-2919</t>
  </si>
  <si>
    <t>CTOH/LEGOS, France; French National Space Agency (CNES); CNES joint Ocean Surface Topography Science Team (OST-ST) Project</t>
  </si>
  <si>
    <t>CTOH/LEGOS, France; French National Space Agency (CNES)(Centre National D'etudes Spatiales); CNES joint Ocean Surface Topography Science Team (OST-ST) Project</t>
  </si>
  <si>
    <t>Altimetry data used in this study were developed, validated, and distributed by the CTOH/LEGOS, France (http://www.legos.obs-mip.fr/en/observations/ ctoh/). Support from this research center is gratefully acknowledged. This research was also supported by the French National Space Agency (CNES) in the frame of the European Organisation for the Exploitation of Meteorological Satellites (EUMETSAT) and CNES joint Ocean Surface Topography Science Team (OST-ST) Project. The French mean sea level service SONEL and SHOM through the REFMAR project are acknowledged for providing time series and tidal constituents as well as the Sub-Antarctic and Antarctic ROSAME tide gauge network.</t>
  </si>
  <si>
    <t>0149-0419</t>
  </si>
  <si>
    <t>1521-060X</t>
  </si>
  <si>
    <t>MAR GEOD</t>
  </si>
  <si>
    <t>Mar. Geod.</t>
  </si>
  <si>
    <t>10.1080/01490419.2012.718642</t>
  </si>
  <si>
    <t>Geochemistry &amp; Geophysics; Oceanography; Remote Sensing</t>
  </si>
  <si>
    <t>066RT</t>
  </si>
  <si>
    <t>WOS:000313238600017</t>
  </si>
  <si>
    <t>Allen, R; Jarvis, D; Sayer, S; Mills, C</t>
  </si>
  <si>
    <t>Allen, Rebecca; Jarvis, Dan; Sayer, Sue; Mills, Cheryl</t>
  </si>
  <si>
    <t>Entanglement of grey seals Halichoerus grypus at a haul out site in Cornwall, UK</t>
  </si>
  <si>
    <t>Halichoerus; Grey; Seal; Net; Entanglement; Debris</t>
  </si>
  <si>
    <t>MAN-MADE DEBRIS; ANTARCTIC FUR SEALS; HAWAIIAN MONK SEAL; MARINE DEBRIS; NEW-ZEALAND; ACCUMULATION; PINNIPEDS; MORTALITY</t>
  </si>
  <si>
    <t>Entanglement in marine debris has been internationally recognised as a potential threat to marine species. Sightings records and a photo identification catalogue from a haul out site in southwest England were used to establish entanglement records for grey seals Halichoerus giypus. Between 2004 and 2008 the annual mean entanglement rates varied from 3.6% to 5%. The maximum recapture period for entangled seals compared to paired control seals was significantly less (p = 0.045) suggesting an increased mortality rate for affected seals. Of the 58 entangled cases in the catalogue, 64% had injuries that were deemed serious. Of the 15 cases where the entangling debris was visible, 14 were entangled in fisheries materials. The entanglement reported at this site could indicate a high rate of mortality and should be monitored carefully. On a more immediate level, entanglement represents a welfare issue for the affected animals. (C) 2012 Elsevier Ltd. All rights reserved.</t>
  </si>
  <si>
    <t>[Allen, Rebecca] Cornwall Coll Newquay, Newquay TR7 2LZ, Cornwall, England; [Sayer, Sue] Cornwall Seal Grp, Hayle TR27 5AD, Cornwall, England; [Sayer, Sue] British Divers Marine Life Rescue, Uckfield TN22 1DS, E Sussex, England; [Mills, Cheryl] Univ Exeter, Ctr Ecol &amp; Conservat, Sch Biosci, Penryn TR10 9EZ, Cornwall, England</t>
  </si>
  <si>
    <t>Allen, R (corresponding author), Cornwall Coll Newquay, Newquay TR7 2LZ, Cornwall, England.</t>
  </si>
  <si>
    <t>rebecca.allen@cornwall.ac.uk; Tolroydave@aol.com; sue@cornwallsealgroup.co.uk; cherylmillsuk@gmail.com</t>
  </si>
  <si>
    <t>Allen, Rebecca/0000-0003-2758-407X</t>
  </si>
  <si>
    <t>National Trust; British Divers Marine Life Rescue; Cornwall Wildlife Trust Marine Strandings Network</t>
  </si>
  <si>
    <t>The authors would like to thank the following individuals and organisations for their advice and support: Dr. M. Witt (University of Exeter), Dr. P. McGregor (Cornwall College), Mr. and Mrs. Hick (Polly Joke Car Park), National Trust, British Divers Marine Life Rescue, Cornwall Wildlife Trust Marine Strandings Network.</t>
  </si>
  <si>
    <t>10.1016/j.marpolbul.2012.09.005</t>
  </si>
  <si>
    <t>WOS:000313380800038</t>
  </si>
  <si>
    <t>Ford, JH; Bravington, MV; Robbins, J</t>
  </si>
  <si>
    <t>Ford, Jessica H.; Bravington, Mark V.; Robbins, Jooke</t>
  </si>
  <si>
    <t>Incorporating individual variability into mark-recapture models</t>
  </si>
  <si>
    <t>METHODS IN ECOLOGY AND EVOLUTION</t>
  </si>
  <si>
    <t>hidden Markov model; Individual heterogeneity; marine reserve; mark-recapture; multi-state; North Atlantic humpback whales</t>
  </si>
  <si>
    <t>JOLLY-SEBER MODEL; CAPTURE-RECAPTURE; HETEROGENEITY; PROBABILITIES; INFERENCE; BEHAVIOR; ANIMALS</t>
  </si>
  <si>
    <t>Understanding individual variation is a key challenge in ecology. Inherent individual differences in movement and behaviour pose fundamental problems in the analysis of markrecapture data as unmodelled individual differences can bias estimates of population size and survival rates. Multi-state markrecapture models have been the focus of much recent research but have yet to explicitly incorporate individual variability. We use a multi-state markrecapture model with individual-level random effects, built in admb-re, a software tool that automatically provides an accurate analytical approximation of the likelihood which is otherwise intractable. We tested the model using simulation studies and applied the model to data from North Atlantic humpback whales in the Stellwagen Bank National Marine Sanctuary where heterogeneity is apparent in both sighting probability and site preference. Simulation studies demonstrated accurate estimation of true parameter values with random effects models but bias sometimes resulted from fitting simpler models. In application to data from the North Atlantic humpback whales, we were able to estimate both annual variation in the local population and three measures of individual-level variation. Results indicate considerable heterogeneity within this population in both sighting probability and site preference. Ignoring random effects led to bias in estimates of proportion of time within a marine reserve.</t>
  </si>
  <si>
    <t>[Ford, Jessica H.] CSIRO Wealth Oceans Natl Res Flagship, Marine Lab, Hobart, Tas 7001, Australia; [Ford, Jessica H.] Univ Tasmania, Inst Marine &amp; Antarctic Studies, Sandy Bay, Tas 7005, Australia; [Bravington, Mark V.] CSIRO Math Informat &amp; Stat, Marine Lab, Hobart, Tas 7001, Australia; [Robbins, Jooke] Provincetown Ctr Coastal Studies, Provincetown, MA 02657 USA</t>
  </si>
  <si>
    <t>Commonwealth Scientific &amp; Industrial Research Organisation (CSIRO); University of Tasmania; Commonwealth Scientific &amp; Industrial Research Organisation (CSIRO)</t>
  </si>
  <si>
    <t>Ford, JH (corresponding author), CSIRO Wealth Oceans Natl Res Flagship, Marine Lab, Hobart, Tas 7001, Australia.</t>
  </si>
  <si>
    <t>jessica.ford@csiro.au</t>
  </si>
  <si>
    <t>Bravington, Mark V/E-8897-2010</t>
  </si>
  <si>
    <t>Robbins, Jooke/0000-0002-6382-722X</t>
  </si>
  <si>
    <t>2041-210X</t>
  </si>
  <si>
    <t>2041-2096</t>
  </si>
  <si>
    <t>METHODS ECOL EVOL</t>
  </si>
  <si>
    <t>Methods Ecol. Evol.</t>
  </si>
  <si>
    <t>10.1111/j.2041-210X.2012.00243.x</t>
  </si>
  <si>
    <t>056BN</t>
  </si>
  <si>
    <t>WOS:000312462000011</t>
  </si>
  <si>
    <t>Sun, C; Li, JP</t>
  </si>
  <si>
    <t>Sun, Cheng; Li, Jianping</t>
  </si>
  <si>
    <t>Space-Time Spectral Analysis of the Southern Hemisphere Daily 500-hPa Geopotential Height</t>
  </si>
  <si>
    <t>DOUBLE-FOURIER-SERIES; FREQUENCY FLOW INTERACTION; ANNULAR MODE; ANTARCTIC OSCILLATION; PLANETARY-WAVES; AMERICAN MODES; SYNOPTIC EDDY; PART I; VARIABILITY; DYNAMICS</t>
  </si>
  <si>
    <t>In this paper the authors use the NCEP-Department of Energy (DOE) Reanalysis 2 (NCEP2) data from 1979 to 2004 to expand the daily 500-hPa geopotential height in the Southern Hemisphere (SH, 90 degrees-20 degrees S) into a double Fourier series, and analyze the temporal frequency characteristics of the expansion coefficients over various spatial scales. For the daily series over the whole year, the coefficient series of the extratropical-mean height is characterized by a significant low-frequency (10-30 day) variation. For zonal waves with (k,l) = (1-5, 1), where k and l are the zonal and meridional wavenumbers, respectively, the low-frequency variability is most pronounced for zonal wavenumbers 3 and 4; while the short wave with zonal wavenumber 5 has significant high-frequency (4-8 day) variability. For meridional waves with (k, l) = (0, 2-6), the meridional dipole (l = 2) makes a major contribution to the low-frequency variability, consistent with the intraseasonal space-time features of the southern annular mode (SAM). The meridional tripole (l = 3) also exhibits low-frequency variability. For two-dimensional waves (k, l) = (1-5, 2-6), the dipole is a preferred meridional structure for intraseasonal modes with large zonal scales, indicating an out-of-phase relationship between low-frequency planetary-scale waves at mid-and high latitudes. The diagnostic results outlined above can be explained, to a certain extent, by the dispersion relation for Rossby waves. Theoretical analysis indicates that zonal wavenumber 3, zonally symmetric flow such as SAM, and planetary-scale waves with meridional dipole structures may be interpreted as low-frequency eigenmodes of the atmosphere.</t>
  </si>
  <si>
    <t>[Sun, Cheng; Li, Jianping] Chinese Acad Sci, Inst Atmospher Phys, State Key Lab Numer Modeling Atmospher Sci &amp; Geop, Beijing 100029, Peoples R China; [Sun, Cheng] Chinese Acad Sci, Grad Univ, Beijing 100029, Peoples R China</t>
  </si>
  <si>
    <t>Li, JP (corresponding author), Chinese Acad Sci, Inst Atmospher Phys, State Key Lab Numer Modeling Atmospher Sci &amp; Geop, POB 9804, Beijing 100029, Peoples R China.</t>
  </si>
  <si>
    <t>ljp@lasg.iap.ac.cn</t>
  </si>
  <si>
    <t>Sun, Cheng/O-7918-2015; Li, Jianping/I-2661-2012</t>
  </si>
  <si>
    <t>Sun, Cheng/0000-0003-0474-7593; Sun, Cheng/0000-0002-2859-5718</t>
  </si>
  <si>
    <t>973 program [2010CB950400]; NSFC [41030961]</t>
  </si>
  <si>
    <t>973 program(National Basic Research Program of China); NSFC(National Natural Science Foundation of China (NSFC))</t>
  </si>
  <si>
    <t>We wish to thank three anonymous reviewers, whose comments and suggestions substantially improved the quality of this paper. Funding for this research was provided jointly by the 973 program (2010CB950400) and the NSFC Key Project (41030961).</t>
  </si>
  <si>
    <t>10.1175/MWR-D-12-00019.1</t>
  </si>
  <si>
    <t>WOS:000311945300003</t>
  </si>
  <si>
    <t>Holland, PR; Kwok, R</t>
  </si>
  <si>
    <t>Holland, Paul R.; Kwok, Ron</t>
  </si>
  <si>
    <t>Wind-driven trends in Antarctic sea-ice drift</t>
  </si>
  <si>
    <t>SOUTHERN ANNULAR MODE; OCEAN SYSTEM; ROSS SEA; VARIABILITY; MOTION; CYCLE</t>
  </si>
  <si>
    <t>The sea-ice cover around Antarctica has experienced a slight expansion in area over the past decades(1,2). This small overall increase is the sum of much larger opposing trends in different sectors that have been proposed to result from changes in atmospheric temperature or wind stress(3-5), precipitation(6,7), ocean temperature(8), and atmosphere or ocean feedbacks(9,10). However, climate models have failed to reproduce the overall increase in sea ice(11). Here we present a data set of satellite-tracked sea-ice motion for the period of 1992-2010 that reveals large and statistically significant trends in Antarctic ice drift, which, in most sectors, can be linked to local winds. We quantify dynamic and thermodynamic processes in the internal ice pack and show that wind-driven changes in ice advection are the dominant driver of ice-concentration trends around much of West Antarctica, whereas wind-driven thermodynamic changes dominate elsewhere. The ice-drift trends also imply large changes in the surface stress that drives the Antarctic ocean gyres, and in the fluxes of heat and salt responsible for the production of Antarctic bottom and intermediate waters.</t>
  </si>
  <si>
    <t>[Holland, Paul R.] British Antarctic Survey, Cambridge CB3 0ET, England; [Kwok, Ron] CALTECH, Jet Prop Lab, Pasadena, CA 91109 USA</t>
  </si>
  <si>
    <t>UK Research &amp; Innovation (UKRI); Natural Environment Research Council (NERC); NERC British Antarctic Survey; California Institute of Technology; National Aeronautics &amp; Space Administration (NASA); NASA Jet Propulsion Laboratory (JPL)</t>
  </si>
  <si>
    <t>Holland, PR (corresponding author), British Antarctic Survey, Cambridge CB3 0ET, England.</t>
  </si>
  <si>
    <t>p.holland@bas.ac.uk</t>
  </si>
  <si>
    <t>Holland, Paul R/G-2796-2012; Kwok, Ronald/L-3968-2019; Kwok, Ron/A-9762-2008</t>
  </si>
  <si>
    <t>Kwok, Ronald/0000-0003-4051-5896; Kwok, Ron/0000-0003-4051-5896</t>
  </si>
  <si>
    <t>Natural Environment Research Council [bas0100028] Funding Source: researchfish; NERC [bas0100028] Funding Source: UKRI</t>
  </si>
  <si>
    <t>10.1038/NGEO1627</t>
  </si>
  <si>
    <t>047JH</t>
  </si>
  <si>
    <t>WOS:000311835800018</t>
  </si>
  <si>
    <t>Arneborg, L; Wåhlin, AK; Björk, G; Liljebladh, B; Orsi, AH</t>
  </si>
  <si>
    <t>Arneborg, L.; Wahlin, A. K.; Bjork, G.; Liljebladh, B.; Orsi, A. H.</t>
  </si>
  <si>
    <t>Persistent inflow of warm water onto the central Amundsen shelf</t>
  </si>
  <si>
    <t>PINE ISLAND GLACIER; ANTARCTIC ICE-SHEET; SEA</t>
  </si>
  <si>
    <t>The West Antarctic Ice Sheet contains enough ice to raise global sea level by several metres and, because it is grounded mainly below sea level, it is sensitive to ocean warming(1). Accelerated thinning of glaciers that discharge into the Amundsen Sea over the past decades(2-4) has been proposed to be related to the presence of warmer waters beneath the ice shelves(4-6). Three deep troughs crosscut the continental shelf of the Amundsen Sea, forming passages through which warm ocean waters can access the ice shelves, but oceanographic data has been limited. Here we present direct measurements from an ocean mooring and ship transect of the temperatures, salinities and velocities from one of these troughs in the central Amundsen Sea during the year 2010. The data show persistent inflow towards the ice shelf of relatively warm and salty water at the bottom of the trough throughout the year, and outflow of colder water above. Superposed on this background flow are barotropic current fluctuations that do not contribute significantly to the overall transport. In contrast to numerical models(7,8), which show seasonal inflow changes in response to regional winds, we find that warm water is supplied to the Central Amundsen Shelf without strong seasonal variability.</t>
  </si>
  <si>
    <t>[Arneborg, L.; Wahlin, A. K.; Bjork, G.; Liljebladh, B.] Univ Gothenburg, Dept Earth Sci, S-40530 Gothenburg, Sweden; [Orsi, A. H.] Texas A&amp;M Univ, Dept Oceanog, College Stn, TX 77843 USA</t>
  </si>
  <si>
    <t>University of Gothenburg; Texas A&amp;M University System; Texas A&amp;M University College Station</t>
  </si>
  <si>
    <t>Arneborg, L (corresponding author), Univ Gothenburg, Dept Earth Sci, Box 460, S-40530 Gothenburg, Sweden.</t>
  </si>
  <si>
    <t>laar@gvc.gu.se</t>
  </si>
  <si>
    <t>Wåhlin, Anna/U-3790-2017</t>
  </si>
  <si>
    <t>Wåhlin, Anna/0000-0003-1799-6476; Arneborg, Lars/0000-0003-0248-8110</t>
  </si>
  <si>
    <t>K&amp;A Wallenberg Foundation [KAW2007.0107]; SRC [824-2008-6439, 2010-19172-73868-33, 621-2008-2689]; NSF [ANT-0839005]</t>
  </si>
  <si>
    <t>K&amp;A Wallenberg Foundation(Knut &amp; Alice Wallenberg Foundation); SRC; NSF(National Science Foundation (NSF))</t>
  </si>
  <si>
    <t>Oden Southern Ocean 2008/2009, 2009/2010, and 2010/2011 cruises were supported by the National Science Foundation (NSF), Swedish Polar Research Secretariat, and the Swedish Research Council (SRC). Support for mooring construction was grant KAW2007.0107 from the K&amp;A Wallenberg Foundation. L. A., A. K. W., G. B., and B. L. were supported by the SRC (through grants 824-2008-6439, 2010-19172-73868-33, and 621-2008-2689), and A.H.O. by the NSF (under grant ANT-0839005). We are indebted to M. Jakobsson for making mooring deployment possible and to C. Wiederwohl for assisting on board the Oden 2009/2010 cruise. We are also grateful to the captains, crews, and technical personnel on board IB Oden, whose enthusiasm and skills made everything run smoothly.</t>
  </si>
  <si>
    <t>10.1038/NGEO1644</t>
  </si>
  <si>
    <t>WOS:000311835800019</t>
  </si>
  <si>
    <t>Bednarsek, N; Tarling, GA; Bakker, DCE; Fielding, S; Jones, EM; Venables, HJ; Ward, P; Kuzirian, A; Lézé, B; Feely, RA; Murphy, EJ</t>
  </si>
  <si>
    <t>Bednarsek, N.; Tarling, G. A.; Bakker, D. C. E.; Fielding, S.; Jones, E. M.; Venables, H. J.; Ward, P.; Kuzirian, A.; Leze, B.; Feely, R. A.; Murphy, E. J.</t>
  </si>
  <si>
    <t>Extensive dissolution of live pteropods in the Southern Ocean</t>
  </si>
  <si>
    <t>INORGANIC CARBON; ACIDIFICATION; ARAGONITE; DISSOCIATION; SATURATION; CONSTANTS; SEAWATER; MARINE; SYSTEM; IMPACT</t>
  </si>
  <si>
    <t>The carbonate chemistry of the surface ocean is rapidly changing with ocean acidification, a result of human activities(1). In the upper layers of the Southern Ocean, aragonite-a metastable form of calcium carbonate with rapid dissolution kinetics-may become undersaturated by 2050 (ref. 2). Aragonite undersaturation is likely to affect aragonite-shelled organisms, which can dominate surface water communities in polar regions(3). Here we present analyses of specimens of the pteropod Limacina helicina antarctica that were extracted live from the Southern Ocean early in 2008. We sampled from the top 200 m of the water column, where aragonite saturation levels were around 1, as upwelled deep water is mixed with surface water containing anthropogenic CO2. Comparing the shell structure with samples from aragonite-supersaturated regions elsewhere under a scanning electron microscope, we found severe levels of shell dissolution in the undersaturated region alone. According to laboratory incubations of intact samples with a range of aragonite saturation levels, eight days of incubation in aragonite saturation levels of 0.94-1.12 produces equivalent levels of dissolution. As deep-water upwelling and CO2 absorption by surface waters is likely to increase as a result of human activities(2,4), we conclude that upper ocean regions where aragonite-shelled organisms are affected by dissolution are likely to expand.</t>
  </si>
  <si>
    <t>[Bednarsek, N.; Bakker, D. C. E.; Leze, B.] Univ E Anglia, Sch Environm Sci, Norwich NR4 7TJ, Norfolk, England; [Bednarsek, N.; Tarling, G. A.; Fielding, S.; Venables, H. J.; Ward, P.; Murphy, E. J.] British Antarctic Survey, NERC, Cambridge CB3 0ET, England; [Bednarsek, N.] Univ Nova Gorica, Nova Gorica 5000, Slovenia; [Jones, E. M.] Royal Netherlands Inst Sea Res, NL-1790 AB Den Burg, Texel, Netherlands; [Kuzirian, A.] Woods Hole Oceanog Inst, Dept Geol &amp; Geophys, Woods Hole, MA 02543 USA; [Feely, R. A.] NOAA, Pacific Marine Environm Lab, Seattle, WA 98115 USA</t>
  </si>
  <si>
    <t>University of East Anglia; UK Research &amp; Innovation (UKRI); Natural Environment Research Council (NERC); NERC British Antarctic Survey; University of Nova Gorica; Utrecht University; Royal Netherlands Institute for Sea Research (NIOZ); Woods Hole Oceanographic Institution; National Oceanic Atmospheric Admin (NOAA) - USA</t>
  </si>
  <si>
    <t>Tarling, GA (corresponding author), British Antarctic Survey, NERC, Madingley Rd, Cambridge CB3 0ET, England.</t>
  </si>
  <si>
    <t>gant@bas.ac.uk</t>
  </si>
  <si>
    <t>Feely, Richard A./ABI-5740-2020; Bednarsek, Nina/Q-8937-2017; Fielding, Sophie/E-5137-2012; bednarsek, nina/AAM-7748-2021; murphy, eugene/GZL-1620-2022; Bakker, Dorothee/E-4951-2015</t>
  </si>
  <si>
    <t>bednarsek, nina/0000-0002-9177-6626; Bakker, Dorothee/0000-0001-9234-5337</t>
  </si>
  <si>
    <t>FAASIS (Fellowships in Antarctic Air-Sea-Ice Science), a Marie Curie Early Stage Training Network; NERC; Defra; DECC [NE/H017267/1]; Natural Environment Research Council [NE/H017038/1, bas0100025, NE/H017267/1] Funding Source: researchfish; NERC [NE/H017038/1, NE/H017267/1, bas0100025] Funding Source: UKRI</t>
  </si>
  <si>
    <t>FAASIS (Fellowships in Antarctic Air-Sea-Ice Science), a Marie Curie Early Stage Training Network; NERC(UK Research &amp; Innovation (UKRI)Natural Environment Research Council (NERC)); Defra(Department for Environment, Food &amp; Rural Affairs (DEFRA)); DECC; Natural Environment Research Council(UK Research &amp; Innovation (UKRI)Natural Environment Research Council (NERC)); NERC(UK Research &amp; Innovation (UKRI)Natural Environment Research Council (NERC))</t>
  </si>
  <si>
    <t>This work was supported by the FAASIS (Fellowships in Antarctic Air-Sea-Ice Science), a Marie Curie Early Stage Training Network awarded to N.B. G.A.T., S.F. and P.W. carried out this work as part of the Ecosystems core-science programme at the British Antarctic Survey. G.A.T., P.W. and D.B. received further support during the analysis and synthesis stages from the pelagic consortium of the UK Ocean Acidification programme, funded by NERC, Defra and DECC (grant no. NE/H017267/1). D. McCorkle and A. Cohen of Woods Hole Oceanographic Institution helped develop a shell preparation method and commented on previous drafts of the manuscript. Image analysis was carried out at the University of East Anglia with the assistance of R. Montagna. Sampling operations were supported by the officers and crew of the RRS James Clark Ross with net-sampling equipment support from P. Enderlein of the British Antarctic Survey. P. Bucktrout assisted with graphical presentations.</t>
  </si>
  <si>
    <t>10.1038/NGEO1635</t>
  </si>
  <si>
    <t>WOS:000311835800020</t>
  </si>
  <si>
    <t>Lewis, S; Nussey, DH; Wood, AG; Croxall, JP; Phillips, RA</t>
  </si>
  <si>
    <t>Lewis, Sue; Nussey, Daniel H.; Wood, Andrew G.; Croxall, John P.; Phillips, Richard A.</t>
  </si>
  <si>
    <t>Intrinsic determinants of a population trend in timing of breeding in the wandering albatross</t>
  </si>
  <si>
    <t>OIKOS</t>
  </si>
  <si>
    <t>LONG-LIVED BIRD; PHENOTYPIC PLASTICITY; CLIMATE-CHANGE; REPRODUCTIVE SENESCENCE; ENVIRONMENTAL-CHANGE; INDIVIDUAL VARIATION; NATURAL-SELECTION; REACTION NORMS; LAYING DATE; WILD</t>
  </si>
  <si>
    <t>Numerous studies of wild animal species have documented that population level responses to environmental change are underpinned by individual level phenotypic plasticity. However, where the relationship between an individual trait and a climate variable occurs when both show a trend over time, phenotypic plasticity may be confounded by ageing. We investigated between and within individual change in laying date in the wandering albatross Diomedea exulans, a long-lived species experiencing a dramatic decline in population size. Laying date has advanced over the last three decades. A mean-centering analysis demonstrated that this pattern was driven by within-individual changes as opposed to appearance or disappearance of phenotypes. Furthermore, a lack of between individual effect suggested the change resulted from ageing as opposed to phenotypic plasticity. Females varied significantly in rate of advance, such that those with low past reproductive rates exhibited a negative temporal trend in laying date, whereas birds with moderate to high past reproductive performance showed little change. The population trend was therefore driven by a subset with low past breeding success. An analysis of effects of timing of breeding on breeding success revealed stabilizing selection for relative laying date. Furthermore, current breeding success was positively related to past success rate, which suggests that there may be indirect selection against plasticity in this population. Our results show that population trends can arise from individual level change unrelated to prevailing environmental conditions, thus demonstrating the importance of longitudinal analyses in the interpretation of climate change effects.</t>
  </si>
  <si>
    <t>[Lewis, Sue; Nussey, Daniel H.] Univ Edinburgh, Inst Evolutionary Biol, Ashworth Labs, Edinburgh EH9 3JT, Midlothian, Scotland; [Wood, Andrew G.; Croxall, John P.; Phillips, Richard A.] British Antarctic Survey, NERC, Cambridge CB3 0ET, England; [Croxall, John P.] BirdLife Int, Cambridge CB3 0NA, England</t>
  </si>
  <si>
    <t>University of Edinburgh; UK Research &amp; Innovation (UKRI); Natural Environment Research Council (NERC); NERC British Antarctic Survey; BirdLife International</t>
  </si>
  <si>
    <t>Lewis, S (corresponding author), Univ Edinburgh, Inst Evolutionary Biol, Ashworth Labs, Kings Buildings,W Mains Rd, Edinburgh EH9 3JT, Midlothian, Scotland.</t>
  </si>
  <si>
    <t>sue.lewis@ed.ac.uk</t>
  </si>
  <si>
    <t>Nussey, Daniel H/F-4155-2010; Lewis, Sue/D-3380-2012</t>
  </si>
  <si>
    <t>Lewis, Sue/0000-0003-3511-2259</t>
  </si>
  <si>
    <t>NERC; Biotechnology and Biological Sciences Research Council [BB/H021868/1] Funding Source: researchfish; Natural Environment Research Council [bas0100025, NE/E012906/1] Funding Source: researchfish; BBSRC [BB/H021868/1] Funding Source: UKRI; NERC [NE/E012906/1, bas0100025] Funding Source: UKRI</t>
  </si>
  <si>
    <t>NERC(UK Research &amp; Innovation (UKRI)Natural Environment Research Council (NERC)); Biotechnology and Biological Sciences Research Council(UK Research &amp; Innovation (UKRI)Biotechnology and Biological Sciences Research Council (BBSRC)); Natural Environment Research Council(UK Research &amp; Innovation (UKRI)Natural Environment Research Council (NERC)); BBSRC(UK Research &amp; Innovation (UKRI)Biotechnology and Biological Sciences Research Council (BBSRC)); NERC(UK Research &amp; Innovation (UKRI)Natural Environment Research Council (NERC))</t>
  </si>
  <si>
    <t>The work presented here could not have been carried out without the long term data collection by field workers at Bird Island, South Georgia. We warmly thank Francis Daunt and Thomas Reed for constructive comments on the manuscript and Craig Walling for useful discussion. We are also very grateful to Andrew Fleming, David Ramm and Geoff Tuck for the provision of SST and fishing effort data. This study represents a contribution to the British Antarctic Survey Ecosystems Programme. This work was supported by NERC postdoctoral fellowships to SL and DHN.</t>
  </si>
  <si>
    <t>0030-1299</t>
  </si>
  <si>
    <t>1600-0706</t>
  </si>
  <si>
    <t>Oikos</t>
  </si>
  <si>
    <t>10.1111/j.1600-0706.2012.20293.x</t>
  </si>
  <si>
    <t>041HI</t>
  </si>
  <si>
    <t>WOS:000311390500016</t>
  </si>
  <si>
    <t>Crous, PW; Shivas, RG; Wingfield, MJ; Summerell, BA; Rossman, AY; Alves, JL; Adams, GC; Barreto, RW; Bell, A; Coutinho, ML; Flory, SL; Gates, G; Grice, KR; Hardy, GES; Kleczewski, NM; Lombard, L; Longa, CMO; Louis-Seize, G; Macedo, F; Mahoney, DP; Maresi, G; Martin-Sanchez, PM; Marvanová, L; Minnis, AM; Morgado, LN; Noordeloos, ME; Phillips, AJL; Quaedvlieg, W; Ryan, PG; Saiz-Jimenez, C; Seifert, KA; Swart, WJ; Tan, YP; Tanney, JB; Thu, PQ; Videira, SIR; Walker, DM; Groenewald, JZ</t>
  </si>
  <si>
    <t>Crous, P. W.; Shivas, R. G.; Wingfield, M. J.; Summerell, B. A.; Rossman, A. Y.; Alves, J. L.; Adams, G. C.; Barreto, R. W.; Bell, A.; Coutinho, M. L.; Flory, S. L.; Gates, G.; Grice, K. R.; Hardy, G. E. St J.; Kleczewski, N. M.; Lombard, L.; Longa, C. M. O.; Louis-Seize, G.; Macedo, F.; Mahoney, D. P.; Maresi, G.; Martin-Sanchez, P. M.; Marvanova, L.; Minnis, A. M.; Morgado, L. N.; Noordeloos, M. E.; Phillips, A. J. L.; Quaedvlieg, W.; Ryan, P. G.; Saiz-Jimenez, C.; Seifert, K. A.; Swart, W. J.; Tan, Y. P.; Tanney, J. B.; Thu, P. Q.; Videira, S. I. R.; Walker, D. M.; Groenewald, J. Z.</t>
  </si>
  <si>
    <t>Fungal Planet description sheets: 128-153</t>
  </si>
  <si>
    <t>PERSOONIA</t>
  </si>
  <si>
    <t>ITS DNA barcodes; LSU; novel fungal species; systematics</t>
  </si>
  <si>
    <t>LEAF-BLIGHT DISEASE; SOOTY BLOTCH; PHYLOGENY; BIPOLARIS; MYCOSPHAERELLA; GENUS; COCHLIOBOLUS; MICROFUNGI; TAXONOMY; COMPLEX</t>
  </si>
  <si>
    <t>Novel species of microfungi described in the present study include the following from Australia: Catenulostroma corymbiae from Corymbia, Devriesia stirlingiae from Stirlingia, Penidiella carpentariae from Carpentaria, Phaeococcomyces eucalypti from Eucalyptus, Phialophora livistonae from Livistona, Phyllosticta aristolochiicola from Aristolochia, Clitopilus austroprunulus on sclerophyll forest litter of Eucalyptus regnans and Toxicocladosporium posoqueriae from Posoqueria. Several species are also described from South Africa, namely: Ceramothyrium podocarpi from Podocarpus, Cercospora chrysanthemoides from Chrysanthemoides, Devriesia shakazului from Aloe, Penidiella drakensbergensis from Protea, Strelitziana cliviae from Clivia and Zasmidium syzygii from Syzygium. Other species include Bipolaris microstegii from Microstegium and Synchaetomella acerina from Acer (USA), Brunneiapiospora austropalmicola from Rhopalostylis (New Zealand), Calonectria pentaseptata from Eucalyptus and Macadamia (Vietnam), Ceramothyrium melastoma from Melastoma (Indonesia), Collembolispora aristata from stream foam (Czech Republic), Devriesia imbrexigena from glazed decorative tiles (Portugal), Microcyclospora rhoicola from Rhus (Canada), Seiridium phylicae from Phylica (Tristan de Cunha, Inaccessible Island), Passalora lobeliae-fistulosis from Lobelia (Brazil) and Zymoseptoria verkleyi from Poa (The Netherlands). Valsalnicola represents a new ascomycete genus from Alnus (Austria) and Parapenidiella a new hyphomycete genus from Eucalyptus (Australia). Morphological and culture characteristics along with ITS DNA barcodes are also provided.</t>
  </si>
  <si>
    <t>[Crous, P. W.; Lombard, L.; Quaedvlieg, W.; Videira, S. I. R.; Groenewald, J. Z.] CBS KNAW Fungal Biodivers Ctr, NL-3584 CT Utrecht, Netherlands; [Shivas, R. G.; Tan, Y. P.] Biosecur Queensland, Ecosci Precinct, Brisbane, Qld 4001, Australia; [Wingfield, M. J.] Univ Pretoria, Forestry &amp; Agr Biotechnol Inst, ZA-0002 Pretoria, South Africa; [Summerell, B. A.] Royal Bot Gardens &amp; Domain Trust, Sydney, NSW 2000, Australia; [Rossman, A. Y.] ARS, Systemat Mycol &amp; Microbiol Lab, USDA, Beltsville, MD 20705 USA; [Alves, J. L.; Barreto, R. W.] Univ Fed Vicosa, BR-3657000 Vicosa, MG, Brazil; [Adams, G. C.] Univ Nebraska, Dept Plant Pathol, Lincoln, NE 68583 USA; [Coutinho, M. L.; Macedo, F.] Univ Nova Lisboa, REQUIMTE CQFB, P-2829516 Monte De Caparica, Caparica, Portugal; [Coutinho, M. L.; Macedo, F.] Univ Nova Lisboa, Dept Conservacao &amp; Restauro, Fac Ciencias &amp; Tecnol, P-2829516 Monte De Caparica, Caparica, Portugal; [Flory, S. L.] Univ Florida, Dept Agron, Gainesville, FL 32611 USA; [Gates, G.] Univ Tasmania, Sch Plant Sci, Hobart, Tas, Australia; [Grice, K. R.] Agri Sci Queensland, Mareeba, Qld 4880, Australia; [Hardy, G. E. St J.] Murdoch Univ, Sch Biol Sci &amp; Biotechnol, Murdoch, WA 6150, Australia; [Kleczewski, N. M.] Purdue Univ, Dept Bot &amp; Plant Pathol, SW Purdue Agr Program, Vincennes, IN 47591 USA; [Longa, C. M. O.] FEM IASMA Res &amp; Innovat Ctr, Sustainable Agroecosyst &amp; Bioresources Dept, I-38010 San Michele All Adige, TN, Italy; [Louis-Seize, G.; Seifert, K. A.; Tanney, J. B.] Agr &amp; Agri Food Canada, Biodivers Mycol &amp; Bot, Ottawa, ON K1A 0C6, Canada; [Maresi, G.; Saiz-Jimenez, C.] IASMA Ctr Technol Transfer, I-38010 San Michele All Adige, TN, Italy; [Martin-Sanchez, P. M.; Saiz-Jimenez, C.] IRNAS CSIC, Inst Recursos Nat &amp; Agrobiol, Seville 41012, Spain; [Marvanova, L.] Masaryk Univ, Fac Sci, Inst Expt Biol, Czech Collect Microorganisms, Brno 60200, Czech Republic; [Minnis, A. M.] US Forest Serv, Ctr Forest Mycol Res, No Res Stn, USDA, Madison, WI 53726 USA; [Morgado, L. N.; Noordeloos, M. E.] Leiden Univ, Natl Herbarium Netherlands, Nat Biodivers Ctr, NL-2300 RA Leiden, Netherlands; [Phillips, A. J. L.] Univ Nova Lisboa, CREM, Dept Ciencias Vida, Fac Ciencias &amp; Tecnol, P-2829516 Monte De Caparica, Caparica, Portugal; [Ryan, P. G.] Univ Cape Town, Percy Fitzpatrick Inst African Ornithol, ZA-7701 Rondebosch, South Africa; [Swart, W. J.] Univ Orange Free State, Dept Plant Pathol, ZA-9300 Bloemfontein, South Africa; [Thu, P. Q.] Forest Sci Inst Vietnam, Hanoi, Vietnam; [Walker, D. M.] Univ Findlay, Dept Nat Sci, Findlay, OH 45840 USA</t>
  </si>
  <si>
    <t>Royal Netherlands Academy of Arts &amp; Sciences; Westerdijk Fungal Biodiversity Institute (KNAW); Queensland Department of Agriculture &amp; Fisheries; University of Pretoria; United States Department of Agriculture (USDA); Universidade Federal de Vicosa; University of Nebraska System; University of Nebraska Lincoln; Universidade Nova de Lisboa; Universidade Nova de Lisboa; State University System of Florida; University of Florida; University of Tasmania; Queensland Department of Agriculture &amp; Fisheries; Murdoch University; Purdue University System; Purdue University; Fondazione Edmund Mach; Agriculture &amp; Agri Food Canada; Fondazione Edmund Mach; Consejo Superior de Investigaciones Cientificas (CSIC); CSIC - Instituto de Recursos Naturales y Agrobiologia de Sevilla (IRNAS); Masaryk University Brno; United States Department of Agriculture (USDA); United States Forest Service; Leiden University; Naturalis Biodiversity Center; Leiden University - Excl LUMC; Universidade Nova de Lisboa; University of Cape Town; University of the Free State; Vietnam National University of Agriculture (VNUA); University System of Ohio; University of Findlay</t>
  </si>
  <si>
    <t>Crous, PW (corresponding author), CBS KNAW Fungal Biodivers Ctr, NL-3508 AD Utrecht, Netherlands.</t>
  </si>
  <si>
    <t>p.crous@cbs.knaw.nl; roger.shivas@daff.qld.gov.au; mike.wingfield@fabi.up.ac.za; Brett.Summerell@rbgsyd.nsw.gov.au; Amy.Rossman@ars.usda.gov; gadams3@unl.edu; rbarreto@ufv.br; AskUs@xtra.co.nz; mathildal@gmail.com; flory@ufl.edu; Genevieve.Gates@utas.edu.au; kathy.grice@daff.qld.gov.au; g.hardy@murdoch.edu.au; nkleczew@purdue.edu; l.lombard@cbs.knaw.nl; claudia.longa@fmach.it; louis16g@agr.gc.ca; giorgio.maresi@fmach.it; pmartin@irnase.csic.es; ludmila@sci.muni.cz; amminnis@fs.fed.us; luis.morgado@naturalis.nl; chiel.noordeloos@naturalis.nl; alp@fct.unl.pt; w.quaedvlieg@cbs.knaw.nl; pryan31@gmail.com; saiz@irnase.csic.es; keith.seifert@agr.gc.ca; Swartwj@ufs.ac.za; yupei.tan@daff.qld.gov.au; Joey.Tanney@agr.gc.ca; vkhln@vista.gov.vn; s.videira@cbs.knaw.nl; walkerd@findlay.edu; e.groenewald@cbs.knaw.nl</t>
  </si>
  <si>
    <t>Noordeloos, Machiel Evert/JWA-9206-2024; Lombard, Lorenzo/B-2042-2010; Walker, Donald/HJI-9043-2023; Swart, Wijnand J/D-1207-2014; Crous, Pedro/H-1489-2012; Coutinho, Mathilda/C-7044-2013; Videira, Sandra/C-8593-2013; Quaedvlieg, William J.M./C-9449-2013; Hardy, Giles/B-2432-2013; SAIZ-JIMENEZ, CESAREO/I-8885-2012; Lombard, Lorenzo/GSD-5228-2022; Crous, Pedro/ISB-2589-2023; Martin-Sanchez, Pedro M/A-8021-2016; Phillips, Alan John, Lander/C-6102-2011; Martin-Sanchez, Pedro M./ABI-4509-2020; Wingfield, Michael J/A-9473-2008; Groenewald, Johannes Z/F-4667-2011; Marvanová, Ludmila/IWU-5562-2023; Summerell, Brett/B-4934-2010</t>
  </si>
  <si>
    <t>Coutinho, Mathilda/0000-0002-3802-1363; Videira, Sandra/0000-0002-4632-0777; Hardy, Giles/0000-0001-7419-5064; Phillips, Alan John, Lander/0000-0001-6367-9784; Martin-Sanchez, Pedro M./0000-0003-2674-8650; Groenewald, Johannes Z/0000-0002-9474-6246; Tan, Yu Pei/0000-0002-4565-6148; Kleczewski, Nathan/0000-0001-5671-6727; maresi, giorgio/0000-0001-6806-6135; Marvanova, Ludmila/0000-0002-0941-0204; OLIVEIRA LONGA, CLAUDIA MARIA/0000-0003-2819-2844; Ryan, Peter/0000-0002-3356-2056; Summerell, Brett/0000-0002-6666-5756; Shivas, Roger/0000-0001-7494-8716; Macedo, Maria Filomena/0000-0003-4366-4192</t>
  </si>
  <si>
    <t>Fundacao para a Ciencia e a Tecnologia, Portugal [SFRH/BD/46038/2008, PEst-OE/BIA/UI0457/2011]; Ministry of Education, Youth and Sports, Czech Republic [MSM 0021622416]; Fundação para a Ciência e a Tecnologia [SFRH/BD/46038/2008, PEst-OE/BIA/UI0457/2011] Funding Source: FCT</t>
  </si>
  <si>
    <t>Fundacao para a Ciencia e a Tecnologia, Portugal(Fundacao para a Ciencia e a Tecnologia (FCT)); Ministry of Education, Youth and Sports, Czech Republic(Ministry of Education, Youth &amp; Sports - Czech RepublicCzech Republic Government); Fundação para a Ciência e a Tecnologia(Fundacao para a Ciencia e a Tecnologia (FCT))</t>
  </si>
  <si>
    <t>We thank the technical staff, A. van Iperen (cultures), M. Vermaas (photographic plates), and M. Starink-Willemse (DNA isolation, amplification and sequencing) for their invaluable assistance. Sincere thanks to Dr Barry Sneddon and Dr Patrick Brownsey for their help in confirming the host substrate (FP 130), and to Kerie McCombe and Andrew Millar for some of the photographs used. Kathie Hodge, Rebecca Bennett and D.H. DeFoe are thanked for collecting some of the specimens studied here (FP 150). The South African National Antarctic Programme is thanked for logistic support and Tristan da Cunha's Conservation Department for permission to collect samples (FP 147). Fundacao para a Ciencia e a Tecnologia, Portugal is thanked for grant SFRH/BD/46038/2008 (M. Couthinho) and PEst-OE/BIA/UI0457/2011 (A.J.L. Phillips). The contribution of L. Marvanova is part of the project MSM 0021622416 of the Ministry of Education, Youth and Sports, Czech Republic.</t>
  </si>
  <si>
    <t>RIJKSHERBARIUM</t>
  </si>
  <si>
    <t>PO BOX 9514, 2300 RA LEIDEN, NETHERLANDS</t>
  </si>
  <si>
    <t>0031-5850</t>
  </si>
  <si>
    <t>Persoonia</t>
  </si>
  <si>
    <t>10.3767/003158512X661589</t>
  </si>
  <si>
    <t>073LQ</t>
  </si>
  <si>
    <t>Green Submitted, Green Accepted, Green Published</t>
  </si>
  <si>
    <t>WOS:000313744900011</t>
  </si>
  <si>
    <t>Goswami, N; Roma, PG; De Boever, P; Clément, G; Hargens, AR; Loeppky, JA; Evans, JM; Stein, TP; Blaber, AP; Van Loon, JJWA; Mano, T; Iwase, S; Reitz, G; Hinghofer-Szalkay, HG</t>
  </si>
  <si>
    <t>Goswami, Nandu; Roma, Peter G.; De Boever, Patrick; Clement, Gilles; Hargens, Alan R.; Loeppky, Jack A.; Evans, Joyce M.; Stein, T. Peter; Blaber, Andrew P.; Van Loon, Jack J. W. A.; Mano, Tadaaki; Iwase, Satoshi; Reitz, Guenther; Hinghofer-Szalkay, Helmut G.</t>
  </si>
  <si>
    <t>Using the Moon as a high-fidelity analogue environment to study biological and behavioral effects of long-duration space exploration</t>
  </si>
  <si>
    <t>Workshop on Scientific Preparations for Lunar Exploration</t>
  </si>
  <si>
    <t>FEB 06-07, 2012</t>
  </si>
  <si>
    <t>ESA, ESTEC, Noordwijk, NETHERLANDS</t>
  </si>
  <si>
    <t>ESA, ESTEC</t>
  </si>
  <si>
    <t>Physiology; Orthostatic tolerance; Muscle deconditioning; Behavioral health; Psychosocial adaptation; Radiation; Lunar dust; Genes; Proteomics</t>
  </si>
  <si>
    <t>PERIPHERAL-BLOOD TRANSCRIPTOME; SYMPATHETIC-NERVE ACTIVITY; BODY POSITIVE-PRESSURE; ASTRONAUTS; MICROGRAVITY; EXPOSURE; RISK; PERFORMANCE; ADAPTATION; PERCEPTION</t>
  </si>
  <si>
    <t>Due to its proximity to Earth, the Moon is a promising candidate for the location of an extra-terrestrial human colony. In addition to being a high-fidelity platform for research on reduced gravity, radiation risk, and circadian disruption, the Moon qualifies as an isolated, confined, and extreme (ICE) environment suitable as an analog for studying the psychosocial effects of long-duration human space exploration missions and understanding these processes. In contrast, the various Antarctic research outposts such as Concordia and McMurdo serve as valuable platforms for studying biobehavioral adaptations to ICE environments, but are still Earth-bound, and thus lack the low-gravity and radiation risks of space. The International Space Station (ISS), itself now considered an analog environment for long-duration missions, better approximates the habitable infrastructure limitations of a lunar colony than most Antarctic settlements in an altered gravity setting. However, the ISS is still protected against cosmic radiation by the Earth magnetic field, which prevents high exposures due to solar particle events and reduces exposures to galactic cosmic radiation. On Moon the ICE environments are strengthened, radiations of all energies are present capable of inducing performance degradation, as well as reduced gravity and lunar dust. The interaction of reduced gravity, radiation exposure, and ICE conditions may affect biology and behavior - and ultimately mission success - in ways the scientific and operational communities have yet to appreciate, therefore a long-term or permanent human presence on the Moon would ultimately provide invaluable high-fidelity opportunities for integrated multidisciplinary research and for preparations of a manned mission to Mars. (C) 2012 Elsevier Ltd. All rights reserved.</t>
  </si>
  <si>
    <t>[Goswami, Nandu; Hinghofer-Szalkay, Helmut G.] Med Univ Graz, Ctr Physiol Med, Inst Physiol, A-8010 Graz, Austria; [Roma, Peter G.] Inst Behav Resources, Baltimore, MD USA; [Roma, Peter G.] Johns Hopkins Univ, Sch Med, Dept Psychiat &amp; Behav Sci, Baltimore, MD 21205 USA; [De Boever, Patrick] Flemish Inst Technol Res VITO, Mol, Belgium; [De Boever, Patrick] Hasselt Univ, Ctr Environm Sci, Diepenbeek, Belgium; [Clement, Gilles] Int Space Univ, Strasbourg, France; [Hargens, Alan R.] Univ Calif San Diego, San Diego, CA 92103 USA; [Loeppky, Jack A.] Vet Affairs Med Ctr, Albuquerque, NM USA; [Evans, Joyce M.] Univ Kentucky, Ctr Biomed Engn, Lexington, KY 40506 USA; [Stein, T. Peter] Univ Med &amp; Dent New Jersey, Dept Surg, Stratford, NJ USA; [Blaber, Andrew P.] Simon Fraser Univ, Dept Biomed Physiol &amp; Kinesiol, Burnaby, BC V5A 1S6, Canada; [Van Loon, Jack J. W. A.] Vrije Univ Amsterdam, ACTA, Amsterdam, Netherlands; [Mano, Tadaaki] Gifu Univ Med Sci, Gifu, Japan; [Iwase, Satoshi] Aichi Med Univ, Aichi, Japan; [Reitz, Guenther] Deutsch Zentrum Luft &amp; Raumfahrt DLR, Inst Luft &amp; Raumfahrtmed, D-51147 Cologne, Germany</t>
  </si>
  <si>
    <t>Medical University of Graz; Johns Hopkins University; VITO; Hasselt University; University of California System; University of California San Diego; US Department of Veterans Affairs; Veterans Health Administration (VHA); University of Kentucky; Rutgers University System; Rutgers University New Brunswick; Rutgers University Biomedical &amp; Health Sciences; Simon Fraser University; Vrije Universiteit Amsterdam; Academic Center for Dentistry Amsterdam; Aichi Medical University; Helmholtz Association; German Aerospace Centre (DLR)</t>
  </si>
  <si>
    <t>Goswami, N (corresponding author), Med Univ Graz, Ctr Physiol Med, Inst Physiol, Harrachgasse 21, A-8010 Graz, Austria.</t>
  </si>
  <si>
    <t>nandu.goswami@medunigraz.at</t>
  </si>
  <si>
    <t>Reitz, Guenther/ABC-8921-2021; Clement, Gilles/I-1973-2017; Goswami, Nandu/B-4021-2011; De Boever, Patrick/AAA-8387-2019; Stein, T. Peter/R-4244-2019</t>
  </si>
  <si>
    <t>Goswami, Nandu/0000-0002-6704-0723; De Boever, Patrick/0000-0002-5197-8215; Roma, Pete/0000-0001-5533-8445; van Loon, Jack/0000-0001-9051-6016</t>
  </si>
  <si>
    <t>STFC [ST/G002355/1, ST/J001384/1, PP/D000955/1, PP/F000057/1, ST/J000035/1] Funding Source: UKRI; Science and Technology Facilities Council [ST/G002355/1, ST/J000035/1, PP/F000057/1, ST/J001384/1, PP/D000955/1] Funding Source: researchfish</t>
  </si>
  <si>
    <t>STFC(UK Research &amp; Innovation (UKRI)Science &amp; Technology Facilities Council (STFC)); Science and Technology Facilities Council(UK Research &amp; Innovation (UKRI)Science &amp; Technology Facilities Council (STFC))</t>
  </si>
  <si>
    <t>1873-5088</t>
  </si>
  <si>
    <t>10.1016/j.pss.2012.07.030</t>
  </si>
  <si>
    <t>068SD</t>
  </si>
  <si>
    <t>WOS:000313385600012</t>
  </si>
  <si>
    <t>Naveen, R; Lynch, HJ; Forrest, S; Mueller, T; Polito, M</t>
  </si>
  <si>
    <t>Naveen, Ron; Lynch, Heather J.; Forrest, Steven; Mueller, Thomas; Polito, Michael</t>
  </si>
  <si>
    <t>First direct, site-wide penguin survey at Deception Island, Antarctica, suggests significant declines in breeding chinstrap penguins</t>
  </si>
  <si>
    <t>Antarctic Peninsula; Chinstrap penguin; Baily Head; Vapour Col; Deception Island; Remote sensing; Tourism</t>
  </si>
  <si>
    <t>PYGOSCELIS-ANTARCTICA; POPULATION-CHANGES; CLIMATE-CHANGE; PENINSULA; RESPONSES; BEHAVIOR; GENTOO</t>
  </si>
  <si>
    <t>Deception Island (62A degrees 57'S, 60A degrees 38'W) is one of the most frequently visited locations in Antarctica, prompting speculation that tourism may have a negative impact on the island's breeding chinstrap penguins (Pygoscelis antarctica). Discussions regarding appropriate management of Deception Island and its largest penguin colony at Baily Head have thus far operated in the absence of concrete information regarding the current size of the penguin population at Deception Island or long-term changes in abundance. In the first ever field census of individual penguin nests at Deception Island (December 2-14, 2011), we find 79,849 breeding pairs of chinstrap penguins, including 50,408 breeding pairs at Baily Head and 19,177 breeding pairs at Vapour Col. Our field census, combined with a simulation designed to capture uncertainty in an earlier population estimate by Shuford and Spear (Br Antarct Surv Bull 81:19-30, 1988), suggests a significant (&gt; 50 %) decline in the abundance of chinstraps breeding at Baily Head since 1986/1987. A comparative analysis of high-resolution satellite imagery for the 2002/2003 and the 2009/2010 seasons suggests a 39 % (95th percentile CI = 6-71 %) decline (from 85,473 +/- A 23,352 to 52,372 +/- A 14,309 breeding pairs) over that 7-year period and provides independent confirmation of population decline in the abundance of breeding chinstrap penguins at Baily Head. The decline in chinstrap penguins at Baily Head is consistent with declines in this species throughout the region, including sites that receive little or no tourism; as a consequence of regional environmental changes that currently represent the dominant influence on penguin dynamics, we cannot ascribe any direct link between chinstrap declines and tourism from this study.</t>
  </si>
  <si>
    <t>[Lynch, Heather J.] SUNY Stony Brook, Dept Ecol &amp; Evolut, Stony Brook, NY 11794 USA; [Naveen, Ron; Forrest, Steven] Oceanites Inc, Chevy Chase, MD 20825 USA; [Mueller, Thomas] Biodivers &amp; Climate Res Ctr BiK F, D-60325 Frankfurt, Germany; [Polito, Michael] Univ N Carolina, Dept Biol &amp; Marine Biol, Wilmington, NC 28403 USA</t>
  </si>
  <si>
    <t>State University of New York (SUNY) System; State University of New York (SUNY) Stony Brook; Senckenberg Biodiversitat &amp; Klima- Forschungszentrum (BiK-F); Senckenberg Gesellschaft fur Naturforschung (SGN); University of North Carolina; University of North Carolina Wilmington</t>
  </si>
  <si>
    <t>Polito, Michael/G-9118-2012; Mueller, Thomas/A-1740-2014</t>
  </si>
  <si>
    <t>Polito, Michael/0000-0001-8639-4431; Mueller, Thomas/0000-0001-9305-7716</t>
  </si>
  <si>
    <t>Tinker Foundation; U.S. National Science Foundation Office of Polar Programs [NSF/OPP-0739515, NSF/OPP-0739430]; Polar Geospatial Center (NSF) [ANT 1043681]; Office of Polar Programs (OPP); Directorate For Geosciences [0739515] Funding Source: National Science Foundation</t>
  </si>
  <si>
    <t>Tinker Foundation; U.S. National Science Foundation Office of Polar Programs(National Science Foundation (NSF)); Polar Geospatial Center (NSF); Office of Polar Programs (OPP); Directorate For Geosciences(National Science Foundation (NSF)NSF - Directorate for Geosciences (GEO))</t>
  </si>
  <si>
    <t>We gratefully acknowledge the support of The Tinker Foundation and the U.S. National Science Foundation Office of Polar Programs (Award Nos. NSF/OPP-0739515 and NSF/OPP-0739430), and the assistance of the Polar Geospatial Center (NSF Award No. ANT 1043681). We are grateful to the captain and mate of the yacht Pelagic, Christopher Harris and Magnus Day, for ensuring the safety and well-being of the Antarctic Site Inventory research team during their work period at Deception Island and would like to acknowledge the support and assistance of Peter Getzels, Harriet Getzels, Eric Osterholm, and Getzels Gordon Productions during the 2011-2012 Antarctic Site Inventory field season.</t>
  </si>
  <si>
    <t>10.1007/s00300-012-1230-3</t>
  </si>
  <si>
    <t>WOS:000310992200010</t>
  </si>
  <si>
    <t>IMECHE BACKS ANTARCTIC TREK</t>
  </si>
  <si>
    <t>PROFESSIONAL ENGINEERING</t>
  </si>
  <si>
    <t>CASPIAN MEDIA</t>
  </si>
  <si>
    <t>198 KINGS RD, LONDON, SW3 5XP, ENGLAND</t>
  </si>
  <si>
    <t>0953-6639</t>
  </si>
  <si>
    <t>PROF ENG</t>
  </si>
  <si>
    <t>Prof. Eng.</t>
  </si>
  <si>
    <t>Engineering, Mechanical</t>
  </si>
  <si>
    <t>058BJ</t>
  </si>
  <si>
    <t>WOS:000312608800038</t>
  </si>
  <si>
    <t>Mair, D</t>
  </si>
  <si>
    <t>Mair, Douglas</t>
  </si>
  <si>
    <t>Glaciology: Research update I</t>
  </si>
  <si>
    <t>PROGRESS IN PHYSICAL GEOGRAPHY-EARTH AND ENVIRONMENT</t>
  </si>
  <si>
    <t>climate change; glacier dynamics; glacier hydrology; glaciers and sea-level rise; Greenland Ice Sheet; ice sheets</t>
  </si>
  <si>
    <t>GREENLAND ICE-SHEET; HAUT GLACIER DAROLLA; SUBGLACIAL DRAINAGE SYSTEM; GROUND-PENETRATING RADAR; ICEBERG CALVING RATES; SEA-LEVEL RISE; MASS-BALANCE; PERCOLATION ZONE; ANTARCTIC PENINSULA; SEASONAL EVOLUTION</t>
  </si>
  <si>
    <t>This progress report is the first of three overviews of important fields of study within contemporary glaciology, illustrated with reference to exemplar research contributions and highlighting key developments in each field since 2005, the date of the last review of 'Glaciology' in this journal. The topics covered in this paper are: (1) the mass balance of glaciers and ice sheets and their contributions to global sea level change; and (2) atmospheric melt-induced influences on the dynamics of the Greenland Ice Sheet. The paper aims to provide an overview of key developments over the last six years from each topic, with discussion of the continuing debates and unresolved issues which constitute the foci for ongoing and future research.</t>
  </si>
  <si>
    <t>Univ Aberdeen, Univ London Kings Coll, Sch Geosci, Aberdeen AB24 3UE, Scotland</t>
  </si>
  <si>
    <t>University of Aberdeen</t>
  </si>
  <si>
    <t>Mair, D (corresponding author), Univ Aberdeen, Univ London Kings Coll, Sch Geosci, Fraser Noble Bldg, Aberdeen AB24 3UE, Scotland.</t>
  </si>
  <si>
    <t>d.mair@abdn.ac.uk</t>
  </si>
  <si>
    <t>Mair, Douglas/0000-0001-7009-5461</t>
  </si>
  <si>
    <t>Natural Environment Research Council [NE/F021380/1] Funding Source: researchfish; NERC [NE/F021380/1] Funding Source: UKRI</t>
  </si>
  <si>
    <t>SAGE PUBLICATIONS LTD</t>
  </si>
  <si>
    <t>1 OLIVERS YARD, 55 CITY ROAD, LONDON EC1Y 1SP, ENGLAND</t>
  </si>
  <si>
    <t>0309-1333</t>
  </si>
  <si>
    <t>1477-0296</t>
  </si>
  <si>
    <t>PROG PHYS GEOG</t>
  </si>
  <si>
    <t>Prog. Phys. Geogr.</t>
  </si>
  <si>
    <t>10.1177/0309133312460265</t>
  </si>
  <si>
    <t>033ND</t>
  </si>
  <si>
    <t>WOS:000310803200005</t>
  </si>
  <si>
    <t>Southwell, CJ; Driessen, R; Candy, SG</t>
  </si>
  <si>
    <t>Southwell, Colin J.; Driessen, Robert; Candy, Steven G.</t>
  </si>
  <si>
    <t>Using Virtual Simulation in a Geographic Information System to Optimize Abundance Survey Designs When Logistic and Biological Conditions are Constrained</t>
  </si>
  <si>
    <t>WILDLIFE SOCIETY BULLETIN</t>
  </si>
  <si>
    <t>abundance; disturbance; geographic information system; optimization; penguin; survey design; virtual simulation</t>
  </si>
  <si>
    <t>AUKS ALLE-ALLE; POPULATION-SIZE; AERIAL-PHOTOGRAPHY; NATURAL-RESOURCES; ADELIE; PENGUINS; DENSITY; AREA; DYNAMICS; COLONIES</t>
  </si>
  <si>
    <t>Estimating wildlife abundance is central to many resource and ecosystem management problems. Early statistical work on wildlife abundance estimation focused on small-scale problems, but there is a growing need for such information at large spatial scales. An emerging area of research is the optimization of survey designs and methods for large-scale inference, given that agencies need to manage over large scales but operate within tight logistic and financial constraints. We used a geographic information system to explore how candidate regional-scale sample survey designs performed with regard to bias, field efficiency, and potential disturbance using a case study where biological and logistical constraints were severe (a regional-scale ground survey of Adelie penguins [Pygoscelis adeliae] in Antarctica). Some design options enabled gains of up to 50% in field efficiency and 80% in reduced disturbance without any bias or loss of precision. Biased abundance estimates were obtained when small sub-colonies were selected as sample units for convenience in counting. Probabilistic sampling using either plots or sub-colonies returned unbiased estimates. Improvements in field efficiency and reduction in disturbance were achieved in increments through a number of design features. Design decisions often resulted in opposing gains and costs in field efficiency for various survey activities. The optimal outcome of these opposing trends was not obvious without examining the breakdown of overall survey time by activity. Design requirements for optimizing criteria of bias, field efficiency, and disturbance were often opposing and competing. Identifying an optimal overall outcome for these competing criteria depends on their relative importance in the context of the management objectives, logistical constraints, and ethical values. (c) 2012 The Wildlife Society.</t>
  </si>
  <si>
    <t>[Southwell, Colin J.; Candy, Steven G.] Australian Antarctic Div, Dept Sustainabil Environm Water Populat &amp; Communi, Kingston, Tas 7050, Australia; [Driessen, Robert] Datavis GIS Pty Ltd, Hobart, Tas 7000, Australia</t>
  </si>
  <si>
    <t>Southwell, CJ (corresponding author), Australian Antarctic Div, Dept Sustainabil Environm Water Populat &amp; Communi, 203 Channel Highway, Kingston, Tas 7050, Australia.</t>
  </si>
  <si>
    <t>colin.southwell@aad.gov.au</t>
  </si>
  <si>
    <t>1938-5463</t>
  </si>
  <si>
    <t>WILDLIFE SOC B</t>
  </si>
  <si>
    <t>Wildl. Soc. Bull.</t>
  </si>
  <si>
    <t>10.1002/wsb.189</t>
  </si>
  <si>
    <t>V38HA</t>
  </si>
  <si>
    <t>WOS:000209333300020</t>
  </si>
  <si>
    <t>Johnson, JA; Matsuoka, SM; Tessler, DF; Greenberg, R; Fox, JW</t>
  </si>
  <si>
    <t>Johnson, James A.; Matsuoka, Steven M.; Tessler, David F.; Greenberg, Russell; Fox, James W.</t>
  </si>
  <si>
    <t>IDENTIFYING MIGRATORY PATHWAYS USED BY RUSTY BLACKBIRDS BREEDING IN SOUTHCENTRAL ALASKA</t>
  </si>
  <si>
    <t>WILSON JOURNAL OF ORNITHOLOGY</t>
  </si>
  <si>
    <t>SONGBIRD MIGRATION; CONNECTIVITY; GEOLOCATOR; TRACKING; MOLT</t>
  </si>
  <si>
    <t>We placed light-level geolocators on 17 Rusty Blackbirds (Euphagus carolinus) in 2009 to track their migrations from nest sites near Anchorage, Alaska to wintering areas and back. We recaptured three of these birds in 2010 and found they departed breeding areas during the first half of September, spent 72-84 days migrating to overwintering areas, but only 16-30 days on their northward migration to Alaska. Birds took similar Central Flyway routes on southward and northward migrations, which were not previously described for this species. The birds used a series of stopover sites across the prairie region from southern Saskatchewan to Iowa over a 4 to 5 week period on their southward migration to wintering areas that spanned from South Dakota to northern Louisiana. We found upon recapture in 2010, the geolocator attachment harnesses had abraded the surrounding feathers on all three birds. This coupled with the low return rate (18%) for instrumented birds indicates a better harness method must be developed before this technology is more widely used on Rusty Blackbirds. Received 8 February 2012. Accepted 19 June 2012.</t>
  </si>
  <si>
    <t>[Johnson, James A.; Matsuoka, Steven M.] US Fish &amp; Wildlife Serv, Anchorage, AK 99503 USA; [Tessler, David F.] Alaska Dept Fish &amp; Game, Wildlife Div Program, Anchorage, AK 99518 USA; [Greenberg, Russell] Smithsonian Conservat Biol Inst, Smithsonian Migratory Bird Ctr, Washington, DC 20008 USA; [Fox, James W.] British Antarctic Survey, Cambridge CB3 0ET, England; [Fox, James W.] Migrate Technol Ltd, Cambridge CB1 0QY, England</t>
  </si>
  <si>
    <t>United States Department of the Interior; US Fish &amp; Wildlife Service; Alaska Department of Fish &amp; Game; Smithsonian Institution; Smithsonian National Zoological Park &amp; Conservation Biology Institute; UK Research &amp; Innovation (UKRI); Natural Environment Research Council (NERC); NERC British Antarctic Survey</t>
  </si>
  <si>
    <t>Johnson, JA (corresponding author), US Fish &amp; Wildlife Serv, 1011 E Tudor Rd, Anchorage, AK 99503 USA.</t>
  </si>
  <si>
    <t>jim_a_johnson@fws.gov</t>
  </si>
  <si>
    <t>Fox, James W./0000-0002-3107-696X</t>
  </si>
  <si>
    <t>Alaska Department of Fish and Game's Nongame Program; U.S. Department of Defense's Legacy Natural Resources Program; Smithsonian Migratory Bird Center; U.S. Fish and Wildlife Service, Migratory Bird Management (Region 7)</t>
  </si>
  <si>
    <t>Alaska Department of Fish and Game's Nongame Program; U.S. Department of Defense's Legacy Natural Resources Program(United States Department of Defense); Smithsonian Migratory Bird Center(Smithsonian InstitutionSmithsonian National Zoological Park &amp; Conservation Biology Institute); U.S. Fish and Wildlife Service, Migratory Bird Management (Region 7)(US Fish &amp; Wildlife Service)</t>
  </si>
  <si>
    <t>We are grateful to Niels Dau, Luke DeCicco, Larry Hoare, Russ Oates, Lisa Pajot, Marian Snively, Kim Trust, and Jen Wiley for assistance in the field. Herman Griese and Chris McKee of the Department of Defense provided access to study areas on Elmendorf Air Force Base and the U.S. Army's Fort Richardson, respectively. We appreciate the helpful comments of Brad Andres, Clait Braun, Jesse Conklin, and an anonymous reviewer that improved earlier drafts of the manuscript. This study was funded by the Alaska Department of Fish and Game's Nongame Program, the U.S. Department of Defense's Legacy Natural Resources Program, the Smithsonian Migratory Bird Center, and the U.S. Fish and Wildlife Service, Migratory Bird Management (Region 7). The findings and conclusions in this article are those of the authors and do not necessarily represent the views of the U.S. Fish and Wildlife Service.</t>
  </si>
  <si>
    <t>WILSON ORNITHOLOGICAL SOC</t>
  </si>
  <si>
    <t>5400 BOSQUE BLVD, STE 680, WACO, TX 76710 USA</t>
  </si>
  <si>
    <t>1559-4491</t>
  </si>
  <si>
    <t>1938-5447</t>
  </si>
  <si>
    <t>WILSON J ORNITHOL</t>
  </si>
  <si>
    <t>Wilson J. Ornithol.</t>
  </si>
  <si>
    <t>10.1676/1559-4491-124.4.698</t>
  </si>
  <si>
    <t>053PU</t>
  </si>
  <si>
    <t>WOS:000312285900005</t>
  </si>
  <si>
    <t>Singh, AK; Sinha, AK; Rawat, R; Jayashree, B; Pathan, BM; Dhar, A</t>
  </si>
  <si>
    <t>Singh, Anand K.; Sinha, A. K.; Rawat, Rahul; Jayashree, Bulusu; Pathan, B. M.; Dhar, Ajay</t>
  </si>
  <si>
    <t>A broad climatology of very high latitude substorms</t>
  </si>
  <si>
    <t>Substorm; AE indices; Positive bay; Pi2 pulsations</t>
  </si>
  <si>
    <t>MAGNETOSPHERIC SUBSTORMS; SOUTHERN HEMISPHERES; AURORAL ELECTROJETS; GEOMAGNETIC-FIELD; MAGNETIC-FIELD; INDEXES; OVAL; AE; SATELLITE; NORTHERN</t>
  </si>
  <si>
    <t>Magnetic data from a newly commissioned Indian Antarctic station Bharati (corrected geomagnetic (CGM) coordinates 74.7 degrees S, 97.2 degrees E) and closely-spaced IMAGE chain observatories (similar to 100 degrees magnetic meridian in Northern hemisphere) has been analyzed to study the climatology of substorms which were localized poleward of the standard auroral oval. We considered four austral summers (year 2007-2010) when data from Bharati was available. Several very high latitude substorms were observed in this duration when the solar activity remained unexpectedly low for a long time. Various features of very high latitude substorms, e.g., local time dependence, interplanetary state, hemispherical asymmetry and their nightside low latitude signatures are examined. Events studied here, suggested the following properties of substorms occurring at very high latitudes: (1) maximum occurrence was observed near magnetic midnight (21:00-02:00 MLT). (2) In contradiction to earlier reports, many substorms were observed even during negative IMF Bz condition. In addition, majority of substorms occurred during low or moderate solar wind streams. (3) Magnetic signatures were often pronounced in the winter hemisphere. (4) Even if widely used standard AE indices fail to monitor very high latitude substorms, their low latitude signatures are often evident. (C) 2012 COSPAR. Published by Elsevier Ltd. All rights reserved.</t>
  </si>
  <si>
    <t>[Singh, Anand K.; Sinha, A. K.; Rawat, Rahul; Jayashree, Bulusu; Pathan, B. M.; Dhar, Ajay] Indian Inst Geomagnetism, Navi Mumbai, India</t>
  </si>
  <si>
    <t>Department of Science &amp; Technology (India); Indian Institute of Geomagnetism (IIG)</t>
  </si>
  <si>
    <t>Singh, AK (corresponding author), Indian Inst Geomagnetism, KaIamholi Highway, Navi Mumbai, India.</t>
  </si>
  <si>
    <t>singhaaks@gmail.com; ashwini@iigs.iigm.res.in; rahuliig@gmail.com; bulusujayashree@gmail.com; bmpathan@iigs.iigm.res.in; ajaydhar@iigs.iigm.res.in</t>
  </si>
  <si>
    <t>Singh, Anand K./K-7986-2012</t>
  </si>
  <si>
    <t>Sinha, Ashwini Kumar/0000-0003-1329-6579; Rawat, Rahul/0000-0002-7275-8895; Bulusu, Jayashree/0000-0001-8631-4024</t>
  </si>
  <si>
    <t>10.1016/j.asr.2012.07.034</t>
  </si>
  <si>
    <t>027YI</t>
  </si>
  <si>
    <t>WOS:000310389600008</t>
  </si>
  <si>
    <t>Ghigliotti, L; Fevolden, SE; Cheng, CHC; Babiak, I; Dettai, A; Pisano, E</t>
  </si>
  <si>
    <t>Ghigliotti, L.; Fevolden, S. -E.; Cheng, C. -H. C.; Babiak, I.; Dettai, A.; Pisano, E.</t>
  </si>
  <si>
    <t>Karyotyping and cytogenetic mapping of Atlantic cod (Gadus morhua Linnaeus, 1758)</t>
  </si>
  <si>
    <t>ANIMAL GENETICS</t>
  </si>
  <si>
    <t>Atlantic cod; fluorescence in situ hybridization; karyotype; Norwegian Sea; ribosomal genes</t>
  </si>
  <si>
    <t>5S RDNA; GENOME; FISH; PISCES; ORGANIZATION; POLYMORPHISM; POPULATIONS; GENES; SITES; LOCUS</t>
  </si>
  <si>
    <t>The Atlantic cod (Gadus morhua) is an important natural resource for northern societies and is now also considered to be a promising candidate for aquaculture. In recent years, much effort has been directed towards the development of genomic tools, and genome initiatives for Atlantic cod have been established. Despite the growing attention devoted to the Atlantic cod genomics, basic aspects of its genome structure and organization remain unknown. Thus, the present work aims to study cytogenetic features of the Atlantic cod as a contribution to the knowledge of this species' genome. The Atlantic cod displays a diploid number of 46 chromosomes, with a karyotypic formula 16 m/sm + 30 st/t. Conventional karyotyping was improved by chromosomal mapping of two classes of repetitive sequences. 18S rDNA clusters were assigned to pairs 2 and 4; small amounts of 18S rDNA clusters were occasionally detected on pair 5. These findings could not be related to the geographical origin of the specimens, but were consistent with the variability of these repeated genes in fish in general. 5S ribosomal gene clusters, apparently corresponding to a single 5S rDNA class, were detected on twelve chromosomes (pairs 11, 12, 14, 17, 20 and 21). The present update of the existing but meagre information on the karyotype of Atlantic cod, plus the first physical mapping of repetitive genes in this species herein, opens the way for an integrated approach that combines genetic and physical mapping with the assembly of the genome of this commercially important species.</t>
  </si>
  <si>
    <t>[Ghigliotti, L.; Pisano, E.] Univ Genoa, DipTeRis, I-16132 Genoa, Italy; [Fevolden, S. -E.] Univ Tromso, Dept Arctic &amp; Marine Biol, Fac Biosci Fisheries &amp; Econ, Tromso, Norway; [Cheng, C. -H. C.] Univ Illinois, Dept Anim Biol, Urbana, IL 61801 USA; [Babiak, I.] Univ Nordland, Fac Biosci &amp; Aquaculture, Reprod Biol Grp, N-8049 Bodo, Norway; [Dettai, A.] Museum Natl Hist Nat, CNRS, UMR Syst 7138, F-75321 Paris, France</t>
  </si>
  <si>
    <t>University of Genoa; UiT The Arctic University of Tromso; University of Illinois System; University of Illinois Urbana-Champaign; Nord University; Centre National de la Recherche Scientifique (CNRS); Museum National d'Histoire Naturelle (MNHN); Sorbonne Universite</t>
  </si>
  <si>
    <t>Ghigliotti, L (corresponding author), Univ Genoa, DipTeRis, Viale Benedetto 15 5, I-16132 Genoa, Italy.</t>
  </si>
  <si>
    <t>Ghigliotti, Laura/J-3076-2012; Dettai, Agnes/Q-6743-2019; Ghigliotti, Laura/AAN-6843-2021</t>
  </si>
  <si>
    <t>Ghigliotti, Laura/0000-0003-2139-1381; Babiak, Igor/0000-0002-1462-2690</t>
  </si>
  <si>
    <t>Arctic Strategic Project (CNR); Italian National Programme for Antarctic Research (PNRA); University of Genoa; Research Council of Norway (NRC); NRC [172633/S40]; Direct For Biological Sciences; Division Of Environmental Biology [0919496] Funding Source: National Science Foundation</t>
  </si>
  <si>
    <t>Arctic Strategic Project (CNR); Italian National Programme for Antarctic Research (PNRA); University of Genoa; Research Council of Norway (NRC)(Research Council of Norway); NRC(National Research Centre (NRC)); Direct For Biological Sciences; Division Of Environmental Biology(National Science Foundation (NSF)NSF - Directorate for Biological Sciences (BIO))</t>
  </si>
  <si>
    <t>We are grateful to Kim Praebel and Michal Duc for kindly providing some of the specimens used in the study; the 'Service de Systematique Moleculaire' of the Museum National d'Histoire Naturelle (IFR 1010), and especially Catherine Ozouf-Costaz, Celine Bonillo and Jean-Pierre Coutanceau for assistance in the molecular biology work. The research was supported by the Arctic Strategic Project (CNR), the Italian National Programme for Antarctic Research (PNRA) and the University of Genoa. Part of the sampling was supported by a Research Council of Norway (NRC) International Scholarship awarded to LG and by the NRC Project 172633/S40.</t>
  </si>
  <si>
    <t>0268-9146</t>
  </si>
  <si>
    <t>1365-2052</t>
  </si>
  <si>
    <t>ANIM GENET</t>
  </si>
  <si>
    <t>Anim. Genet.</t>
  </si>
  <si>
    <t>10.1111/j.1365-2052.2012.02343.x</t>
  </si>
  <si>
    <t>Agriculture, Dairy &amp; Animal Science; Genetics &amp; Heredity</t>
  </si>
  <si>
    <t>Agriculture; Genetics &amp; Heredity</t>
  </si>
  <si>
    <t>023VF</t>
  </si>
  <si>
    <t>WOS:000310064000012</t>
  </si>
  <si>
    <t>Smith, IJ; Langhorne, PJ; Frew, RD; Vennell, R; Haskell, TG</t>
  </si>
  <si>
    <t>Smith, I. J.; Langhorne, P. J.; Frew, R. D.; Vennell, R.; Haskell, T. G.</t>
  </si>
  <si>
    <t>Sea ice growth rates near ice shelves</t>
  </si>
  <si>
    <t>Sea ice growth rates; Oxygen isotopes; Ice shelf ocean interactions; Platelet ice; Supercooling</t>
  </si>
  <si>
    <t>MCMURDO SOUND; PLATELET ICE; HEAT-FLUX; WEDDELL-SEA; ROSS SEA; THERMAL-CONDUCTIVITY; OXYGEN-ISOTOPE; MASS-BALANCE; MARINE ICE; ANTARCTICA</t>
  </si>
  <si>
    <t>Sea ice growth rates near ice shelves are influenced by ocean-ice shelf interactions. Sea ice growth rates and ocean observations from McMurdo Sound, Antarctica in 1999 and 2000 are presented in this paper. Growth rate measurements were made for an individual platelet crystal through video camera observations. It was found that the crystal grew in discontinuous, episodic bursts at rates of the order of 10(-6) m s(-1). Sea water 0.15 m beneath the lower ice surface was measured to be supercooled by 0.01 K. Indications are that supercooling was continuous over the period of episodic platelet ice crystal growth and the growth bursts are attributed to the influence of variable currents. Growth rates for bulk sea ice (i.e., columnar and incorporated platelet ice) and heat fluxes were derived from ice temperature measurements. The growth rates for bulk sea ice were found to be of the order of 10(-7) m s(-1), an order of magnitude less than the rates for the individual platelet ice crystal. The residual of the energy balance suggested that a negative oceanic heat flux (i.e., heat transport down into the ocean) occurred, in addition to conduction of heat up into the atmosphere. Both salinity-based growth rate models and an oxygen isotope-based growth rate model (Eicken, 1998) were found to under-predict growth rates compared to those derived from ice temperature measurements. In addition, inverting the growth rates predicted by the models and integrating over the depth of the core failed to accurately predict the date of initial sea ice formation. Modifications are proposed to the models for sea ice formation occurring near ice shelves, where platelet ice formation is likely. Differences between bulk and individual platelet ice crystal growth rates are discussed with reference to heat fluxes, oceanic flows and the Eicken (1998) model. (C) 2012 Elsevier B.V. All rights reserved.</t>
  </si>
  <si>
    <t>[Smith, I. J.; Langhorne, P. J.] Univ Otago, Dept Phys, Dunedin 9054, New Zealand; [Frew, R. D.] Univ Otago, Dept Chem, Dunedin 9054, New Zealand; [Vennell, R.] Univ Otago, Dept Marine Sci, Dunedin 9054, New Zealand; [Haskell, T. G.] Ind Res Ltd, Lower Hutt 5040, New Zealand</t>
  </si>
  <si>
    <t>University of Otago; University of Otago; University of Otago; Callaghan Innovation</t>
  </si>
  <si>
    <t>Smith, IJ (corresponding author), Univ Otago, Dept Phys, POB 56, Dunedin 9054, New Zealand.</t>
  </si>
  <si>
    <t>inga@physics.otago.ac.nz</t>
  </si>
  <si>
    <t>Frew, Russell/I-5591-2012; Frew, Russell/HDN-6138-2022; Langhorne, Pat/C-3539-2018; Vennell, Ross/A-7425-2010</t>
  </si>
  <si>
    <t>Frew, Russell/0000-0002-6138-2116; Langhorne, Pat/0000-0003-0239-7657; Vennell, Ross/0000-0001-6961-9977</t>
  </si>
  <si>
    <t>Antarctica New Zealand; University of Otago; Blair Trust scholarship</t>
  </si>
  <si>
    <t>The authors thank the Foundation for Research Science and Technology for their ongoing support of Event K131 sea ice research. LIS. is grateful to Antarctica New Zealand for awarding her the 1999/2000 Antarctica New Zealand Sir Robin Irvine Post-Graduate Scholarship and for the research opportunities that resulted from it. She also acknowledges the financial support of the University of Otago and a Blair Trust scholarship. Thanks also to Antarctica New Zealand and the Scott Base staff for providing essential field and logistical support. Thanks also to Jeff Scanniello of the United States Antarctic Program Survey Team for discussions on late season sea ice thicknesses. The authors thank Joe Trodahl (Victoria University of Wellington) for providing access to thermistor probe data used in this paper, and appreciated helpful discussions with him and Daniel Pringle related to the analysis of those data. Thanks to Greg Leonard for help with figure production and for discussions on platelet ice formation. Craig Stevens, Mike Williams, Alex Gough, Natalie Robinson, and Andy Mahoney are thanked for their helpful feedback on draft manuscripts. Particular thanks for detailed and thoughtful comments go to two anonymous reviewers, whose very helpful comments were constructive in improving the manuscript.</t>
  </si>
  <si>
    <t>10.1016/j.coldregions.2012.06.005</t>
  </si>
  <si>
    <t>WOS:000309308600008</t>
  </si>
  <si>
    <t>Ingham, M; Gouws, G; Buchanan, S; Brown, R; Haskell, T</t>
  </si>
  <si>
    <t>Ingham, M.; Gouws, G.; Buchanan, S.; Brown, R.; Haskell, T.</t>
  </si>
  <si>
    <t>In-situ measurements of the low frequency dielectric permittivity of first-year Antarctic sea ice</t>
  </si>
  <si>
    <t>Sea ice; Permittivity</t>
  </si>
  <si>
    <t>SALINE ICE; ELECTRICAL SPECTROSCOPY; RESISTIVITY TOMOGRAPHY; MICROWAVE-FREQUENCIES; FLUID TRANSPORT; POROUS ROCKS; BRINE; RANGE; WATER; GHZ</t>
  </si>
  <si>
    <t>Measurement of the low frequency dielectric permittivity of sea ice is an important step in developing microstructural models that will permit the calculation of other physical properties of sea ice. We report the adaptation of the technique of cross-borehole resistivity tomography to obtain in-situ measurements of the horizontal component of the permittivity of first year Antarctic sea ice. Results show features of the permittivity previously identified from measurements on laboratory grown artificial sea ice. Modeling of the measured permittivity curves allows estimates of physical parameters related to the conduction mechanisms in the ice to be made. Both epsilon(infinity), the high frequency relative permittivity. and chi, the susceptibility of the Debye relaxation, appear to depend upon brine volume fraction, while the time constant of relaxation is consistent with values determined from previous studies. Empirical parameters representing the effect of space charge polarization show complicated relationships with temperature, salinity and brine volume fraction. There are also indications that differences in some of these parameters occur between columnar ice, observed to exist to a depth of about 1.1 m, and incorporated platelet ice below this depth. (C) 2012 Elsevier B.V. All rights reserved.</t>
  </si>
  <si>
    <t>[Ingham, M.; Buchanan, S.; Brown, R.] Victoria Univ Wellington, Sch Chem &amp; Phys Sci, Wellington 6140, New Zealand; [Gouws, G.] Victoria Univ Wellington, Sch Engn &amp; Comp Sci, Wellington 6140, New Zealand; [Haskell, T.] Ind Res Ltd, Lower Hutt 5040, New Zealand</t>
  </si>
  <si>
    <t>Victoria University Wellington; Victoria University Wellington; Callaghan Innovation</t>
  </si>
  <si>
    <t>Ingham, M (corresponding author), Victoria Univ Wellington, Sch Chem &amp; Phys Sci, POB 600, Wellington 6140, New Zealand.</t>
  </si>
  <si>
    <t>malcolm.ingham@vuw.ac.nz</t>
  </si>
  <si>
    <t>Ingham, Malcolm/0000-0003-3128-7131</t>
  </si>
  <si>
    <t>New Zealand Antarctic Research Programme Event [K131]</t>
  </si>
  <si>
    <t>New Zealand Antarctic Research Programme Event</t>
  </si>
  <si>
    <t>This research was conducted under the auspices of the New Zealand Antarctic Research Programme Event K131. The authors are grateful for the logistics support provided by the staff at Scott Base. Thoughtful reviews by David Stillman and an anonymous referee are acknowledged.</t>
  </si>
  <si>
    <t>10.1016/j.coldregions.2012.07.008</t>
  </si>
  <si>
    <t>WOS:000309308600018</t>
  </si>
  <si>
    <t>Shepherd, A; Ivins, ER; Geruo, A; Barletta, VR; Bentley, MJ; Bettadpur, S; Briggs, KH; Bromwich, DH; Forsberg, R; Galin, N; Horwath, M; Jacobs, S; Joughin, I; King, MA; Lenaerts, JTM; Li, JL; Ligtenberg, SRM; Luckman, A; Luthcke, SB; McMillan, M; Meister, R; Milne, G; Mouginot, J; Muir, A; Nicolas, JP; Paden, J; Payne, AJ; Pritchard, H; Rignot, E; Rott, H; Sorensen, LS; Scambos, TA; Scheuchl, B; Schrama, EJO; Smith, B; Sundal, AV; van Angelen, JH; van de Berg, WJ; van den Broeke, MR; Vaughan, DG; Velicogna, I; Wahr, J; Whitehouse, PL; Wingham, DJ; Yi, DH; Young, D; Zwally, HJ</t>
  </si>
  <si>
    <t>Shepherd, Andrew; Ivins, Erik R.; Geruo, A.; Barletta, Valentina R.; Bentley, Mike J.; Bettadpur, Srinivas; Briggs, Kate H.; Bromwich, David H.; Forsberg, Rene; Galin, Natalia; Horwath, Martin; Jacobs, Stan; Joughin, Ian; King, Matt A.; Lenaerts, Jan T. M.; Li, Jilu; Ligtenberg, Stefan R. M.; Luckman, Adrian; Luthcke, Scott B.; McMillan, Malcolm; Meister, Rakia; Milne, Glenn; Mouginot, Jeremie; Muir, Alan; Nicolas, Julien P.; Paden, John; Payne, Antony J.; Pritchard, Hamish; Rignot, Eric; Rott, Helmut; Sorensen, Louise Sandberg; Scambos, Ted A.; Scheuchl, Bernd; Schrama, Ernst J. O.; Smith, Ben; Sundal, Aud V.; van Angelen, Jan H.; van de Berg, Willem J.; van den Broeke, Michiel R.; Vaughan, David G.; Velicogna, Isabella; Wahr, John; Whitehouse, Pippa L.; Wingham, Duncan J.; Yi, Donghui; Young, Duncan; Zwally, H. Jay</t>
  </si>
  <si>
    <t>A Reconciled Estimate of Ice-Sheet Mass Balance</t>
  </si>
  <si>
    <t>PINE ISLAND GLACIER; RELATIVE SEA-LEVEL; ISOSTATIC-ADJUSTMENT; ANTARCTIC PENINSULA; WEST ANTARCTICA; GREENLAND; MODEL; CLIMATE; SURFACE; SHELF</t>
  </si>
  <si>
    <t>We combined an ensemble of satellite altimetry, interferometry, and gravimetry data sets using common geographical regions, time intervals, and models of surface mass balance and glacial isostatic adjustment to estimate the mass balance of Earth's polar ice sheets. We find that there is good agreement between different satellite methods-especially in Greenland and West Antarctica-and that combining satellite data sets leads to greater certainty. Between 1992 and 2011, the ice sheets of Greenland, East Antarctica, West Antarctica, and the Antarctic Peninsula changed in mass by -142 +/- 49, +14 +/- 43, -65 +/- 26, and -20 +/- 14 gigatonnes year(-1), respectively. Since 1992, the polar ice sheets have contributed, on average, 0.59 +/- 0.20 millimeter year(-1) to the rate of global sea-level rise.</t>
  </si>
  <si>
    <t>[Shepherd, Andrew; Briggs, Kate H.; Sundal, Aud V.] Univ Leeds, Sch Earth &amp; Environm, Leeds LS2 9JT, W Yorkshire, England; [Ivins, Erik R.; Velicogna, Isabella] CALTECH, Jet Prop Lab, Pasadena, CA 91109 USA; [Geruo, A.; Wahr, John] Univ Colorado, Dept Phys, Boulder, CO 80309 USA; [Barletta, Valentina R.; Forsberg, Rene; Sorensen, Louise Sandberg] Tech Univ Denmark, DTU SPACE, Geodynam Dept, Natl Space Inst, DK-2880 Lyngby, Denmark; [Bentley, Mike J.; Whitehouse, Pippa L.] Univ Durham, Dept Geog, Durham DH1 3LE, England; [Bettadpur, Srinivas] Univ Texas Austin, Ctr Space Res, Austin, TX 78759 USA; [Bromwich, David H.; Nicolas, Julien P.] Ohio State Univ, Byrd Polar Res Ctr, Polar Meteorol Grp, Columbus, OH 43210 USA; [Bromwich, David H.; Nicolas, Julien P.] Ohio State Univ, Dept Geog, Atmospher Sci Program, Columbus, OH 43210 USA; [Galin, Natalia; Meister, Rakia; Muir, Alan; Wingham, Duncan J.] UCL, Dept Earth Sci, Ctr Polar Observat &amp; Modelling, London WC1E 6BT, England; [Horwath, Martin] Tech Univ Munich, Inst Astron &amp; Phys Geodasie, D-80333 Munich, Germany; [Jacobs, Stan] Lamont Doherty Earth Observ, Palisades, NY 10964 USA; [Joughin, Ian; Smith, Ben] Univ Washington, Appl Phys Lab, Polar Sci Ctr, Seattle, WA 98105 USA; [King, Matt A.] Newcastle Univ, Sch Civil Engn &amp; Geosci, Newcastle Upon Tyne NE1 7RU, Tyne &amp; Wear, England; [Lenaerts, Jan T. M.; Ligtenberg, Stefan R. M.; van Angelen, Jan H.; van de Berg, Willem J.; van den Broeke, Michiel R.] Univ Utrecht, Inst Marine &amp; Atmospher Res, Utrecht, Netherlands; [Li, Jilu; Paden, John] Univ Kansas, Ctr Remote Sensing Ice Sheets, Lawrence, KS 66045 USA; [Luckman, Adrian] Swansea Univ, Coll Sci, Dept Geog, Swansea SA2 8PP, W Glam, Wales; [Luthcke, Scott B.] NASA, Goddard Space Flight Ctr, Planetary Geodynam Lab, Greenbelt, MD 20771 USA; [Milne, Glenn] Univ Ottawa, Dept Earth Sci, Ottawa, ON K1N 6N5, Canada; [Mouginot, Jeremie; Rignot, Eric; Velicogna, Isabella] Univ Calif Irvine, Dept Earth Syst Sci, Irvine, CA 92697 USA; [Payne, Antony J.] Univ Bristol, Sch Geog Sci, Bristol BS8 1SS, Avon, England; [Pritchard, Hamish; Vaughan, David G.] British Antarctic Survey, Cambridge CB3 0ET, England; [Rott, Helmut] Univ Innsbruck, Inst Meteorol &amp; Geophys, A-6020 Innsbruck, Austria; [Scambos, Ted A.] Univ Colorado, Natl Snow &amp; Ice Data Ctr, Boulder, CO 80309 USA; [Schrama, Ernst J. O.] Delft Univ Technol, Fac Aerosp Engn, NL-2629 HS Delft, Netherlands; [Yi, Donghui] NASA, Goddard Space Flight Ctr, Cryospher Sci Lab, SGT Inc, Greenbelt, MD 20771 USA; [Young, Duncan] Univ Texas Austin, Inst Geophys, Austin, TX 78759 USA; [Zwally, H. Jay] NASA, Goddard Space Flight Ctr, Cryospher Sci Lab, Greenbelt, MD 20771 USA; [King, Matt A.] Univ Tasmania, Sch Geog &amp; Environm Studies, Hobart, Tas 7001, Australia</t>
  </si>
  <si>
    <t>University of Leeds; California Institute of Technology; National Aeronautics &amp; Space Administration (NASA); NASA Jet Propulsion Laboratory (JPL); University of Colorado System; University of Colorado Boulder; Technical University of Denmark; Durham University; University of Texas System; University of Texas Austin; University System of Ohio; Ohio State University; University System of Ohio; Ohio State University; University of London; University College London; Technical University of Munich; Columbia University; University of Washington; University of Washington Seattle; Newcastle University - UK; Utrecht University; University of Kansas; Swansea University; National Aeronautics &amp; Space Administration (NASA); NASA Goddard Space Flight Center; University of Ottawa; University of California System; University of California Irvine; University of Bristol; UK Research &amp; Innovation (UKRI); Natural Environment Research Council (NERC); NERC British Antarctic Survey; University of Innsbruck; University of Colorado System; University of Colorado Boulder; Delft University of Technology; National Aeronautics &amp; Space Administration (NASA); NASA Goddard Space Flight Center; Stinger Ghaffarian Technologies, Inc. (SGT); University of Texas System; University of Texas Austin; National Aeronautics &amp; Space Administration (NASA); NASA Goddard Space Flight Center; University of Tasmania</t>
  </si>
  <si>
    <t>Shepherd, A (corresponding author), Univ Leeds, Sch Earth &amp; Environm, Leeds LS2 9JT, W Yorkshire, England.</t>
  </si>
  <si>
    <t>ashepherd@leeds.ac.uk; erik.r.ivins@jpl.nasa.gov</t>
  </si>
  <si>
    <t>van de Berg, Willem Jan/H-4385-2011; Barletta, Valentina R./E-9128-2012; McMillan, Malcolm/K-7712-2014; Horwath, Martin/F-9239-2011; Bentley, Michael J/F-7386-2011; Rignot, Eric/A-4560-2014; Bettadpur, Srinivas/M-3744-2014; Luthcke, Scott B/D-6283-2012; Pritchard, Hamish Daniel/AAU-4696-2021; Ligtenberg, Stefan/AAF-8290-2020; Vaughan, David/C-8348-2011; King, Matt/B-4622-2008; Horwath, Martin/ABH-4320-2020; Velicogna, Isabella/R-5561-2018; A, Geruo/AAP-3565-2020; Joughin, Ian/AAR-7778-2021; Joughin, Ian R/A-2998-2008; Bromwich, David H/C-9225-2016; Mouginot, Jeremie/G-7045-2015; Scambos, Ted A/B-1856-2009; Lenaerts, Jan/D-9423-2012; Van den Broeke, Michiel R./F-7867-2011; Luckman, Adrian/GVS-1716-2022; Ivins, Erik R/C-2416-2011; Young, Duncan/G-6256-2010; Sorensen, Louise Sandberg/E-5282-2014; payne, antony/A-8916-2008</t>
  </si>
  <si>
    <t>van de Berg, Willem Jan/0000-0002-8232-2040; Horwath, Martin/0000-0001-5797-244X; Bentley, Michael J/0000-0002-2048-0019; Rignot, Eric/0000-0002-3366-0481; Bettadpur, Srinivas/0000-0003-3885-2228; King, Matt/0000-0001-5611-9498; A, Geruo/0000-0001-5714-402X; Joughin, Ian/0000-0001-6229-679X; Joughin, Ian R/0000-0001-6229-679X; Mouginot, Jeremie/0000-0001-9155-5455; Lenaerts, Jan/0000-0003-4309-4011; Van den Broeke, Michiel R./0000-0003-4662-7565; Young, Duncan/0000-0002-6866-8176; Luckman, Adrian/0000-0002-9618-5905; Shepherd, Andrew/0000-0002-4914-1299; Barletta, Valentina Roberta/0000-0003-4427-0830; Whitehouse, Pippa/0000-0002-9092-3444; Vaughan, David/0000-0002-9065-0570; Yi, Donghui/0000-0001-6363-5538; Muir, Alan/0000-0001-7754-088X; Sorensen, Louise Sandberg/0000-0002-3771-4061; payne, antony/0000-0001-8825-8425; SCAMBOS, Ted A./0000-0003-4268-6322; McMillan, Malcolm/0000-0002-5113-0177; Forsberg, Rene/0000-0002-7288-9545; SCHRAMA, ERNST/0000-0002-9654-4082</t>
  </si>
  <si>
    <t>Phillip Leverhulme Prize award; European Union [125]; NASA [NNX09AE47G, NNX08AD64G]; Netherlands Organization for Scientific Research; Netherlands Polar Program; UK Natural Environment Research Council; NSF; Lamont Doherty Earth Observatory; NERC [bas0100027, NE/E007023/1, NE/I010874/1, NE/E004806/1, cpom20001, NE/E014089/1, NE/F014260/1] Funding Source: UKRI; Natural Environment Research Council [NE/I010874/1, NE/E007023/1, bas0100027, NE/F014260/1, NE/E004806/1, earth010006, cpom20001, NE/E014089/1] Funding Source: researchfish; NASA [119983, NNX09AE47G, 102979, NNX08AD64G] Funding Source: Federal RePORTER</t>
  </si>
  <si>
    <t>Phillip Leverhulme Prize award(Leverhulme Trust); European Union(European Union (EU)); NASA(National Aeronautics &amp; Space Administration (NASA)); Netherlands Organization for Scientific Research(Netherlands Organization for Scientific Research (NWO)); Netherlands Polar Program; UK Natural Environment Research Council(UK Research &amp; Innovation (UKRI)Natural Environment Research Council (NERC)); NSF(National Science Foundation (NSF)); Lamont Doherty Earth Observatory; NERC(UK Research &amp; Innovation (UKRI)Natural Environment Research Council (NERC)); Natural Environment Research Council(UK Research &amp; Innovation (UKRI)Natural Environment Research Council (NERC)); NASA(National Aeronautics &amp; Space Administration (NASA))</t>
  </si>
  <si>
    <t>This Ice Sheet Mass Balance Exercise (IMBIE) was facilitated by the European Space Agency and NASA and by a Phillip Leverhulme Prize awarded to A. S. The work was additionally supported by the European Union Framework Programme 7 ice2sea program (ice2sea publication 125), the Lamont Doherty Earth Observatory, NASA (grants NNX09AE47G and NNX08AD64G), the Netherlands Organization for Scientific Research, the Netherlands Polar Program, the UK Natural Environment Research Council, and the NSF. Antarctic glacier ice thickness data used in the IOM calculations were acquired by NASA IceBridge and the Centro de Estudios Cientifico Chile, and additional estimates were provided by J. Bamber and J. Griggs. E. van Meijgaard provided assistance with the RACMO model.</t>
  </si>
  <si>
    <t>NOV 30</t>
  </si>
  <si>
    <t>10.1126/science.1228102</t>
  </si>
  <si>
    <t>045AL</t>
  </si>
  <si>
    <t>WOS:000311666200039</t>
  </si>
  <si>
    <t>Tochilin, CJ; Reiners, PW; Thomson, SN; Gehrels, GE; Hemming, SR; Pierce, EL</t>
  </si>
  <si>
    <t>Tochilin, Clare J.; Reiners, Peter W.; Thomson, Stuart N.; Gehrels, George E.; Hemming, Sidney R.; Pierce, Elizabeth L.</t>
  </si>
  <si>
    <t>Erosional history of the Prydz Bay sector of East Antarctica from detrital apatite and zircon geo- and thermochronology multidating</t>
  </si>
  <si>
    <t>GEOCHEMISTRY GEOPHYSICS GEOSYSTEMS</t>
  </si>
  <si>
    <t>East Antarctica; Prydz Bay; geochronology; multidating; thermochronology</t>
  </si>
  <si>
    <t>PRINCE-CHARLES-MOUNTAINS; GAMBURTSEV SUBGLACIAL MOUNTAINS; ICE-SHEET; FISSION-TRACK; U-PB; PAN-AFRICAN; (U-TH)/HE THERMOCHRONOMETRY; CENOZOIC HISTORY; THERMAL HISTORY; LAMBERT GRABEN</t>
  </si>
  <si>
    <t>Approximately 98% of East Antarctica is covered by the East Antarctic Ice Sheet (EAIS), which has covered parts of the continent since the early Oligocene (34 Ma) and obscures evidence about the region's tectonic and erosional history. To better constrain the subglacial record, we analyzed geo- and thermochronologic dates of Oligocene-Quaternary sediments from Prydz Bay, which drains similar to 16% of the EAIS. We used multidating techniques, measuring U-Pb, fission track, and (U-Th)/He dates on apatite and zircon grains and 40Ar/39Ar dates on hornblende grains to determine crystallization and cooling ages. Apatite and zircon U-Pb dates and hornblende 40Ar/39Ar dates are dominantly similar to 500 Ma, recording Pan-African metamorphism and magmatism. Zircon fission track dates record cooling at similar to 250-300 Ma and similar to 120 Ma from Permian-Triassic (300-201 Ma) rifting and Cretaceous (120 Ma) magmatic resetting. Mean apatite fission track dates decrease from similar to 280-210 Ma in early Oligocene samples, with lag times decreasing from similar to 250-180 My, indicating increasing erosion rates. Miocene-Quaternary (10.7-0 Ma) samples show a smaller range from similar to 180 to similar to 150 Ma. Youngest measured apatite He ages also decrease from similar to 100 Ma to similar to 25 Ma in Oligocene-Miocene samples. These results indicate increasing erosion rates (&lt;0.02 km/My to &gt;0.2 km/My) in catchments draining to Prydz Bay in the early Oligocene, with slower erosion since the late Miocene. This erosion was likely achieved by glacial incision into pre-existing valleys, reaching depths of similar to 2.8-3.0 km by the late Miocene. This is consistent with EAIS models showing a transition to less erosive, cold-based conditions following the mid-Miocene climatic optimum.</t>
  </si>
  <si>
    <t>[Tochilin, Clare J.; Reiners, Peter W.; Thomson, Stuart N.; Gehrels, George E.] Univ Arizona, Dept Geosci, Tucson, AZ 85721 USA; [Hemming, Sidney R.; Pierce, Elizabeth L.] Columbia Univ, Lamont Doherty Earth Observ, Palisades, NY 10964 USA; [Hemming, Sidney R.; Pierce, Elizabeth L.] Columbia Univ, Dept Earth &amp; Environm Sci, Palisades, NY 10964 USA</t>
  </si>
  <si>
    <t>University of Arizona; Columbia University; Columbia University</t>
  </si>
  <si>
    <t>Tochilin, CJ (corresponding author), Univ Arizona, Dept Geosci, Tucson, AZ 85721 USA.</t>
  </si>
  <si>
    <t>ctochilin@gmail.com</t>
  </si>
  <si>
    <t>Thomson, Stuart N/A-1222-2009; Thomson, Stuart N/IZE-4354-2023</t>
  </si>
  <si>
    <t>Thomson, Stuart N/0000-0003-4331-5654; Hemming, Sidney/0000-0001-8117-2303</t>
  </si>
  <si>
    <t>NSF (Arizona LaserChron Center) [ANT-0838722, EAR-1032156]; Division Of Earth Sciences; Directorate For Geosciences [0732380] Funding Source: National Science Foundation</t>
  </si>
  <si>
    <t>NSF (Arizona LaserChron Center); Division Of Earth Sciences; Directorate For Geosciences(National Science Foundation (NSF)NSF - Directorate for Geosciences (GEO))</t>
  </si>
  <si>
    <t>This work was supported by NSF grants ANT-0838722 and EAR-1032156 (Arizona LaserChron Center). Thanks to Mark Pecha, Nicky Giesler, Chelsi White, Intan Yokelson, and Percival Gou in the Arizona LaserChron Center and Loren Hill and Uttam Chowdhury in the Arizona Radiogenic Helium Dating Laboratory for their assistance with sample preparation and analysis.</t>
  </si>
  <si>
    <t>1525-2027</t>
  </si>
  <si>
    <t>GEOCHEM GEOPHY GEOSY</t>
  </si>
  <si>
    <t>Geochem. Geophys. Geosyst.</t>
  </si>
  <si>
    <t>NOV 29</t>
  </si>
  <si>
    <t>Q11015</t>
  </si>
  <si>
    <t>10.1029/2012GC004364</t>
  </si>
  <si>
    <t>047LR</t>
  </si>
  <si>
    <t>WOS:000311842900003</t>
  </si>
  <si>
    <t>Siegert, M</t>
  </si>
  <si>
    <t>Siegert, Martin</t>
  </si>
  <si>
    <t>Hunt for life under Antarctic ice heats up (vol 491, pg 506, 2012)</t>
  </si>
  <si>
    <t>[Siegert, Martin] Univ Edinburgh, Edinburgh EH8 9YL, Midlothian, Scotland; [Siegert, Martin] Univ Bristol, Bristol BS8 1TH, Avon, England</t>
  </si>
  <si>
    <t>University of Edinburgh; University of Bristol</t>
  </si>
  <si>
    <t>044FY</t>
  </si>
  <si>
    <t>WOS:000311606000011</t>
  </si>
  <si>
    <t>Rohling, EJ; Sluijs, A; Dijkstra, HA; Köhler, P; de Wal, RSWV; von der Heydt, AS; Beerling, DJ; Berger, A; Bijl, PK; Crucifix, M; DeConto, R; Drijfhout, SS; Fedorov, A; Foster, GL; Ganopolski, A; Hansen, J; Hönisch, B; Hooghiemstra, H; Huber, M; Huybers, P; Knutti, R; Lea, DW; Lourens, LJ; Lunt, D; Masson-Demotte, V; Medina-Elizalde, M; Otto-Bliesner, B; Pagani, M; Pälike, H; Renssen, H; Royer, DL; Siddall, M; Valdes, P; Zachos, JC; Zeebe, RE</t>
  </si>
  <si>
    <t>Rohling, E. J.; Sluijs, A.; Dijkstra, H. A.; Koehler, P.; de Wal, R. S. W. van; von der Heydt, A. S.; Beerling, D. J.; Berger, A.; Bijl, P. K.; Crucifix, M.; DeConto, R.; Drijfhout, S. S.; Fedorov, A.; Foster, G. L.; Ganopolski, A.; Hansen, J.; Hoenisch, B.; Hooghiemstra, H.; Huber, M.; Huybers, P.; Knutti, R.; Lea, D. W.; Lourens, L. J.; Lunt, D.; Masson-Demotte, V.; Medina-Elizalde, M.; Otto-Bliesner, B.; Pagani, M.; Paelike, H.; Renssen, H.; Royer, D. L.; Siddall, M.; Valdes, P.; Zachos, J. C.; Zeebe, R. E.</t>
  </si>
  <si>
    <t>PALAEOSENS Project Members</t>
  </si>
  <si>
    <t>Making sense of palaeoclimate sensitivity</t>
  </si>
  <si>
    <t>CARBON-DIOXIDE CONCENTRATION; GLOBAL CLIMATE SENSITIVITY; EOCENE ATMOSPHERIC CO2; LAST GLACIAL MAXIMUM; ANTARCTIC TEMPERATURE; EARTHS TEMPERATURE; GEOLOGICAL RECORD; SEA-LEVEL; FUTURE; MODEL</t>
  </si>
  <si>
    <t>Many palaeoclimate studies have quantified pre-anthropogenic climate change to calculate climate sensitivity (equilibrium temperature change in response to radiative forcing change), but a lack of consistent methodologies produces a wide range of estimates and hinders comparability of results. Here we present a stricter approach, to improve intercomparison of palaeoclimate sensitivity estimates in a manner compatible with equilibrium projections for future climatechange. Over the past 65 million years, this reveals a climate sensitivity (in KW-1 m(2)) of 0.3-1.9 or 0.6-1.3 at 95% or 68% probability, respectively. The latter implies a warming of 2.2-4.8 K per doubling of atmospheric CO2, which agrees with IPCC estimates.</t>
  </si>
  <si>
    <t>[Rohling, E. J.; Foster, G. L.] Univ Southampton, Sch Ocean &amp; Earth Sci, Natl Oceanog Ctr, Southampton SO14 3ZH, Hants, England; [Rohling, E. J.] Australian Natl Univ, Res Sch Earth Sci, Canberra, ACT 0200, Australia; [Sluijs, A.; Bijl, P. K.; Lourens, L. J.] Univ Utrecht, Dept Earth Sci, Fac Geosci, NL-3584 CD Utrecht, Netherlands; [Dijkstra, H. A.; de Wal, R. S. W. van; von der Heydt, A. S.] Univ Utrecht, Inst Marine &amp; Atmospher Res Utrecht, NL-3584 CC Utrecht, Netherlands; [Koehler, P.] Alfred Wegener Inst Polar &amp; Marine Res AWI, D-27515 Bremerhaven, Germany; [Beerling, D. J.] Univ Sheffield, Dept Anim &amp; Plant Sci, Sheffield S10 2TN, S Yorkshire, England; [Berger, A.; Crucifix, M.] Catholic Univ Louvain, Georges Lemaitre Ctr Earth &amp; Climate Res, Earth &amp; Life Inst, B-1348 Louvain, Belgium; [DeConto, R.] Univ Massachusetts, Dept Geosci, Morrill Sci Ctr 233, Amherst, MA 01003 USA; [Drijfhout, S. S.] Royal Netherlands Meteorol Inst, NL-3730 AE De Bilt, Netherlands; [Fedorov, A.] Yale Univ, Dept Geol &amp; Geophys, New Haven, CT 06520 USA; [Ganopolski, A.] Potsdam Inst Climate Impact Res PIK, D-14412 Potsdam, Germany; [Hansen, J.] NASA, Goddard Inst Space Studies, New York, NY 10025 USA; [Hoenisch, B.] Columbia Univ, Lamont Doherty Earth Observ, Palisades, NY 10964 USA; [Hooghiemstra, H.] Univ Amsterdam, Inst Biodivers &amp; Ecosyst Dynam, NL-1098 XH Amsterdam, Netherlands; [Huber, M.] Purdue Univ, Dept Earth &amp; Atmospher Sci, W Lafayette, IN 47907 USA; [Huybers, P.] Harvard Univ, Dept Earth &amp; Planetary Sci, Cambridge, MA 02138 USA; [Knutti, R.] ETH, Inst Atmospher andClimate Sci, CH-8092 Zurich, Switzerland; [Lea, D. W.] Univ Calif Santa Barbara, Dept Earth Sci, Santa Barbara, CA 93106 USA; [Lunt, D.; Valdes, P.] Univ Bristol, Sch Geog Sci, Bristol BS8 1SS, Avon, England; [Masson-Demotte, V.] LCEA Saclay, LSCE IPSL CEA CNRS UVSQ, UMR 8212, F-91191 Gif Sur Yvette, France; [Medina-Elizalde, M.] Ctr Invest Cient Yucatan, Unidad Ciencias Agua, Cancun 77500, Quintana Roo, Mexico; [Otto-Bliesner, B.] Natl Ctr Atmospher Res, Boulder, CO 80307 USA; [Paelike, H.] Univ Bremen, MARUM, D-28359 Bremen, Germany; [Renssen, H.] Free Univ Amsterdam, Dept Earth Sci, Fac Earth &amp; Life Sci, NL-1081 HV Amsterdam, Netherlands; [Royer, D. L.] Wesleyan Univ, Dept Earth &amp; Environm Sci, Middletown, CT 06459 USA; [Siddall, M.] Univ Bristol, Dept Earth Sci, Bristol BS8 1RJ, Avon, England; [Zeebe, R. E.] Univ Hawaii Manoa, Sch Ocean &amp; Earth Sci &amp; Technol, Dept Oceanog, Honolulu, HI 96822 USA</t>
  </si>
  <si>
    <t>University of Southampton; NERC National Oceanography Centre; Australian National University; Utrecht University; Utrecht University; Helmholtz Association; Alfred Wegener Institute, Helmholtz Centre for Polar &amp; Marine Research; University of Sheffield; Universite Catholique Louvain; University of Massachusetts System; University of Massachusetts Amherst; Royal Netherlands Meteorological Institute; Yale University; Potsdam Institut fur Klimafolgenforschung; National Aeronautics &amp; Space Administration (NASA); NASA Goddard Space Flight Center; Goddard Institute for Space Studies; Columbia University; University of Amsterdam; Purdue University System; Purdue University; Harvard University; Swiss Federal Institutes of Technology Domain; ETH Zurich; University of California System; University of California Santa Barbara; University of Bristol; Centre National de la Recherche Scientifique (CNRS); CNRS - National Institute for Earth Sciences &amp; Astronomy (INSU); CEA; Universite Paris Saclay; Centro de Investigacion Cientifica de Yucatan; National Center Atmospheric Research (NCAR) - USA; University of Bremen; Vrije Universiteit Amsterdam; Wesleyan University; University of Bristol; University of Hawaii System; University of Hawaii Manoa</t>
  </si>
  <si>
    <t>Rohling, EJ (corresponding author), Univ Southampton, Sch Ocean &amp; Earth Sci, Natl Oceanog Ctr, Southampton SO14 3ZH, Hants, England.</t>
  </si>
  <si>
    <t>e.rohling@noc.soton.ac.uk</t>
  </si>
  <si>
    <t>Huber, Matthew/A-7677-2008; Otto-Bliesner, Bette/AAY-7691-2020; IPO, PAGES/JXY-7546-2024; Valdes, Paul J/C-4129-2013; Hoenisch, Baerbel/C-7530-2013; Rohling, Eelco J/B-9736-2008; Foster, Gavin/CAF-4654-2022; Ganopolski, Andrey/F-6811-2013; Hoenisch, Baerbel/ABF-4968-2021; Pagani, Mark/B-3233-2008; Masson-Delmotte, Valerie L/G-1995-2011; Knutti, Reto/B-8763-2008; Drijfhout, Sybren/I-4230-2016; van de wal, roderik/D-1705-2011; Köhler, Peter/F-7293-2010; Foster, Gavin/W-5968-2019; Valdes, Paul/T-2004-2019; Pälike, Heiko/A-6560-2008; Zachos, James C/A-7674-2008; von der Heydt, Anna/B-9250-2008; Dijkstra, Henk A./H-2559-2016; Lunt, Daniel/G-9451-2011; Sluijs, Appy/B-3726-2009; Beerling, David/C-2840-2009</t>
  </si>
  <si>
    <t>Huber, Matthew/0000-0002-2771-9977; Hoenisch, Baerbel/0000-0001-5844-3398; Rohling, Eelco J/0000-0001-5349-2158; Foster, Gavin/0000-0003-3688-9668; Hoenisch, Baerbel/0000-0001-5844-3398; Masson-Delmotte, Valerie L/0000-0001-8296-381X; Knutti, Reto/0000-0001-8303-6700; van de wal, roderik/0000-0003-2543-3892; Köhler, Peter/0000-0003-0904-8484; Valdes, Paul/0000-0002-1902-3283; Pälike, Heiko/0000-0003-3386-0923; von der Heydt, Anna/0000-0002-5557-3282; Lunt, Daniel/0000-0003-3585-6928; Zeebe, Richard/0000-0003-0806-8387; Huybers, Peter/0000-0002-3734-8145; Bijl, Peter/0000-0002-1710-4012; Royer, Dana/0000-0003-0976-953X; Crucifix, Michel/0000-0002-3437-4911; Sluijs, Appy/0000-0003-2382-0215; Drijfhout, Sybren/0000-0001-5325-7350; Beerling, David/0000-0003-1869-4314</t>
  </si>
  <si>
    <t>Royal Netherlands Academy of Arts and Sciences (KNAW); UK-NERC consortium iGlass [NE/I009906/1]; Australian Laureate Fellowship [FL120100050]; Royal Society Wolfson Research Merit Awards; European Research Council for ERC [259627]; NSF [0902882]; EU [243908]; Directorate For Geosciences; Division Of Earth Sciences [1023724] Funding Source: National Science Foundation; Directorate For Geosciences; Division Of Ocean Sciences [0902882] Funding Source: National Science Foundation; NERC [NE/I005595/1, NE/I009906/1, NE/F003641/1] Funding Source: UKRI; European Research Council (ERC) [259627] Funding Source: European Research Council (ERC)</t>
  </si>
  <si>
    <t>Royal Netherlands Academy of Arts and Sciences (KNAW); UK-NERC consortium iGlass; Australian Laureate Fellowship; Royal Society Wolfson Research Merit Awards(Royal Society); European Research Council for ERC(European Research Council (ERC)); NSF(National Science Foundation (NSF)); EU(European Union (EU)); Directorate For Geosciences; Division Of Earth Sciences(National Science Foundation (NSF)NSF - Directorate for Geosciences (GEO)); Directorate For Geosciences; Division Of Ocean Sciences(National Science Foundation (NSF)NSF - Directorate for Geosciences (GEO)); NERC(UK Research &amp; Innovation (UKRI)Natural Environment Research Council (NERC)); European Research Council (ERC)(European Research Council (ERC)Spanish Government)</t>
  </si>
  <si>
    <t>This Perspective arose from the first PALAEOSENS workshop in March 2011. We thank the Royal Netherlands Academy of Arts and Sciences (KNAW) for funding and hosting this workshop in Amsterdam, PAGES for their support, and J. Gregory for discussions. This study was supported by the UK-NERC consortium iGlass (NE/I009906/1), and 2012 Australian Laureate Fellowship FL120100050. D.J.B., E.J.R. and P.V. were supported by Royal Society Wolfson Research Merit Awards. A.S. thanks the European Research Council for ERC starting grant 259627, and M.H. acknowledges NSF P2C2 grant 0902882. Some of the work was supported by grant 243908 'Past4Future' of the EU's seventh framework programme; this is Past4Future contribution number 30.</t>
  </si>
  <si>
    <t>10.1038/nature11574</t>
  </si>
  <si>
    <t>WOS:000311606000031</t>
  </si>
  <si>
    <t>Grant, KM; Rohling, EJ; Bar-Matthews, M; Ayalon, A; Medina-Elizalde, M; Ramsey, CB; Satow, C; Roberts, AP</t>
  </si>
  <si>
    <t>Grant, K. M.; Rohling, E. J.; Bar-Matthews, M.; Ayalon, A.; Medina-Elizalde, M.; Ramsey, C. Bronk; Satow, C.; Roberts, A. P.</t>
  </si>
  <si>
    <t>Rapid coupling between ice volume and polar temperature over the past 150,000 years</t>
  </si>
  <si>
    <t>SEA-LEVEL; CLIMATE; FORAMINIFERA; CONSTRAINTS; CHRONOLOGY</t>
  </si>
  <si>
    <t>Current global warming necessitates a detailed understanding of the relationships between climate and global ice volume. Highly resolved and continuous sea-level records are essential for quantifying ice-volume changes. However, an unbiased study of the timing of past ice-volume changes, relative to polar climate change, has so far been impossible because available sea-level records either were dated by using orbital tuning or ice-core timescales, or were discontinuous in time. Here we present an independent dating of a continuous, high-resolution sea-level record(1,2) in millennial-scale detail throughout the past 150,000 years. We find that the timing of ice-volume fluctuations agrees well with that of variations in Antarctic climate and especially Greenland climate. Amplitudes of ice-volume fluctuations more closely match Antarctic (rather than Greenland) climate changes. Polar climate and ice-volume changes, and their rates of change, are found to covary within centennial response times. Finally, rates of sea-level rise reached at least 1.2 m per century during all major episodes of ice-volume reduction.</t>
  </si>
  <si>
    <t>[Grant, K. M.; Rohling, E. J.; Medina-Elizalde, M.] Univ Southampton, Sch Ocean &amp; Earth Sci, Natl Oceanog Ctr, Southampton SO14 3ZH, Hants, England; [Rohling, E. J.; Roberts, A. P.] Australian Natl Univ, Res Sch Earth Sci, Canberra, ACT 0200, Australia; [Bar-Matthews, M.; Ayalon, A.] Geol Survey Israel, IL-95501 Jerusalem, Israel; [Ramsey, C. Bronk] Univ Oxford, Res Lab Archaeol &amp; Hist Art, Oxford OX1 3QY, England; [Satow, C.] Royal Holloway Univ London, Dept Geog, Egham TW20 0EX, Surrey, England</t>
  </si>
  <si>
    <t>University of Southampton; NERC National Oceanography Centre; Australian National University; Geological Survey Israel; University of Oxford; University of London; Royal Holloway University London</t>
  </si>
  <si>
    <t>Grant, KM (corresponding author), Univ Southampton, Sch Ocean &amp; Earth Sci, Natl Oceanog Ctr, European Way, Southampton SO14 3ZH, Hants, England.</t>
  </si>
  <si>
    <t>kxg@noc.soton.ac.uk</t>
  </si>
  <si>
    <t>Ramsey, Christopher Bronk/AAQ-2227-2021; Rohling, Eelco J/B-9736-2008; Roberts, Andrew P/E-6422-2010</t>
  </si>
  <si>
    <t>Ramsey, Christopher Bronk/0000-0002-8641-9309; Rohling, Eelco J/0000-0001-5349-2158; Grant, Katharine/0000-0003-4299-5504; Roberts, Andrew P./0000-0003-0566-8117</t>
  </si>
  <si>
    <t>UK Natural Environment Research Council (NERC) [NE/H004424/1, NE/E01531X/1, NE/I009906/1]; Royal Society Wolfson Research Merit Award; Australian Laureate Fellowship [FL120100050]; Natural Environment Research Council [bosc01001, NE/E015670/1, NE/I009906/1, NE/E01531X/1, NRCF010002, NE/H004424/1] Funding Source: researchfish; NERC [bosc01001, NE/I009906/1, NE/E01531X/1, NE/E015670/1, NRCF010002, NE/H004424/1] Funding Source: UKRI</t>
  </si>
  <si>
    <t>UK Natural Environment Research Council (NERC)(UK Research &amp; Innovation (UKRI)Natural Environment Research Council (NERC)); Royal Society Wolfson Research Merit Award(Royal Society); Australian Laureate Fellowship; Natural Environment Research Council(UK Research &amp; Innovation (UKRI)Natural Environment Research Council (NERC)); NERC(UK Research &amp; Innovation (UKRI)Natural Environment Research Council (NERC))</t>
  </si>
  <si>
    <t>We thank A. Dutton for comments that improved the manuscript. S. Lee helped with the use of OxCal. This study contributes to UK Natural Environment Research Council (NERC) projects NE/H004424/1, NE/E01531X/1 and NE/I009906/1, to a Royal Society Wolfson Research Merit Award (E.J.R.), and to a 2012 Australian Laureate Fellowship FL120100050 (E.J.R.).</t>
  </si>
  <si>
    <t>10.1038/nature11593</t>
  </si>
  <si>
    <t>WOS:000311606000042</t>
  </si>
  <si>
    <t>Shah, SHH; Kar, RK; Asmawi, AA; Rahman, MBA; Murad, AMA; Mahadi, NM; Basri, M; Rahman, RNZA; Salleh, AB; Chatterjee, S; Tejo, BA; Bhunia, A</t>
  </si>
  <si>
    <t>Shah, Syed Hussinien H.; Kar, Rajiv K.; Asmawi, Azren A.; Rahman, Mohd Basyaruddin A.; Murad, Abdul Munir A.; Mahadi, Nor M.; Basri, Mahiran; Rahman, Raja Noor Zaliha A.; Salleh, Abu B.; Chatterjee, Subhrangsu; Tejo, Bimo A.; Bhunia, Anirban</t>
  </si>
  <si>
    <t>Solution Structures, Dynamics, and Ice Growth Inhibitory Activity of Peptide Fragments Derived from an Antarctic Yeast Protein</t>
  </si>
  <si>
    <t>FLOUNDER ANTIFREEZE POLYPEPTIDE; WINTER FLOUNDER; I ANTIFREEZE; SEA RAVEN; ANTIMICROBIAL PEPTIDES; MOLECULAR-DYNAMICS; CHEMICAL-SHIFT; PSI-BLAST; BINDING; SEQUENCE</t>
  </si>
  <si>
    <t>Exotic functions of antifreeze proteins (AFP) and antifreeze glycopeptides (AFGP) have recently been attracted with much interest to develop them as commercial products. AFPs and AFGPs inhibit ice crystal growth by lowering the water freezing point without changing the water melting point. Our group isolated the Antarctic yeast Glaciozyma antarctica that expresses antifreeze protein to assist it in its survival mechanism at sub-zero temperatures. The protein is unique and novel, indicated by its low sequence homology compared to those of other AFPs. We explore the structure-function relationship of G. antarctica AFP using various approaches ranging from protein structure prediction, peptide design and antifreeze activity assays, nuclear magnetic resonance (NMR) studies and molecular dynamics simulation. The predicted secondary structure of G. antarctica AFP shows several alpha-helices, assumed to be responsible for its antifreeze activity. We designed several peptide fragments derived from the amino acid sequences of alpha-helical regions of the parent AFP and they also showed substantial antifreeze activities, below that of the original AFP. The relationship between peptide structure and activity was explored by NMR spectroscopy and molecular dynamics simulation. NMR results show that the antifreeze activity of the peptides correlates with their helicity and geometrical straightforwardness. Furthermore, molecular dynamics simulation also suggests that the activity of the designed peptides can be explained in terms of the structural rigidity/flexibility, i.e., the most active peptide demonstrates higher structural stability, lower flexibility than that of the other peptides with lower activities, and of lower rigidity. This report represents the first detailed report of downsizing a yeast AFP into its peptide fragments with measurable antifreeze activities.</t>
  </si>
  <si>
    <t>[Shah, Syed Hussinien H.; Asmawi, Azren A.; Rahman, Mohd Basyaruddin A.; Basri, Mahiran; Tejo, Bimo A.] Univ Putra Malaysia, Fac Sci, Dept Chem, Upm Serdang, Selangor, Malaysia; [Kar, Rajiv K.; Chatterjee, Subhrangsu; Bhunia, Anirban] Bose Inst, Dept Biophys, Kolkata, W Bengal, India; [Murad, Abdul Munir A.; Mahadi, Nor M.; Salleh, Abu B.] Malaysia Genome Inst, Ukm Bangi, Selangor, Malaysia; [Rahman, Raja Noor Zaliha A.] Univ Putra Malaysia, Fac Biotechnol &amp; Biomol Sci, Upm Serdang, Selangor, Malaysia</t>
  </si>
  <si>
    <t>Universiti Putra Malaysia; Department of Science &amp; Technology (India); Bose Institute; Universiti Kebangsaan Malaysia; Universiti Putra Malaysia</t>
  </si>
  <si>
    <t>Chatterjee, S (corresponding author), Bose Inst, Dept Biophys, Kolkata, W Bengal, India.</t>
  </si>
  <si>
    <t>subhro_c@boseinst.ernet.in; bimotejo@science.upm.edu.my; bhunia@bic.boseinst.ernet.in</t>
  </si>
  <si>
    <t>Tejo, Bimo A/I-2929-2012; Abdul Murad, Abdul Munir/L-8575-2017; Murad, Abdul/CAG-9324-2022; Asmawi, Azren Aida/AAN-1609-2021; Rahman, Raja Noor Zaliha Raja Abd/I-5556-2019; Rahman, Mohammad/KHY-3819-2024; Asmawi, Azren Aida/JCE-3686-2023; Asmawi, Azren Aida/JCE-3638-2023; Kar, Rajiv Kumar/O-5939-2018</t>
  </si>
  <si>
    <t>Tejo, Bimo A/0000-0002-2890-0938; Abdul Murad, Abdul Munir/0000-0001-6402-7198; Rahman, Raja Noor Zaliha Raja Abd/0000-0002-6316-6177; Abdul Rahman, Mohd Basyaruddin/0000-0002-5665-2564; Bhunia, Anirban/0000-0002-8752-2842; Kar, Rajiv Kumar/0000-0003-4629-5863</t>
  </si>
  <si>
    <t>Ministry of Science, Technology, and Innovation of Malaysia [UKM-MGINBD0015-2007]; Council of Scientific and Industrial Research (CSIR), the Government of India [02(0005)/11/EMR-II]; Department of Science and Technology (DST), the Government of India</t>
  </si>
  <si>
    <t>Ministry of Science, Technology, and Innovation of Malaysia(Ministry of Energy, Science, Technology, Environment and Climate Change (MESTECC), Malaysia); Council of Scientific and Industrial Research (CSIR), the Government of India; Department of Science and Technology (DST), the Government of India(Department of Science &amp; Technology (India))</t>
  </si>
  <si>
    <t>BAT would like to thank the Ministry of Science, Technology, and Innovation of Malaysia for financial support to the Malaysia Genome Institute and Universiti Putra Malaysia (UKM-MGINBD0015-2007). AB and SC would like to thank the Director of the Bose Institute for providing the initial research support. AB thanks Council of Scientific and Industrial Research (CSIR), the Government of India for financial support (02(0005)/11/EMR-II). SC would like to thank Department of Science and Technology (DST), the Government of India for the Ramanujan Fellowship. The funders had no role in study design, data collection and analysis, decision to publish, or preparation of the manuscript.</t>
  </si>
  <si>
    <t>NOV 28</t>
  </si>
  <si>
    <t>e49788</t>
  </si>
  <si>
    <t>10.1371/journal.pone.0049788</t>
  </si>
  <si>
    <t>120QE</t>
  </si>
  <si>
    <t>WOS:000317185400003</t>
  </si>
  <si>
    <t>Wu, GW; Ma, HY; Zhu, TJ; Li, J; Gu, QQ; Li, DH</t>
  </si>
  <si>
    <t>Wu, Guangwei; Ma, Hongyan; Zhu, Tianjiao; Li, Jing; Gu, Qianqun; Li, Dehai</t>
  </si>
  <si>
    <t>Penilactones A and B, two novel polyketides from Antarctic deep-sea derived fungus Penicillium crustosum PRB-2</t>
  </si>
  <si>
    <t>TETRAHEDRON</t>
  </si>
  <si>
    <t>Polyketides; Antarctic deep-sea derived fungus; Penicillium crustosum</t>
  </si>
  <si>
    <t>ACID; BIOSYNTHESIS; DERIVATIVES; ALKALOIDS; ISOLATE; ASSAY</t>
  </si>
  <si>
    <t>Two highly oxygenated polyketides, penilactones A and B (1 and 2), containing a new carbon skeleton formed from two 3,5-dimethyl-2,4-diol-acetophenone units and a gamma-butyrolactone moiety, together with five known compounds (3-7) were isolated from an Antarctic deep-sea derived fungus Penicillium crustosum PRB-2. Penilactones A and B possess antipodal absolute stereochemistries. Their structures were elucidated by spectroscopic methods, and their absolute configurations were assigned by single-crystal X-ray diffraction and CD analyses. A plausible biogenetic pathway for 1-2 is proposed. (c) 2012 Elsevier Ltd. All rights reserved.</t>
  </si>
  <si>
    <t>[Wu, Guangwei; Ma, Hongyan; Zhu, Tianjiao; Li, Jing; Gu, Qianqun; Li, Dehai] Ocean Univ China, Sch Med &amp; Pharm, Chinese Minist Educ, Key Lab Marine Drugs, Qingdao 266003, Shandong, Peoples R China</t>
  </si>
  <si>
    <t>Li, DH (corresponding author), Ocean Univ China, Sch Med &amp; Pharm, Chinese Minist Educ, Key Lab Marine Drugs, 5 Yushan Rd, Qingdao 266003, Shandong, Peoples R China.</t>
  </si>
  <si>
    <t>dehaili@ouc.edu.cn</t>
  </si>
  <si>
    <t>Li, Dehai/G-7656-2012</t>
  </si>
  <si>
    <t>Li, Dehai/0000-0002-7191-2002</t>
  </si>
  <si>
    <t>National Natural Science Fundation of China [41176120]; Chinese Polar Environment Comprehensive Investigation &amp; Assessment Programmes [CHINARE2012-01-06]; Provincial Natural Science Fundation of Shandong [ZR2010HM057]; Promotive research fund for excellent young and middle-aged scientisits of Shandong Province [BS2010HZ027]; Public Projects of State Oceanic Administration [2010418022-3]; Program for Changjiang Scholars and Innovative Research Team in University [IRT0944]</t>
  </si>
  <si>
    <t>National Natural Science Fundation of China(National Natural Science Foundation of China (NSFC)); Chinese Polar Environment Comprehensive Investigation &amp; Assessment Programmes; Provincial Natural Science Fundation of Shandong; Promotive research fund for excellent young and middle-aged scientisits of Shandong Province; Public Projects of State Oceanic Administration; Program for Changjiang Scholars and Innovative Research Team in University(Program for Changjiang Scholars &amp; Innovative Research Team in University (PCSIRT))</t>
  </si>
  <si>
    <t>This work was financially supported by the National Natural Science Fundation of China (No. 41176120), the Chinese Polar Environment Comprehensive Investigation &amp; Assessment Programmes (CHINARE2012-01-06), the Provincial Natural Science Fundation of Shandong (No. ZR2010HM057), the Promotive research fund for excellent young and middle-aged scientisits of Shandong Province (No. BS2010HZ027), the Public Projects of State Oceanic Administration (No. 2010418022-3), and the Program for Changjiang Scholars and Innovative Research Team in University (No. IRT0944). We thank Dr. Zhenjian Lin of University of Utah, USA, for the suggestion of plausible biosynthetic pathway, and Dr. Robert Keyzers of Victoria University of Wellington, New Zealand, for helping with manuscript preparation.</t>
  </si>
  <si>
    <t>0040-4020</t>
  </si>
  <si>
    <t>Tetrahedron</t>
  </si>
  <si>
    <t>NOV 25</t>
  </si>
  <si>
    <t>10.1016/j.tet.2012.09.038</t>
  </si>
  <si>
    <t>Chemistry, Organic</t>
  </si>
  <si>
    <t>028DG</t>
  </si>
  <si>
    <t>WOS:000310402400029</t>
  </si>
  <si>
    <t>Rengifo-Herrera, C; Ortega-Mora, LM; Alvarez-García, G; Gómez-Bautista, M; García-Párraga, D; García-Peña, FJ; Pedraza-Díaz, S</t>
  </si>
  <si>
    <t>Rengifo-Herrera, Claudia; Miguel Ortega-Mora, Luis; Alvarez-Garcia, Gema; Gomez-Bautista, Mercedes; Garcia-Parraga, Daniel; Javier Garcia-Pena, Francisco; Pedraza-Diaz, Susana</t>
  </si>
  <si>
    <t>Detection of Toxoplasma gondii antibodies in Antarctic pinnipeds</t>
  </si>
  <si>
    <t>Toxoplasma gondii; Pinnipeds; Antarctica</t>
  </si>
  <si>
    <t>SARCOCYSTIS-NEURONA; NEOSPORA-CANINUM; PHOCA-VITULINA; SEA OTTERS; INFECTION; SEROPREVALENCE; OOCYSTS; TRANSMISSION; PREVALENCE; SURVIVAL</t>
  </si>
  <si>
    <t>The presence of Toxoplasma gondii antibodies was investigated in Antarctic marine mammals. Two hundred and eleven sera from different species of pinnipeds collected in years 2007, 2010 and 2011 from different locations in the South Shetland Islands and Antarctic Peninsula were analysed using a commercially available agglutination test kit. The presence of antibodies (titres &gt;= 1:25) against T. gondii was detected in a total of 28 animals (13.3%). Amongst animal species, percentages of detection were higher in Southern elephant seals (Mirounga leonina) (76.9%; 10/13) followed by Weddell seals (Leptonychotes weddellii) (41.9%; 13/31). Antibodies were also found in 4 of 165 (2.4%) Antarctic fur seals (Arctocephalus gazella) and 1 of 2 Crabeater seals (Lobodon carcinophaga). Highest titres (1:100-1:800) were also observed in Southern elephant seals and Weddell seals. To the best of our knowledge this is the first report on the detection of antibodies against T. gondii in Antarctic marine mammals. (C) 2012 Elsevier B.V. All rights reserved.</t>
  </si>
  <si>
    <t>[Rengifo-Herrera, Claudia; Miguel Ortega-Mora, Luis; Alvarez-Garcia, Gema; Gomez-Bautista, Mercedes; Pedraza-Diaz, Susana] Univ Complutense Madrid, Fac Vet Sci, Dept Anim Hlth, SALUVET, E-28040 Madrid, Spain; [Javier Garcia-Pena, Francisco] Minist Agr Alimentac &amp; Medio Ambiente, Lab Cent Vet Algete, Madrid, Spain</t>
  </si>
  <si>
    <t>Ortega-Mora, Luis Miguel/AFT-0684-2022; Pedraza-Diaz, Susana/HGB-3199-2022; Rengifo-Herrera, Claudia C/F-7621-2014; GOMEZ-BAUTISTA, MERCEDES/AAA-1315-2019; ALVAREZ-GARCÍA, GEMA/E-3577-2016; Pedraza-Diaz, Susana/F-3988-2018</t>
  </si>
  <si>
    <t>Ortega-Mora, Luis Miguel/0000-0002-4986-6783; ALVAREZ-GARCÍA, GEMA/0000-0002-6627-7577; Garcia-Pena, Francisco Javier/0000-0002-2899-2860; Garcia Parraga, Daniel/0000-0002-3335-5831; Pedraza-Diaz, Susana/0000-0001-9401-6473</t>
  </si>
  <si>
    <t>Spanish Ministry of Science and Innovation [CGL-2005-25073-E/ANT, CTM2008-00570]; Sea World &amp; Bush Gardens Conservation Fund; IFARHU-SENACYT; University of Panama</t>
  </si>
  <si>
    <t>Spanish Ministry of Science and Innovation(Spanish Government); Sea World &amp; Bush Gardens Conservation Fund; IFARHU-SENACYT; University of Panama</t>
  </si>
  <si>
    <t>This work was funded by the Spanish Ministry of Science and Innovation (CGL-2005-25073-E/ANT and CTM2008-00570) and the Sea World &amp; Bush Gardens Conservation Fund. CRH is funded by the IFARHU-SENACYT and the University of Panama.</t>
  </si>
  <si>
    <t>NOV 23</t>
  </si>
  <si>
    <t>10.1016/j.vetpar.2012.05.020</t>
  </si>
  <si>
    <t>028JN</t>
  </si>
  <si>
    <t>WOS:000310418700036</t>
  </si>
  <si>
    <t>Schiermeier, Q</t>
  </si>
  <si>
    <t>Schiermeier, Quirin</t>
  </si>
  <si>
    <t>Hunt for life under Antarctic ice heats up</t>
  </si>
  <si>
    <t>NOV 22</t>
  </si>
  <si>
    <t>10.1038/491506a</t>
  </si>
  <si>
    <t>040RE</t>
  </si>
  <si>
    <t>WOS:000311339800017</t>
  </si>
  <si>
    <t>Chambert, T; Rotella, JJ; Garrott, RA</t>
  </si>
  <si>
    <t>Chambert, Thierry; Rotella, Jay J.; Garrott, Robert A.</t>
  </si>
  <si>
    <t>Environmental extremes versus ecological extremes: impact of a massive iceberg on the population dynamics of a high-level Antarctic marine predator</t>
  </si>
  <si>
    <t>catastrophic event; demography; iceberg B-15; vital rates; Leptonychotes weddellii</t>
  </si>
  <si>
    <t>ROSS SEA; CLIMATE EXTREMES; WEDDELL SEALS; VITAL-RATES; EVENTS; SURVIVAL; WEATHER; METHODOLOGY; GROWTH; ICE</t>
  </si>
  <si>
    <t>Extreme events have been suggested to play a disproportionate role in shaping ecological processes, but our understanding of the types of environmental conditions that elicit extreme consequences in natural ecosystems is limited. Here, we investigated the impact of a massive iceberg on the dynamics of a population of Weddell seals. Reproductive rates of females were reduced, but survival appeared unaffected. We also found suggestive evidence for a prolonged shift towards higher variability in reproductive rates. The annual number of females attending colonies showed unusual swings during the iceberg period, a pattern that was apparently the consequence of changes in sea-ice conditions. In contrast to the dramatic effects that were recorded in nearby populations of emperor penguins, our results suggest that this unusual environmental event did not have an extreme impact on the population of seals in the short-term, as they managed to avoid survival costs and were able to rapidly re-achieve high levels of reproduction by the end of the perturbation. Nevertheless, population projections suggest that even this modest impact on reproductive rates could negatively affect the population in the long run if such events were to occur more frequently, as is predicted by models of climate change.</t>
  </si>
  <si>
    <t>[Chambert, Thierry; Rotella, Jay J.; Garrott, Robert A.] Montana State Univ, Dept Ecol, Bozeman, MT 59717 USA</t>
  </si>
  <si>
    <t>Montana State University System; Montana State University Bozeman</t>
  </si>
  <si>
    <t>Chambert, T (corresponding author), Montana State Univ, Dept Ecol, Bozeman, MT 59717 USA.</t>
  </si>
  <si>
    <t>thierry.chambert@gmail.com</t>
  </si>
  <si>
    <t>Rotella, Jay/0000-0001-7014-7524; Chambert, Thierry/0000-0002-9450-9080</t>
  </si>
  <si>
    <t>National Science Foundation, Division of Polar Programs [ANT-1141326]; NSF; Office of Polar Programs (OPP); Directorate For Geosciences [1141326] Funding Source: National Science Foundation</t>
  </si>
  <si>
    <t>National Science Foundation, Division of Polar Programs(National Science Foundation (NSF)); NSF(National Science Foundation (NSF)); Office of Polar Programs (OPP); Directorate For Geosciences(National Science Foundation (NSF)NSF - Directorate for Geosciences (GEO))</t>
  </si>
  <si>
    <t>We are grateful to J. D. Nichols and 2 anonymous reviewers for helpful comments and to the many individuals who have worked on projects associated with the Erebus Bay Weddell seal population since the 1960s. The project was supported by the National Science Foundation, Division of Polar Programs (grant no. ANT-1141326 to R.A.G., J.J.R. and D. B. Siniff) and prior NSF grants to R.A.G., J.J.R., D. B. Siniff and J. W. Testa. Logistical support for fieldwork in Antarctica was provided by Raytheon Polar Services Company, Antarctic Support Associates, the United States Navy and Air Force, and Petroleum Helicopters Incorporated. Animal handling protocol was approved by Montana State University's Animal Care and Use Committee (Protocol no. 41-05).</t>
  </si>
  <si>
    <t>10.1098/rspb.2012.1733</t>
  </si>
  <si>
    <t>025TU</t>
  </si>
  <si>
    <t>WOS:000310218400003</t>
  </si>
  <si>
    <t>King, MA; Bingham, RJ; Moore, P; Whitehouse, PL; Bentley, MJ; Milne, GA</t>
  </si>
  <si>
    <t>King, Matt A.; Bingham, Rory J.; Moore, Phil; Whitehouse, Pippa L.; Bentley, Michael J.; Milne, Glenn A.</t>
  </si>
  <si>
    <t>Lower satellite-gravimetry estimates of Antarctic sea-level contribution</t>
  </si>
  <si>
    <t>GLACIAL ISOSTATIC-ADJUSTMENT; ICE-SHEET; GRACE; RETREAT; DRIVEN; SIGNAL; MODEL</t>
  </si>
  <si>
    <t>Recent estimates of Antarctica's present-day rate of ice-mass contribution to changes in sea level range from 31 gigatonnes a year (Gt yr(-1); ref. 1) to 246 Gt yr(-1) (ref. 2), a range that cannot be reconciled within formal errors(3). Time-varying rates of mass loss(2,4-6) contribute to this, but substantial technique-specific systematic errors also exist(3). In particular, estimates of secular ice-mass change derived from Gravity Recovery and Climate Experiment (GRACE) satellite data are dominated by significant uncertainty in the accuracy of models of mass change due to glacial isostatic adjustment(7,8) (GIA). Here we adopt a new model of GIA, developed from geological constraints, which produces GIA rates systematically lower than those of previous models, and an improved fit to independent uplift data(9). After applying the model to 99 months (from August 2002 to December 2010) of GRACE data, we estimate a continent-wide ice-mass change of -69 +/- 18 Gt yr(-1) (+0.19 +/- 0.05 mm yr(-1) sea-level equivalent). This is about a third to a half of the most recently published GRACE estimates(2,5), which cover a similar time period but are based on older GIA models. Plausible GIA model uncertainties, and errors relating to removing longitudinal GRACE artefacts ('destriping'), confine our estimate to the range -126 Gt yr(-1) to -29 Gt yr(-1) (0.08-0.35 mm yr(-1) sea-level equivalent). We resolve 26 independent drainage basins and find that Antarctic mass loss, and its acceleration, is concentrated in basins along the Amundsen Sea coast. Outside this region, we find that West Antarctica is nearly in balance and that East Antarctica is gaining substantial mass.</t>
  </si>
  <si>
    <t>[King, Matt A.; Bingham, Rory J.; Moore, Phil] Newcastle Univ, Sch Civil Engn &amp; Geosci, Newcastle Upon Tyne NE1 7RU, Tyne &amp; Wear, England; [King, Matt A.] Univ Tasmania, Sch Geog &amp; Environm Studies, Hobart, Tas 7001, Australia; [Whitehouse, Pippa L.; Bentley, Michael J.] Univ Durham, Dept Geog, Durham DH1 3LE, England; [Milne, Glenn A.] Univ Ottawa, Dept Earth Sci, Ottawa, ON K1N 6N5, Canada</t>
  </si>
  <si>
    <t>Newcastle University - UK; University of Tasmania; Durham University; University of Ottawa</t>
  </si>
  <si>
    <t>King, MA (corresponding author), Newcastle Univ, Sch Civil Engn &amp; Geosci, Newcastle Upon Tyne NE1 7RU, Tyne &amp; Wear, England.</t>
  </si>
  <si>
    <t>m.a.king@newcastle.ac.uk</t>
  </si>
  <si>
    <t>King, Matt/B-4622-2008; Bentley, Michael J/F-7386-2011</t>
  </si>
  <si>
    <t>King, Matt/0000-0001-5611-9498; Bentley, Michael J/0000-0002-2048-0019; Whitehouse, Pippa/0000-0002-9092-3444</t>
  </si>
  <si>
    <t>NERC; RCUK Academic Fellowship; COST Action [ES0701]; Natural Sciences and Engineering Research Council of Canada; Canada Research Chairs programme; NERC [NE/F014260/1, NE/F01452X/1, NE/E004806/1, NE/F01466X/1, NE/E007023/1] Funding Source: UKRI; Natural Environment Research Council [NE/E004806/1, NE/F014260/1, NE/E007023/1, NE/F01452X/1, NE/F01466X/1] Funding Source: researchfish</t>
  </si>
  <si>
    <t>NERC(UK Research &amp; Innovation (UKRI)Natural Environment Research Council (NERC)); RCUK Academic Fellowship(UK Research &amp; Innovation (UKRI)); COST Action(European Cooperation in Science and Technology (COST)); Natural Sciences and Engineering Research Council of Canada(Natural Sciences and Engineering Research Council of Canada (NSERC)CGIAR); Canada Research Chairs programme(Canada Research Chairs); NERC(UK Research &amp; Innovation (UKRI)Natural Environment Research Council (NERC)); Natural Environment Research Council(UK Research &amp; Innovation (UKRI)Natural Environment Research Council (NERC))</t>
  </si>
  <si>
    <t>This work was funded by NERC, and an RCUK Academic Fellowship to M. A. K., and partially supported by COST Action ES0701. G.A.M. acknowledges support from the Natural Sciences and Engineering Research Council of Canada and the Canada Research Chairs programme. We thank E. Ivins for discussions.</t>
  </si>
  <si>
    <t>10.1038/nature11621</t>
  </si>
  <si>
    <t>WOS:000311339800050</t>
  </si>
  <si>
    <t>Delmore, KE; Fox, JW; Irwin, DE</t>
  </si>
  <si>
    <t>Delmore, Kira E.; Fox, James W.; Irwin, Darren E.</t>
  </si>
  <si>
    <t>Dramatic intraspecific differences in migratory routes, stopover sites and wintering areas, revealed using light-level geolocators</t>
  </si>
  <si>
    <t>migration; geolocators; songbird; migratory divide</t>
  </si>
  <si>
    <t>CATHARUS-USTULATUS; SWAINSONS THRUSH; WILLOW WARBLERS; BIRD MIGRATION; LAND BIRDS; NEW-WORLD; CONNECTIVITY; DIVIDE; POPULATIONS; DIVERGENCE</t>
  </si>
  <si>
    <t>Migratory divides are contact zones between breeding populations that use divergent migratory routes and have been described in a variety of species. These divides are of major importance to evolution, ecology and conservation but have been identified using limited band recovery data and/or indirect methods. Data from band recoveries and mitochondrial haplotypes suggested that inland and coastal Swainson's thrushes (Catharus ustulatus) form a migratory divide in western North America. We attached light-level geolocators to birds at the edges of this contact zone to provide, to our knowledge, the first direct test of a putative divide using data from individual birds over the entire annual cycle. Coastal thrushes migrated along the west coast to Mexico, Guatemala and Honduras. Some of these birds used multiple wintering sites. Inland thrushes migrated across the Rocky Mountains, through central North America to Columbia and Venezuela. These birds migrated longer distances than coastal birds and performed a loop migration, navigating over the Gulf of Mexico in autumn and around this barrier in spring. These findings support the suggestion that divergent migratory behaviour could contribute to reproductive isolation between migrants, advance our understanding of their non-breeding ecology, and are integral to development of detailed conservation strategies for this group.</t>
  </si>
  <si>
    <t>[Delmore, Kira E.; Irwin, Darren E.] Univ British Columbia, Dept Zool, Vancouver, BC V6T 1Z4, Canada; [Fox, James W.] British Antarctic Survey, Cambridge CB3 0ET, England</t>
  </si>
  <si>
    <t>University of British Columbia; UK Research &amp; Innovation (UKRI); Natural Environment Research Council (NERC); NERC British Antarctic Survey</t>
  </si>
  <si>
    <t>Delmore, KE (corresponding author), Univ British Columbia, Dept Zool, 6270 Univ Blvd, Vancouver, BC V6T 1Z4, Canada.</t>
  </si>
  <si>
    <t>kdelmore@zoology.ubc.ca</t>
  </si>
  <si>
    <t>; Irwin, Darren/G-6183-2012</t>
  </si>
  <si>
    <t>Fox, James W./0000-0002-3107-696X; Irwin, Darren/0000-0002-1050-5841</t>
  </si>
  <si>
    <t>Natural Sciences and Engineering Research Council of Canada [311931-2005]; Wilson Ornithological Society (Paul A. Stewart Research Award); Environment Canada (Science Horizons Community Funding Programme); NERC [bas010013] Funding Source: UKRI; Natural Environment Research Council [bas010013] Funding Source: researchfish</t>
  </si>
  <si>
    <t>Natural Sciences and Engineering Research Council of Canada(Natural Sciences and Engineering Research Council of Canada (NSERC)CGIAR); Wilson Ornithological Society (Paul A. Stewart Research Award); Environment Canada (Science Horizons Community Funding Programme); NERC(UK Research &amp; Innovation (UKRI)Natural Environment Research Council (NERC)); Natural Environment Research Council(UK Research &amp; Innovation (UKRI)Natural Environment Research Council (NERC))</t>
  </si>
  <si>
    <t>We thank Kristen Ruegg for advice regarding Swainson's thrushes, Wendy Easton and Heather Baines for help establishing our system and Ryan Germain and Stephanie Cavaghan for field assistance. We also thank Bridget Stutchbury and Allison Alvarado for advice on the use of geolocators, and Richard Phillips and Bridget Connelly for help with the analysis of our data. Helpful comments on the manuscript were provided by Ryan Germain, Ken Norris, Ryan Norris and one anonymous reviewer. This work was supported by grants from the Natural Sciences and Engineering Research Council of Canada (discovery grant no. 311931-2005 to D.E.I. and C.G.S-D. to K.E.D.), Wilson Ornithological Society (Paul A. Stewart Research Award to K.E.D.) and Environment Canada (Science Horizons Community Funding Programme to K.E.D.). We are grateful to Metro Vancouver Regional Parks Environment Canada for providing permits (master banding permit no. 10746 and scientific permit no. BC-10-0035).</t>
  </si>
  <si>
    <t>10.1098/rspb.2012.1229</t>
  </si>
  <si>
    <t>WOS:000310218400009</t>
  </si>
  <si>
    <t>Yu, ZB; Chu, XZ; Huang, WT; Fong, WC; Roberts, BR</t>
  </si>
  <si>
    <t>Yu, Zhibin; Chu, Xinzhao; Huang, Wentao; Fong, Weichun; Roberts, Brendan R.</t>
  </si>
  <si>
    <t>Diurnal variations of the Fe layer in the mesosphere and lower thermosphere: Four season variability and solar effects on the layer bottomside at McMurdo (77.8°S, 166.7°E), Antarctica</t>
  </si>
  <si>
    <t>UPPER-ATMOSPHERE; LIDAR OBSERVATIONS; POLAR MESOSPHERE; METEORIC IRON; LOW-LATITUDES; SOUTH POLES; NA LAYER; CHEMISTRY; SODIUM; CLOUDS</t>
  </si>
  <si>
    <t>We provide one of the first reports on diurnal variations of the Fe layer in the mesosphere and lower thermosphere (MLT) using nearly 1000 h of data collected with an Fe Boltzmann lidar at McMurdo, Antarctica from December 2010 through 2011. The Fe layer undergoes significant diurnal variations on the bottomside in autumn and spring with daytime downward extension and nighttime upward contraction. Such variations are absent in winter under 24-h darkness. Summertime Fe density perturbations exhibit downward tidal phase progression. The bottom growth/contraction of Fe layer is shown to be a solar effect that is closely correlated with the solar elevation angle. The bottom transition corresponds to the solar elevation between -9 degrees and -1 degrees when sunlight passes through the lower atmosphere before reaching the MLT. Once the solar elevation is above -1 degrees, the layer bottom remains nearly flat at its daytime altitude (similar to 70-73 km). When the solar elevation is below -9 degrees, the layer bottom stays at its nighttime altitude (similar to 78-80 km). The descending transition rate at dawn is faster than the ascending rate at dusk. The time delay between appreciable Fe density and sunrise/sunset at the MLT increases with decreasing altitude and varies with season. We describe qualitatively how both neutral Fe chemistry with H, O and O-3 and photolysis of Fe-containing molecular species may play important roles in Fe diurnal variations. Accurate rate coefficients for Fe neutral and photochemical reactions are essential to quantitatively explain the solar effects in diurnal variations of the Fe layer.</t>
  </si>
  <si>
    <t>[Yu, Zhibin; Chu, Xinzhao; Huang, Wentao; Fong, Weichun; Roberts, Brendan R.] Univ Colorado, Cooperat Inst Res Environm Sci, Boulder, CO 80309 USA; [Yu, Zhibin; Chu, Xinzhao; Huang, Wentao; Fong, Weichun; Roberts, Brendan R.] Univ Colorado, Dept Aerosp Engn Sci, Boulder, CO 80309 USA</t>
  </si>
  <si>
    <t>Chu, XZ (corresponding author), Univ Colorado, Cooperat Inst Res Environm Sci, 216 UCB, Boulder, CO 80309 USA.</t>
  </si>
  <si>
    <t>xinzhao.chu@colorado.edu</t>
  </si>
  <si>
    <t>Yu, Zhibin/GZA-3374-2022; CHU, XINZHAO/I-5670-2015</t>
  </si>
  <si>
    <t>Yu, Zhibin/0000-0001-5128-809X; CHU, XINZHAO/0000-0001-6147-1963</t>
  </si>
  <si>
    <t>National Science Foundation (NSF) [ANT-0839091]; Office of Polar Programs (OPP); Directorate For Geosciences [1246405, 0839091] Funding Source: National Science Foundation</t>
  </si>
  <si>
    <t>National Science Foundation (NSF)(National Science Foundation (NSF)); Office of Polar Programs (OPP); Directorate For Geosciences(National Science Foundation (NSF)NSF - Directorate for Geosciences (GEO))</t>
  </si>
  <si>
    <t>We sincerely acknowledge Zhangjun Wang, John A. Smith, and Cao Chen for their contributions to the McMurdo lidar campaign. We are very grateful to Chester S. Gardner for his valuable comments and suggestions, to John M. C. Plane for the valuable discussions on Fe chemistry, and to Jonathan S. Friedman for his valuable comments and English editing. We appreciate Allen Jordan and Barbara Emery for their assistance in the solar elevation calculation. Solar elevation angle was calculated using sun_position.m MatLab code developed by National Renewable Energy Laboratory. We sincerely acknowledge James Russell III and SABER team for providing the SABER temperature data. We thank the staff of United States Antarctic Program, McMurdo Station, Antarctica New Zealand and Scott Base for their support. This project was supported by the National Science Foundation (NSF) grant ANT-0839091.</t>
  </si>
  <si>
    <t>NOV 21</t>
  </si>
  <si>
    <t>D22303</t>
  </si>
  <si>
    <t>10.1029/2012JD018079</t>
  </si>
  <si>
    <t>043RF</t>
  </si>
  <si>
    <t>WOS:000311563400002</t>
  </si>
  <si>
    <t>Cronin, TM</t>
  </si>
  <si>
    <t>Cronin, Thomas M.</t>
  </si>
  <si>
    <t>Rapid sea-level rise</t>
  </si>
  <si>
    <t>Sea-level rise; Meridional overturning circulation; Sea-surface temperature; Holocene; Climate</t>
  </si>
  <si>
    <t>ANTARCTIC ICE-SHEET; HOLOCENE GLACIER FLUCTUATIONS; NORTH ICELANDIC SHELF; MERIDIONAL OVERTURNING CIRCULATION; TROPICAL PACIFIC-OCEAN; DEEP-WATER TEMPERATURE; SOUTHERN NEW-ENGLAND; INCREASED MASS-LOSS; GULF-OF-MEXICO; SURFACE-TEMPERATURE</t>
  </si>
  <si>
    <t>Several global and regional factors contribute to observed sea-level change along any particular coast. Global processes include changes in ocean mass (glacio-eustasy from ice melt), ocean volume (steric effects), viscoelastic land movements (glacioisostatic adjustment CIA), and changes in terrestrial water storage. Regional processes, often connected to steric and glacial changes, include changes in ocean circulation (Meridional Overturning Circulation [MOC]), glacial melting, local CIA, regional subsidence and others. Paleoclimate, instrumental and modeling studies show that combinations of these factors can cause relatively rapid rates of sea-level rise exceeding 3 mm yr(-1) over various timescales along particular coasts. This paper discusses patterns and causes of sea-level rise with emphasis on paleoclimatological records. It then addresses the hypothesis of late Holocene (pre-20th century) sea-level stability in light of paleoclimatic evidence, notably from reconstructions of sea-surface temperature and glacial activity, for significant climate and sea-level variability during this time. The practical difficulties of assessing regional sea-level (SL) patterns at submillennial timescales will be discussed using an example from the eastern United States. Published by Elsevier Ltd.</t>
  </si>
  <si>
    <t>926A US Geol Survey, Reston, VA 20192 USA</t>
  </si>
  <si>
    <t>United States Department of the Interior; United States Geological Survey</t>
  </si>
  <si>
    <t>Cronin, TM (corresponding author), 926A US Geol Survey, 12201 Sunrise Valley Dr, Reston, VA 20192 USA.</t>
  </si>
  <si>
    <t>tcronin@usgs.gov</t>
  </si>
  <si>
    <t>10.1016/j.quascirev.2012.08.021</t>
  </si>
  <si>
    <t>044ZZ</t>
  </si>
  <si>
    <t>WOS:000311665000002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</si>
</sst>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86</v>
      </c>
      <c r="AB2" t="s">
        <v>87</v>
      </c>
      <c r="AC2" t="s">
        <v>88</v>
      </c>
      <c r="AD2" t="s">
        <v>89</v>
      </c>
      <c r="AE2" t="s">
        <v>90</v>
      </c>
      <c r="AF2" t="s">
        <v>74</v>
      </c>
      <c r="AG2">
        <v>76</v>
      </c>
      <c r="AH2">
        <v>93</v>
      </c>
      <c r="AI2">
        <v>107</v>
      </c>
      <c r="AJ2">
        <v>1</v>
      </c>
      <c r="AK2">
        <v>41</v>
      </c>
      <c r="AL2" t="s">
        <v>91</v>
      </c>
      <c r="AM2" t="s">
        <v>92</v>
      </c>
      <c r="AN2" t="s">
        <v>93</v>
      </c>
      <c r="AO2" t="s">
        <v>94</v>
      </c>
      <c r="AP2" t="s">
        <v>95</v>
      </c>
      <c r="AQ2" t="s">
        <v>74</v>
      </c>
      <c r="AR2" t="s">
        <v>96</v>
      </c>
      <c r="AS2" t="s">
        <v>97</v>
      </c>
      <c r="AT2" t="s">
        <v>98</v>
      </c>
      <c r="AU2">
        <v>2013</v>
      </c>
      <c r="AV2">
        <v>94</v>
      </c>
      <c r="AW2">
        <v>2</v>
      </c>
      <c r="AX2" t="s">
        <v>74</v>
      </c>
      <c r="AY2" t="s">
        <v>74</v>
      </c>
      <c r="AZ2" t="s">
        <v>74</v>
      </c>
      <c r="BA2" t="s">
        <v>74</v>
      </c>
      <c r="BB2">
        <v>169</v>
      </c>
      <c r="BC2" t="s">
        <v>99</v>
      </c>
      <c r="BD2" t="s">
        <v>74</v>
      </c>
      <c r="BE2" t="s">
        <v>100</v>
      </c>
      <c r="BF2" t="str">
        <f>HYPERLINK("http://dx.doi.org/10.1175/BAMS-D-11-00249.1","http://dx.doi.org/10.1175/BAMS-D-11-00249.1")</f>
        <v>http://dx.doi.org/10.1175/BAMS-D-11-00249.1</v>
      </c>
      <c r="BG2" t="s">
        <v>74</v>
      </c>
      <c r="BH2" t="s">
        <v>74</v>
      </c>
      <c r="BI2">
        <v>20</v>
      </c>
      <c r="BJ2" t="s">
        <v>101</v>
      </c>
      <c r="BK2" t="s">
        <v>102</v>
      </c>
      <c r="BL2" t="s">
        <v>101</v>
      </c>
      <c r="BM2" t="s">
        <v>103</v>
      </c>
      <c r="BN2" t="s">
        <v>74</v>
      </c>
      <c r="BO2" t="s">
        <v>104</v>
      </c>
      <c r="BP2" t="s">
        <v>74</v>
      </c>
      <c r="BQ2" t="s">
        <v>74</v>
      </c>
      <c r="BR2" t="s">
        <v>105</v>
      </c>
      <c r="BS2" t="s">
        <v>106</v>
      </c>
      <c r="BT2" t="str">
        <f>HYPERLINK("https%3A%2F%2Fwww.webofscience.com%2Fwos%2Fwoscc%2Ffull-record%2FWOS:000315932500008","View Full Record in Web of Science")</f>
        <v>View Full Record in Web of Science</v>
      </c>
    </row>
    <row r="3" spans="1:72" x14ac:dyDescent="0.15">
      <c r="A3" t="s">
        <v>72</v>
      </c>
      <c r="B3" t="s">
        <v>107</v>
      </c>
      <c r="C3" t="s">
        <v>74</v>
      </c>
      <c r="D3" t="s">
        <v>74</v>
      </c>
      <c r="E3" t="s">
        <v>74</v>
      </c>
      <c r="F3" t="s">
        <v>108</v>
      </c>
      <c r="G3" t="s">
        <v>74</v>
      </c>
      <c r="H3" t="s">
        <v>74</v>
      </c>
      <c r="I3" t="s">
        <v>109</v>
      </c>
      <c r="J3" t="s">
        <v>110</v>
      </c>
      <c r="K3" t="s">
        <v>74</v>
      </c>
      <c r="L3" t="s">
        <v>74</v>
      </c>
      <c r="M3" t="s">
        <v>78</v>
      </c>
      <c r="N3" t="s">
        <v>79</v>
      </c>
      <c r="O3" t="s">
        <v>74</v>
      </c>
      <c r="P3" t="s">
        <v>74</v>
      </c>
      <c r="Q3" t="s">
        <v>74</v>
      </c>
      <c r="R3" t="s">
        <v>74</v>
      </c>
      <c r="S3" t="s">
        <v>74</v>
      </c>
      <c r="T3" t="s">
        <v>111</v>
      </c>
      <c r="U3" t="s">
        <v>112</v>
      </c>
      <c r="V3" t="s">
        <v>113</v>
      </c>
      <c r="W3" t="s">
        <v>114</v>
      </c>
      <c r="X3" t="s">
        <v>74</v>
      </c>
      <c r="Y3" t="s">
        <v>115</v>
      </c>
      <c r="Z3" t="s">
        <v>116</v>
      </c>
      <c r="AA3" t="s">
        <v>74</v>
      </c>
      <c r="AB3" t="s">
        <v>74</v>
      </c>
      <c r="AC3" t="s">
        <v>74</v>
      </c>
      <c r="AD3" t="s">
        <v>74</v>
      </c>
      <c r="AE3" t="s">
        <v>74</v>
      </c>
      <c r="AF3" t="s">
        <v>74</v>
      </c>
      <c r="AG3">
        <v>76</v>
      </c>
      <c r="AH3">
        <v>1</v>
      </c>
      <c r="AI3">
        <v>1</v>
      </c>
      <c r="AJ3">
        <v>1</v>
      </c>
      <c r="AK3">
        <v>19</v>
      </c>
      <c r="AL3" t="s">
        <v>117</v>
      </c>
      <c r="AM3" t="s">
        <v>118</v>
      </c>
      <c r="AN3" t="s">
        <v>119</v>
      </c>
      <c r="AO3" t="s">
        <v>120</v>
      </c>
      <c r="AP3" t="s">
        <v>121</v>
      </c>
      <c r="AQ3" t="s">
        <v>74</v>
      </c>
      <c r="AR3" t="s">
        <v>122</v>
      </c>
      <c r="AS3" t="s">
        <v>123</v>
      </c>
      <c r="AT3" t="s">
        <v>98</v>
      </c>
      <c r="AU3">
        <v>2013</v>
      </c>
      <c r="AV3">
        <v>122</v>
      </c>
      <c r="AW3">
        <v>1</v>
      </c>
      <c r="AX3" t="s">
        <v>74</v>
      </c>
      <c r="AY3" t="s">
        <v>74</v>
      </c>
      <c r="AZ3" t="s">
        <v>74</v>
      </c>
      <c r="BA3" t="s">
        <v>74</v>
      </c>
      <c r="BB3">
        <v>239</v>
      </c>
      <c r="BC3">
        <v>252</v>
      </c>
      <c r="BD3" t="s">
        <v>74</v>
      </c>
      <c r="BE3" t="s">
        <v>124</v>
      </c>
      <c r="BF3" t="str">
        <f>HYPERLINK("http://dx.doi.org/10.1007/s12040-012-0246-y","http://dx.doi.org/10.1007/s12040-012-0246-y")</f>
        <v>http://dx.doi.org/10.1007/s12040-012-0246-y</v>
      </c>
      <c r="BG3" t="s">
        <v>74</v>
      </c>
      <c r="BH3" t="s">
        <v>74</v>
      </c>
      <c r="BI3">
        <v>14</v>
      </c>
      <c r="BJ3" t="s">
        <v>125</v>
      </c>
      <c r="BK3" t="s">
        <v>102</v>
      </c>
      <c r="BL3" t="s">
        <v>126</v>
      </c>
      <c r="BM3" t="s">
        <v>127</v>
      </c>
      <c r="BN3" t="s">
        <v>74</v>
      </c>
      <c r="BO3" t="s">
        <v>128</v>
      </c>
      <c r="BP3" t="s">
        <v>74</v>
      </c>
      <c r="BQ3" t="s">
        <v>74</v>
      </c>
      <c r="BR3" t="s">
        <v>105</v>
      </c>
      <c r="BS3" t="s">
        <v>129</v>
      </c>
      <c r="BT3" t="str">
        <f>HYPERLINK("https%3A%2F%2Fwww.webofscience.com%2Fwos%2Fwoscc%2Ffull-record%2FWOS:000315605600020","View Full Record in Web of Science")</f>
        <v>View Full Record in Web of Science</v>
      </c>
    </row>
    <row r="4" spans="1:72" x14ac:dyDescent="0.15">
      <c r="A4" t="s">
        <v>72</v>
      </c>
      <c r="B4" t="s">
        <v>130</v>
      </c>
      <c r="C4" t="s">
        <v>74</v>
      </c>
      <c r="D4" t="s">
        <v>74</v>
      </c>
      <c r="E4" t="s">
        <v>74</v>
      </c>
      <c r="F4" t="s">
        <v>131</v>
      </c>
      <c r="G4" t="s">
        <v>74</v>
      </c>
      <c r="H4" t="s">
        <v>74</v>
      </c>
      <c r="I4" t="s">
        <v>132</v>
      </c>
      <c r="J4" t="s">
        <v>133</v>
      </c>
      <c r="K4" t="s">
        <v>74</v>
      </c>
      <c r="L4" t="s">
        <v>74</v>
      </c>
      <c r="M4" t="s">
        <v>78</v>
      </c>
      <c r="N4" t="s">
        <v>79</v>
      </c>
      <c r="O4" t="s">
        <v>74</v>
      </c>
      <c r="P4" t="s">
        <v>74</v>
      </c>
      <c r="Q4" t="s">
        <v>74</v>
      </c>
      <c r="R4" t="s">
        <v>74</v>
      </c>
      <c r="S4" t="s">
        <v>74</v>
      </c>
      <c r="T4" t="s">
        <v>134</v>
      </c>
      <c r="U4" t="s">
        <v>135</v>
      </c>
      <c r="V4" t="s">
        <v>136</v>
      </c>
      <c r="W4" t="s">
        <v>137</v>
      </c>
      <c r="X4" t="s">
        <v>138</v>
      </c>
      <c r="Y4" t="s">
        <v>139</v>
      </c>
      <c r="Z4" t="s">
        <v>140</v>
      </c>
      <c r="AA4" t="s">
        <v>141</v>
      </c>
      <c r="AB4" t="s">
        <v>142</v>
      </c>
      <c r="AC4" t="s">
        <v>143</v>
      </c>
      <c r="AD4" t="s">
        <v>144</v>
      </c>
      <c r="AE4" t="s">
        <v>145</v>
      </c>
      <c r="AF4" t="s">
        <v>74</v>
      </c>
      <c r="AG4">
        <v>61</v>
      </c>
      <c r="AH4">
        <v>9</v>
      </c>
      <c r="AI4">
        <v>9</v>
      </c>
      <c r="AJ4">
        <v>1</v>
      </c>
      <c r="AK4">
        <v>33</v>
      </c>
      <c r="AL4" t="s">
        <v>146</v>
      </c>
      <c r="AM4" t="s">
        <v>147</v>
      </c>
      <c r="AN4" t="s">
        <v>148</v>
      </c>
      <c r="AO4" t="s">
        <v>149</v>
      </c>
      <c r="AP4" t="s">
        <v>74</v>
      </c>
      <c r="AQ4" t="s">
        <v>74</v>
      </c>
      <c r="AR4" t="s">
        <v>150</v>
      </c>
      <c r="AS4" t="s">
        <v>151</v>
      </c>
      <c r="AT4" t="s">
        <v>98</v>
      </c>
      <c r="AU4">
        <v>2013</v>
      </c>
      <c r="AV4">
        <v>76</v>
      </c>
      <c r="AW4" t="s">
        <v>74</v>
      </c>
      <c r="AX4" t="s">
        <v>74</v>
      </c>
      <c r="AY4" t="s">
        <v>74</v>
      </c>
      <c r="AZ4" t="s">
        <v>74</v>
      </c>
      <c r="BA4" t="s">
        <v>74</v>
      </c>
      <c r="BB4">
        <v>28</v>
      </c>
      <c r="BC4">
        <v>41</v>
      </c>
      <c r="BD4" t="s">
        <v>74</v>
      </c>
      <c r="BE4" t="s">
        <v>152</v>
      </c>
      <c r="BF4" t="str">
        <f>HYPERLINK("http://dx.doi.org/10.1016/j.pss.2012.11.005","http://dx.doi.org/10.1016/j.pss.2012.11.005")</f>
        <v>http://dx.doi.org/10.1016/j.pss.2012.11.005</v>
      </c>
      <c r="BG4" t="s">
        <v>74</v>
      </c>
      <c r="BH4" t="s">
        <v>74</v>
      </c>
      <c r="BI4">
        <v>14</v>
      </c>
      <c r="BJ4" t="s">
        <v>153</v>
      </c>
      <c r="BK4" t="s">
        <v>102</v>
      </c>
      <c r="BL4" t="s">
        <v>153</v>
      </c>
      <c r="BM4" t="s">
        <v>154</v>
      </c>
      <c r="BN4" t="s">
        <v>74</v>
      </c>
      <c r="BO4" t="s">
        <v>155</v>
      </c>
      <c r="BP4" t="s">
        <v>74</v>
      </c>
      <c r="BQ4" t="s">
        <v>74</v>
      </c>
      <c r="BR4" t="s">
        <v>105</v>
      </c>
      <c r="BS4" t="s">
        <v>156</v>
      </c>
      <c r="BT4" t="str">
        <f>HYPERLINK("https%3A%2F%2Fwww.webofscience.com%2Fwos%2Fwoscc%2Ffull-record%2FWOS:000315831300003","View Full Record in Web of Science")</f>
        <v>View Full Record in Web of Science</v>
      </c>
    </row>
    <row r="5" spans="1:72" x14ac:dyDescent="0.15">
      <c r="A5" t="s">
        <v>72</v>
      </c>
      <c r="B5" t="s">
        <v>157</v>
      </c>
      <c r="C5" t="s">
        <v>74</v>
      </c>
      <c r="D5" t="s">
        <v>74</v>
      </c>
      <c r="E5" t="s">
        <v>74</v>
      </c>
      <c r="F5" t="s">
        <v>158</v>
      </c>
      <c r="G5" t="s">
        <v>74</v>
      </c>
      <c r="H5" t="s">
        <v>74</v>
      </c>
      <c r="I5" t="s">
        <v>159</v>
      </c>
      <c r="J5" t="s">
        <v>160</v>
      </c>
      <c r="K5" t="s">
        <v>74</v>
      </c>
      <c r="L5" t="s">
        <v>74</v>
      </c>
      <c r="M5" t="s">
        <v>78</v>
      </c>
      <c r="N5" t="s">
        <v>79</v>
      </c>
      <c r="O5" t="s">
        <v>74</v>
      </c>
      <c r="P5" t="s">
        <v>74</v>
      </c>
      <c r="Q5" t="s">
        <v>74</v>
      </c>
      <c r="R5" t="s">
        <v>74</v>
      </c>
      <c r="S5" t="s">
        <v>74</v>
      </c>
      <c r="T5" t="s">
        <v>74</v>
      </c>
      <c r="U5" t="s">
        <v>74</v>
      </c>
      <c r="V5" t="s">
        <v>161</v>
      </c>
      <c r="W5" t="s">
        <v>162</v>
      </c>
      <c r="X5" t="s">
        <v>163</v>
      </c>
      <c r="Y5" t="s">
        <v>164</v>
      </c>
      <c r="Z5" t="s">
        <v>165</v>
      </c>
      <c r="AA5" t="s">
        <v>74</v>
      </c>
      <c r="AB5" t="s">
        <v>74</v>
      </c>
      <c r="AC5" t="s">
        <v>166</v>
      </c>
      <c r="AD5" t="s">
        <v>167</v>
      </c>
      <c r="AE5" t="s">
        <v>74</v>
      </c>
      <c r="AF5" t="s">
        <v>74</v>
      </c>
      <c r="AG5">
        <v>6</v>
      </c>
      <c r="AH5">
        <v>15</v>
      </c>
      <c r="AI5">
        <v>18</v>
      </c>
      <c r="AJ5">
        <v>2</v>
      </c>
      <c r="AK5">
        <v>39</v>
      </c>
      <c r="AL5" t="s">
        <v>91</v>
      </c>
      <c r="AM5" t="s">
        <v>92</v>
      </c>
      <c r="AN5" t="s">
        <v>93</v>
      </c>
      <c r="AO5" t="s">
        <v>168</v>
      </c>
      <c r="AP5" t="s">
        <v>169</v>
      </c>
      <c r="AQ5" t="s">
        <v>74</v>
      </c>
      <c r="AR5" t="s">
        <v>170</v>
      </c>
      <c r="AS5" t="s">
        <v>171</v>
      </c>
      <c r="AT5" t="s">
        <v>98</v>
      </c>
      <c r="AU5">
        <v>2013</v>
      </c>
      <c r="AV5">
        <v>52</v>
      </c>
      <c r="AW5">
        <v>2</v>
      </c>
      <c r="AX5" t="s">
        <v>74</v>
      </c>
      <c r="AY5" t="s">
        <v>74</v>
      </c>
      <c r="AZ5" t="s">
        <v>74</v>
      </c>
      <c r="BA5" t="s">
        <v>74</v>
      </c>
      <c r="BB5">
        <v>281</v>
      </c>
      <c r="BC5">
        <v>288</v>
      </c>
      <c r="BD5" t="s">
        <v>74</v>
      </c>
      <c r="BE5" t="s">
        <v>172</v>
      </c>
      <c r="BF5" t="str">
        <f>HYPERLINK("http://dx.doi.org/10.1175/JAMC-D-12-0110.1","http://dx.doi.org/10.1175/JAMC-D-12-0110.1")</f>
        <v>http://dx.doi.org/10.1175/JAMC-D-12-0110.1</v>
      </c>
      <c r="BG5" t="s">
        <v>74</v>
      </c>
      <c r="BH5" t="s">
        <v>74</v>
      </c>
      <c r="BI5">
        <v>8</v>
      </c>
      <c r="BJ5" t="s">
        <v>101</v>
      </c>
      <c r="BK5" t="s">
        <v>102</v>
      </c>
      <c r="BL5" t="s">
        <v>101</v>
      </c>
      <c r="BM5" t="s">
        <v>173</v>
      </c>
      <c r="BN5" t="s">
        <v>74</v>
      </c>
      <c r="BO5" t="s">
        <v>104</v>
      </c>
      <c r="BP5" t="s">
        <v>74</v>
      </c>
      <c r="BQ5" t="s">
        <v>74</v>
      </c>
      <c r="BR5" t="s">
        <v>105</v>
      </c>
      <c r="BS5" t="s">
        <v>174</v>
      </c>
      <c r="BT5" t="str">
        <f>HYPERLINK("https%3A%2F%2Fwww.webofscience.com%2Fwos%2Fwoscc%2Ffull-record%2FWOS:000315470000001","View Full Record in Web of Science")</f>
        <v>View Full Record in Web of Science</v>
      </c>
    </row>
    <row r="6" spans="1:72" x14ac:dyDescent="0.15">
      <c r="A6" t="s">
        <v>72</v>
      </c>
      <c r="B6" t="s">
        <v>175</v>
      </c>
      <c r="C6" t="s">
        <v>74</v>
      </c>
      <c r="D6" t="s">
        <v>74</v>
      </c>
      <c r="E6" t="s">
        <v>74</v>
      </c>
      <c r="F6" t="s">
        <v>176</v>
      </c>
      <c r="G6" t="s">
        <v>74</v>
      </c>
      <c r="H6" t="s">
        <v>74</v>
      </c>
      <c r="I6" t="s">
        <v>177</v>
      </c>
      <c r="J6" t="s">
        <v>178</v>
      </c>
      <c r="K6" t="s">
        <v>74</v>
      </c>
      <c r="L6" t="s">
        <v>74</v>
      </c>
      <c r="M6" t="s">
        <v>78</v>
      </c>
      <c r="N6" t="s">
        <v>79</v>
      </c>
      <c r="O6" t="s">
        <v>74</v>
      </c>
      <c r="P6" t="s">
        <v>74</v>
      </c>
      <c r="Q6" t="s">
        <v>74</v>
      </c>
      <c r="R6" t="s">
        <v>74</v>
      </c>
      <c r="S6" t="s">
        <v>74</v>
      </c>
      <c r="T6" t="s">
        <v>74</v>
      </c>
      <c r="U6" t="s">
        <v>179</v>
      </c>
      <c r="V6" t="s">
        <v>180</v>
      </c>
      <c r="W6" t="s">
        <v>181</v>
      </c>
      <c r="X6" t="s">
        <v>182</v>
      </c>
      <c r="Y6" t="s">
        <v>183</v>
      </c>
      <c r="Z6" t="s">
        <v>184</v>
      </c>
      <c r="AA6" t="s">
        <v>185</v>
      </c>
      <c r="AB6" t="s">
        <v>186</v>
      </c>
      <c r="AC6" t="s">
        <v>187</v>
      </c>
      <c r="AD6" t="s">
        <v>188</v>
      </c>
      <c r="AE6" t="s">
        <v>189</v>
      </c>
      <c r="AF6" t="s">
        <v>74</v>
      </c>
      <c r="AG6">
        <v>43</v>
      </c>
      <c r="AH6">
        <v>24</v>
      </c>
      <c r="AI6">
        <v>25</v>
      </c>
      <c r="AJ6">
        <v>1</v>
      </c>
      <c r="AK6">
        <v>29</v>
      </c>
      <c r="AL6" t="s">
        <v>91</v>
      </c>
      <c r="AM6" t="s">
        <v>92</v>
      </c>
      <c r="AN6" t="s">
        <v>93</v>
      </c>
      <c r="AO6" t="s">
        <v>190</v>
      </c>
      <c r="AP6" t="s">
        <v>191</v>
      </c>
      <c r="AQ6" t="s">
        <v>74</v>
      </c>
      <c r="AR6" t="s">
        <v>192</v>
      </c>
      <c r="AS6" t="s">
        <v>193</v>
      </c>
      <c r="AT6" t="s">
        <v>98</v>
      </c>
      <c r="AU6">
        <v>2013</v>
      </c>
      <c r="AV6">
        <v>26</v>
      </c>
      <c r="AW6">
        <v>4</v>
      </c>
      <c r="AX6" t="s">
        <v>74</v>
      </c>
      <c r="AY6" t="s">
        <v>74</v>
      </c>
      <c r="AZ6" t="s">
        <v>74</v>
      </c>
      <c r="BA6" t="s">
        <v>74</v>
      </c>
      <c r="BB6">
        <v>1152</v>
      </c>
      <c r="BC6">
        <v>1171</v>
      </c>
      <c r="BD6" t="s">
        <v>74</v>
      </c>
      <c r="BE6" t="s">
        <v>194</v>
      </c>
      <c r="BF6" t="str">
        <f>HYPERLINK("http://dx.doi.org/10.1175/JCLI-D-11-00673.1","http://dx.doi.org/10.1175/JCLI-D-11-00673.1")</f>
        <v>http://dx.doi.org/10.1175/JCLI-D-11-00673.1</v>
      </c>
      <c r="BG6" t="s">
        <v>74</v>
      </c>
      <c r="BH6" t="s">
        <v>74</v>
      </c>
      <c r="BI6">
        <v>20</v>
      </c>
      <c r="BJ6" t="s">
        <v>101</v>
      </c>
      <c r="BK6" t="s">
        <v>102</v>
      </c>
      <c r="BL6" t="s">
        <v>101</v>
      </c>
      <c r="BM6" t="s">
        <v>195</v>
      </c>
      <c r="BN6" t="s">
        <v>74</v>
      </c>
      <c r="BO6" t="s">
        <v>196</v>
      </c>
      <c r="BP6" t="s">
        <v>74</v>
      </c>
      <c r="BQ6" t="s">
        <v>74</v>
      </c>
      <c r="BR6" t="s">
        <v>105</v>
      </c>
      <c r="BS6" t="s">
        <v>197</v>
      </c>
      <c r="BT6" t="str">
        <f>HYPERLINK("https%3A%2F%2Fwww.webofscience.com%2Fwos%2Fwoscc%2Ffull-record%2FWOS:000315466700004","View Full Record in Web of Science")</f>
        <v>View Full Record in Web of Science</v>
      </c>
    </row>
    <row r="7" spans="1:72" x14ac:dyDescent="0.15">
      <c r="A7" t="s">
        <v>72</v>
      </c>
      <c r="B7" t="s">
        <v>198</v>
      </c>
      <c r="C7" t="s">
        <v>74</v>
      </c>
      <c r="D7" t="s">
        <v>74</v>
      </c>
      <c r="E7" t="s">
        <v>74</v>
      </c>
      <c r="F7" t="s">
        <v>199</v>
      </c>
      <c r="G7" t="s">
        <v>74</v>
      </c>
      <c r="H7" t="s">
        <v>74</v>
      </c>
      <c r="I7" t="s">
        <v>200</v>
      </c>
      <c r="J7" t="s">
        <v>201</v>
      </c>
      <c r="K7" t="s">
        <v>74</v>
      </c>
      <c r="L7" t="s">
        <v>74</v>
      </c>
      <c r="M7" t="s">
        <v>78</v>
      </c>
      <c r="N7" t="s">
        <v>79</v>
      </c>
      <c r="O7" t="s">
        <v>74</v>
      </c>
      <c r="P7" t="s">
        <v>74</v>
      </c>
      <c r="Q7" t="s">
        <v>74</v>
      </c>
      <c r="R7" t="s">
        <v>74</v>
      </c>
      <c r="S7" t="s">
        <v>74</v>
      </c>
      <c r="T7" t="s">
        <v>202</v>
      </c>
      <c r="U7" t="s">
        <v>203</v>
      </c>
      <c r="V7" t="s">
        <v>204</v>
      </c>
      <c r="W7" t="s">
        <v>205</v>
      </c>
      <c r="X7" t="s">
        <v>206</v>
      </c>
      <c r="Y7" t="s">
        <v>207</v>
      </c>
      <c r="Z7" t="s">
        <v>208</v>
      </c>
      <c r="AA7" t="s">
        <v>209</v>
      </c>
      <c r="AB7" t="s">
        <v>210</v>
      </c>
      <c r="AC7" t="s">
        <v>211</v>
      </c>
      <c r="AD7" t="s">
        <v>212</v>
      </c>
      <c r="AE7" t="s">
        <v>213</v>
      </c>
      <c r="AF7" t="s">
        <v>74</v>
      </c>
      <c r="AG7">
        <v>22</v>
      </c>
      <c r="AH7">
        <v>7</v>
      </c>
      <c r="AI7">
        <v>7</v>
      </c>
      <c r="AJ7">
        <v>0</v>
      </c>
      <c r="AK7">
        <v>6</v>
      </c>
      <c r="AL7" t="s">
        <v>214</v>
      </c>
      <c r="AM7" t="s">
        <v>215</v>
      </c>
      <c r="AN7" t="s">
        <v>216</v>
      </c>
      <c r="AO7" t="s">
        <v>217</v>
      </c>
      <c r="AP7" t="s">
        <v>218</v>
      </c>
      <c r="AQ7" t="s">
        <v>74</v>
      </c>
      <c r="AR7" t="s">
        <v>219</v>
      </c>
      <c r="AS7" t="s">
        <v>220</v>
      </c>
      <c r="AT7" t="s">
        <v>98</v>
      </c>
      <c r="AU7">
        <v>2013</v>
      </c>
      <c r="AV7">
        <v>34</v>
      </c>
      <c r="AW7" t="s">
        <v>74</v>
      </c>
      <c r="AX7" t="s">
        <v>74</v>
      </c>
      <c r="AY7">
        <v>1</v>
      </c>
      <c r="AZ7" t="s">
        <v>221</v>
      </c>
      <c r="BA7" t="s">
        <v>74</v>
      </c>
      <c r="BB7">
        <v>63</v>
      </c>
      <c r="BC7">
        <v>70</v>
      </c>
      <c r="BD7" t="s">
        <v>74</v>
      </c>
      <c r="BE7" t="s">
        <v>222</v>
      </c>
      <c r="BF7" t="str">
        <f>HYPERLINK("http://dx.doi.org/10.1111/maec.12026","http://dx.doi.org/10.1111/maec.12026")</f>
        <v>http://dx.doi.org/10.1111/maec.12026</v>
      </c>
      <c r="BG7" t="s">
        <v>74</v>
      </c>
      <c r="BH7" t="s">
        <v>74</v>
      </c>
      <c r="BI7">
        <v>8</v>
      </c>
      <c r="BJ7" t="s">
        <v>223</v>
      </c>
      <c r="BK7" t="s">
        <v>102</v>
      </c>
      <c r="BL7" t="s">
        <v>223</v>
      </c>
      <c r="BM7" t="s">
        <v>224</v>
      </c>
      <c r="BN7" t="s">
        <v>74</v>
      </c>
      <c r="BO7" t="s">
        <v>74</v>
      </c>
      <c r="BP7" t="s">
        <v>74</v>
      </c>
      <c r="BQ7" t="s">
        <v>74</v>
      </c>
      <c r="BR7" t="s">
        <v>105</v>
      </c>
      <c r="BS7" t="s">
        <v>225</v>
      </c>
      <c r="BT7" t="str">
        <f>HYPERLINK("https%3A%2F%2Fwww.webofscience.com%2Fwos%2Fwoscc%2Ffull-record%2FWOS:000315395700007","View Full Record in Web of Science")</f>
        <v>View Full Record in Web of Science</v>
      </c>
    </row>
    <row r="8" spans="1:72" x14ac:dyDescent="0.15">
      <c r="A8" t="s">
        <v>72</v>
      </c>
      <c r="B8" t="s">
        <v>226</v>
      </c>
      <c r="C8" t="s">
        <v>74</v>
      </c>
      <c r="D8" t="s">
        <v>74</v>
      </c>
      <c r="E8" t="s">
        <v>74</v>
      </c>
      <c r="F8" t="s">
        <v>227</v>
      </c>
      <c r="G8" t="s">
        <v>74</v>
      </c>
      <c r="H8" t="s">
        <v>74</v>
      </c>
      <c r="I8" t="s">
        <v>228</v>
      </c>
      <c r="J8" t="s">
        <v>201</v>
      </c>
      <c r="K8" t="s">
        <v>74</v>
      </c>
      <c r="L8" t="s">
        <v>74</v>
      </c>
      <c r="M8" t="s">
        <v>78</v>
      </c>
      <c r="N8" t="s">
        <v>79</v>
      </c>
      <c r="O8" t="s">
        <v>74</v>
      </c>
      <c r="P8" t="s">
        <v>74</v>
      </c>
      <c r="Q8" t="s">
        <v>74</v>
      </c>
      <c r="R8" t="s">
        <v>74</v>
      </c>
      <c r="S8" t="s">
        <v>74</v>
      </c>
      <c r="T8" t="s">
        <v>229</v>
      </c>
      <c r="U8" t="s">
        <v>230</v>
      </c>
      <c r="V8" t="s">
        <v>231</v>
      </c>
      <c r="W8" t="s">
        <v>232</v>
      </c>
      <c r="X8" t="s">
        <v>233</v>
      </c>
      <c r="Y8" t="s">
        <v>234</v>
      </c>
      <c r="Z8" t="s">
        <v>235</v>
      </c>
      <c r="AA8" t="s">
        <v>236</v>
      </c>
      <c r="AB8" t="s">
        <v>237</v>
      </c>
      <c r="AC8" t="s">
        <v>238</v>
      </c>
      <c r="AD8" t="s">
        <v>239</v>
      </c>
      <c r="AE8" t="s">
        <v>240</v>
      </c>
      <c r="AF8" t="s">
        <v>74</v>
      </c>
      <c r="AG8">
        <v>30</v>
      </c>
      <c r="AH8">
        <v>16</v>
      </c>
      <c r="AI8">
        <v>16</v>
      </c>
      <c r="AJ8">
        <v>0</v>
      </c>
      <c r="AK8">
        <v>2</v>
      </c>
      <c r="AL8" t="s">
        <v>214</v>
      </c>
      <c r="AM8" t="s">
        <v>215</v>
      </c>
      <c r="AN8" t="s">
        <v>216</v>
      </c>
      <c r="AO8" t="s">
        <v>217</v>
      </c>
      <c r="AP8" t="s">
        <v>218</v>
      </c>
      <c r="AQ8" t="s">
        <v>74</v>
      </c>
      <c r="AR8" t="s">
        <v>219</v>
      </c>
      <c r="AS8" t="s">
        <v>220</v>
      </c>
      <c r="AT8" t="s">
        <v>98</v>
      </c>
      <c r="AU8">
        <v>2013</v>
      </c>
      <c r="AV8">
        <v>34</v>
      </c>
      <c r="AW8" t="s">
        <v>74</v>
      </c>
      <c r="AX8" t="s">
        <v>74</v>
      </c>
      <c r="AY8">
        <v>1</v>
      </c>
      <c r="AZ8" t="s">
        <v>221</v>
      </c>
      <c r="BA8" t="s">
        <v>74</v>
      </c>
      <c r="BB8">
        <v>123</v>
      </c>
      <c r="BC8">
        <v>142</v>
      </c>
      <c r="BD8" t="s">
        <v>74</v>
      </c>
      <c r="BE8" t="s">
        <v>241</v>
      </c>
      <c r="BF8" t="str">
        <f>HYPERLINK("http://dx.doi.org/10.1111/maec.12031","http://dx.doi.org/10.1111/maec.12031")</f>
        <v>http://dx.doi.org/10.1111/maec.12031</v>
      </c>
      <c r="BG8" t="s">
        <v>74</v>
      </c>
      <c r="BH8" t="s">
        <v>74</v>
      </c>
      <c r="BI8">
        <v>20</v>
      </c>
      <c r="BJ8" t="s">
        <v>223</v>
      </c>
      <c r="BK8" t="s">
        <v>102</v>
      </c>
      <c r="BL8" t="s">
        <v>223</v>
      </c>
      <c r="BM8" t="s">
        <v>224</v>
      </c>
      <c r="BN8" t="s">
        <v>74</v>
      </c>
      <c r="BO8" t="s">
        <v>74</v>
      </c>
      <c r="BP8" t="s">
        <v>74</v>
      </c>
      <c r="BQ8" t="s">
        <v>74</v>
      </c>
      <c r="BR8" t="s">
        <v>105</v>
      </c>
      <c r="BS8" t="s">
        <v>242</v>
      </c>
      <c r="BT8" t="str">
        <f>HYPERLINK("https%3A%2F%2Fwww.webofscience.com%2Fwos%2Fwoscc%2Ffull-record%2FWOS:000315395700012","View Full Record in Web of Science")</f>
        <v>View Full Record in Web of Science</v>
      </c>
    </row>
    <row r="9" spans="1:72" x14ac:dyDescent="0.15">
      <c r="A9" t="s">
        <v>72</v>
      </c>
      <c r="B9" t="s">
        <v>243</v>
      </c>
      <c r="C9" t="s">
        <v>74</v>
      </c>
      <c r="D9" t="s">
        <v>74</v>
      </c>
      <c r="E9" t="s">
        <v>74</v>
      </c>
      <c r="F9" t="s">
        <v>244</v>
      </c>
      <c r="G9" t="s">
        <v>74</v>
      </c>
      <c r="H9" t="s">
        <v>74</v>
      </c>
      <c r="I9" t="s">
        <v>245</v>
      </c>
      <c r="J9" t="s">
        <v>246</v>
      </c>
      <c r="K9" t="s">
        <v>74</v>
      </c>
      <c r="L9" t="s">
        <v>74</v>
      </c>
      <c r="M9" t="s">
        <v>78</v>
      </c>
      <c r="N9" t="s">
        <v>79</v>
      </c>
      <c r="O9" t="s">
        <v>74</v>
      </c>
      <c r="P9" t="s">
        <v>74</v>
      </c>
      <c r="Q9" t="s">
        <v>74</v>
      </c>
      <c r="R9" t="s">
        <v>74</v>
      </c>
      <c r="S9" t="s">
        <v>74</v>
      </c>
      <c r="T9" t="s">
        <v>74</v>
      </c>
      <c r="U9" t="s">
        <v>247</v>
      </c>
      <c r="V9" t="s">
        <v>248</v>
      </c>
      <c r="W9" t="s">
        <v>249</v>
      </c>
      <c r="X9" t="s">
        <v>250</v>
      </c>
      <c r="Y9" t="s">
        <v>251</v>
      </c>
      <c r="Z9" t="s">
        <v>252</v>
      </c>
      <c r="AA9" t="s">
        <v>74</v>
      </c>
      <c r="AB9" t="s">
        <v>253</v>
      </c>
      <c r="AC9" t="s">
        <v>254</v>
      </c>
      <c r="AD9" t="s">
        <v>255</v>
      </c>
      <c r="AE9" t="s">
        <v>256</v>
      </c>
      <c r="AF9" t="s">
        <v>74</v>
      </c>
      <c r="AG9">
        <v>62</v>
      </c>
      <c r="AH9">
        <v>12</v>
      </c>
      <c r="AI9">
        <v>13</v>
      </c>
      <c r="AJ9">
        <v>2</v>
      </c>
      <c r="AK9">
        <v>18</v>
      </c>
      <c r="AL9" t="s">
        <v>257</v>
      </c>
      <c r="AM9" t="s">
        <v>215</v>
      </c>
      <c r="AN9" t="s">
        <v>216</v>
      </c>
      <c r="AO9" t="s">
        <v>258</v>
      </c>
      <c r="AP9" t="s">
        <v>259</v>
      </c>
      <c r="AQ9" t="s">
        <v>74</v>
      </c>
      <c r="AR9" t="s">
        <v>260</v>
      </c>
      <c r="AS9" t="s">
        <v>261</v>
      </c>
      <c r="AT9" t="s">
        <v>98</v>
      </c>
      <c r="AU9">
        <v>2013</v>
      </c>
      <c r="AV9">
        <v>48</v>
      </c>
      <c r="AW9">
        <v>2</v>
      </c>
      <c r="AX9" t="s">
        <v>74</v>
      </c>
      <c r="AY9" t="s">
        <v>74</v>
      </c>
      <c r="AZ9" t="s">
        <v>74</v>
      </c>
      <c r="BA9" t="s">
        <v>74</v>
      </c>
      <c r="BB9">
        <v>165</v>
      </c>
      <c r="BC9">
        <v>179</v>
      </c>
      <c r="BD9" t="s">
        <v>74</v>
      </c>
      <c r="BE9" t="s">
        <v>262</v>
      </c>
      <c r="BF9" t="str">
        <f>HYPERLINK("http://dx.doi.org/10.1111/maps.12049","http://dx.doi.org/10.1111/maps.12049")</f>
        <v>http://dx.doi.org/10.1111/maps.12049</v>
      </c>
      <c r="BG9" t="s">
        <v>74</v>
      </c>
      <c r="BH9" t="s">
        <v>74</v>
      </c>
      <c r="BI9">
        <v>15</v>
      </c>
      <c r="BJ9" t="s">
        <v>263</v>
      </c>
      <c r="BK9" t="s">
        <v>102</v>
      </c>
      <c r="BL9" t="s">
        <v>263</v>
      </c>
      <c r="BM9" t="s">
        <v>264</v>
      </c>
      <c r="BN9" t="s">
        <v>74</v>
      </c>
      <c r="BO9" t="s">
        <v>128</v>
      </c>
      <c r="BP9" t="s">
        <v>74</v>
      </c>
      <c r="BQ9" t="s">
        <v>74</v>
      </c>
      <c r="BR9" t="s">
        <v>105</v>
      </c>
      <c r="BS9" t="s">
        <v>265</v>
      </c>
      <c r="BT9" t="str">
        <f>HYPERLINK("https%3A%2F%2Fwww.webofscience.com%2Fwos%2Fwoscc%2Ffull-record%2FWOS:000315492900002","View Full Record in Web of Science")</f>
        <v>View Full Record in Web of Science</v>
      </c>
    </row>
    <row r="10" spans="1:72" x14ac:dyDescent="0.15">
      <c r="A10" t="s">
        <v>72</v>
      </c>
      <c r="B10" t="s">
        <v>266</v>
      </c>
      <c r="C10" t="s">
        <v>74</v>
      </c>
      <c r="D10" t="s">
        <v>74</v>
      </c>
      <c r="E10" t="s">
        <v>74</v>
      </c>
      <c r="F10" t="s">
        <v>267</v>
      </c>
      <c r="G10" t="s">
        <v>74</v>
      </c>
      <c r="H10" t="s">
        <v>74</v>
      </c>
      <c r="I10" t="s">
        <v>268</v>
      </c>
      <c r="J10" t="s">
        <v>246</v>
      </c>
      <c r="K10" t="s">
        <v>74</v>
      </c>
      <c r="L10" t="s">
        <v>74</v>
      </c>
      <c r="M10" t="s">
        <v>78</v>
      </c>
      <c r="N10" t="s">
        <v>79</v>
      </c>
      <c r="O10" t="s">
        <v>74</v>
      </c>
      <c r="P10" t="s">
        <v>74</v>
      </c>
      <c r="Q10" t="s">
        <v>74</v>
      </c>
      <c r="R10" t="s">
        <v>74</v>
      </c>
      <c r="S10" t="s">
        <v>74</v>
      </c>
      <c r="T10" t="s">
        <v>74</v>
      </c>
      <c r="U10" t="s">
        <v>269</v>
      </c>
      <c r="V10" t="s">
        <v>270</v>
      </c>
      <c r="W10" t="s">
        <v>271</v>
      </c>
      <c r="X10" t="s">
        <v>272</v>
      </c>
      <c r="Y10" t="s">
        <v>273</v>
      </c>
      <c r="Z10" t="s">
        <v>274</v>
      </c>
      <c r="AA10" t="s">
        <v>74</v>
      </c>
      <c r="AB10" t="s">
        <v>275</v>
      </c>
      <c r="AC10" t="s">
        <v>276</v>
      </c>
      <c r="AD10" t="s">
        <v>277</v>
      </c>
      <c r="AE10" t="s">
        <v>278</v>
      </c>
      <c r="AF10" t="s">
        <v>74</v>
      </c>
      <c r="AG10">
        <v>47</v>
      </c>
      <c r="AH10">
        <v>28</v>
      </c>
      <c r="AI10">
        <v>29</v>
      </c>
      <c r="AJ10">
        <v>0</v>
      </c>
      <c r="AK10">
        <v>13</v>
      </c>
      <c r="AL10" t="s">
        <v>257</v>
      </c>
      <c r="AM10" t="s">
        <v>215</v>
      </c>
      <c r="AN10" t="s">
        <v>216</v>
      </c>
      <c r="AO10" t="s">
        <v>258</v>
      </c>
      <c r="AP10" t="s">
        <v>259</v>
      </c>
      <c r="AQ10" t="s">
        <v>74</v>
      </c>
      <c r="AR10" t="s">
        <v>260</v>
      </c>
      <c r="AS10" t="s">
        <v>261</v>
      </c>
      <c r="AT10" t="s">
        <v>98</v>
      </c>
      <c r="AU10">
        <v>2013</v>
      </c>
      <c r="AV10">
        <v>48</v>
      </c>
      <c r="AW10">
        <v>2</v>
      </c>
      <c r="AX10" t="s">
        <v>74</v>
      </c>
      <c r="AY10" t="s">
        <v>74</v>
      </c>
      <c r="AZ10" t="s">
        <v>74</v>
      </c>
      <c r="BA10" t="s">
        <v>74</v>
      </c>
      <c r="BB10">
        <v>195</v>
      </c>
      <c r="BC10">
        <v>210</v>
      </c>
      <c r="BD10" t="s">
        <v>74</v>
      </c>
      <c r="BE10" t="s">
        <v>279</v>
      </c>
      <c r="BF10" t="str">
        <f>HYPERLINK("http://dx.doi.org/10.1111/maps.12051","http://dx.doi.org/10.1111/maps.12051")</f>
        <v>http://dx.doi.org/10.1111/maps.12051</v>
      </c>
      <c r="BG10" t="s">
        <v>74</v>
      </c>
      <c r="BH10" t="s">
        <v>74</v>
      </c>
      <c r="BI10">
        <v>16</v>
      </c>
      <c r="BJ10" t="s">
        <v>263</v>
      </c>
      <c r="BK10" t="s">
        <v>102</v>
      </c>
      <c r="BL10" t="s">
        <v>263</v>
      </c>
      <c r="BM10" t="s">
        <v>264</v>
      </c>
      <c r="BN10" t="s">
        <v>74</v>
      </c>
      <c r="BO10" t="s">
        <v>128</v>
      </c>
      <c r="BP10" t="s">
        <v>74</v>
      </c>
      <c r="BQ10" t="s">
        <v>74</v>
      </c>
      <c r="BR10" t="s">
        <v>105</v>
      </c>
      <c r="BS10" t="s">
        <v>280</v>
      </c>
      <c r="BT10" t="str">
        <f>HYPERLINK("https%3A%2F%2Fwww.webofscience.com%2Fwos%2Fwoscc%2Ffull-record%2FWOS:000315492900004","View Full Record in Web of Science")</f>
        <v>View Full Record in Web of Science</v>
      </c>
    </row>
    <row r="11" spans="1:72" x14ac:dyDescent="0.15">
      <c r="A11" t="s">
        <v>72</v>
      </c>
      <c r="B11" t="s">
        <v>281</v>
      </c>
      <c r="C11" t="s">
        <v>74</v>
      </c>
      <c r="D11" t="s">
        <v>74</v>
      </c>
      <c r="E11" t="s">
        <v>74</v>
      </c>
      <c r="F11" t="s">
        <v>282</v>
      </c>
      <c r="G11" t="s">
        <v>74</v>
      </c>
      <c r="H11" t="s">
        <v>74</v>
      </c>
      <c r="I11" t="s">
        <v>283</v>
      </c>
      <c r="J11" t="s">
        <v>284</v>
      </c>
      <c r="K11" t="s">
        <v>74</v>
      </c>
      <c r="L11" t="s">
        <v>74</v>
      </c>
      <c r="M11" t="s">
        <v>78</v>
      </c>
      <c r="N11" t="s">
        <v>79</v>
      </c>
      <c r="O11" t="s">
        <v>74</v>
      </c>
      <c r="P11" t="s">
        <v>74</v>
      </c>
      <c r="Q11" t="s">
        <v>74</v>
      </c>
      <c r="R11" t="s">
        <v>74</v>
      </c>
      <c r="S11" t="s">
        <v>74</v>
      </c>
      <c r="T11" t="s">
        <v>74</v>
      </c>
      <c r="U11" t="s">
        <v>74</v>
      </c>
      <c r="V11" t="s">
        <v>285</v>
      </c>
      <c r="W11" t="s">
        <v>286</v>
      </c>
      <c r="X11" t="s">
        <v>287</v>
      </c>
      <c r="Y11" t="s">
        <v>288</v>
      </c>
      <c r="Z11" t="s">
        <v>289</v>
      </c>
      <c r="AA11" t="s">
        <v>290</v>
      </c>
      <c r="AB11" t="s">
        <v>291</v>
      </c>
      <c r="AC11" t="s">
        <v>292</v>
      </c>
      <c r="AD11" t="s">
        <v>293</v>
      </c>
      <c r="AE11" t="s">
        <v>294</v>
      </c>
      <c r="AF11" t="s">
        <v>74</v>
      </c>
      <c r="AG11">
        <v>15</v>
      </c>
      <c r="AH11">
        <v>10</v>
      </c>
      <c r="AI11">
        <v>10</v>
      </c>
      <c r="AJ11">
        <v>0</v>
      </c>
      <c r="AK11">
        <v>3</v>
      </c>
      <c r="AL11" t="s">
        <v>295</v>
      </c>
      <c r="AM11" t="s">
        <v>296</v>
      </c>
      <c r="AN11" t="s">
        <v>297</v>
      </c>
      <c r="AO11" t="s">
        <v>298</v>
      </c>
      <c r="AP11" t="s">
        <v>299</v>
      </c>
      <c r="AQ11" t="s">
        <v>74</v>
      </c>
      <c r="AR11" t="s">
        <v>300</v>
      </c>
      <c r="AS11" t="s">
        <v>301</v>
      </c>
      <c r="AT11" t="s">
        <v>98</v>
      </c>
      <c r="AU11">
        <v>2013</v>
      </c>
      <c r="AV11">
        <v>53</v>
      </c>
      <c r="AW11">
        <v>1</v>
      </c>
      <c r="AX11" t="s">
        <v>74</v>
      </c>
      <c r="AY11" t="s">
        <v>74</v>
      </c>
      <c r="AZ11" t="s">
        <v>74</v>
      </c>
      <c r="BA11" t="s">
        <v>74</v>
      </c>
      <c r="BB11">
        <v>1</v>
      </c>
      <c r="BC11">
        <v>12</v>
      </c>
      <c r="BD11" t="s">
        <v>74</v>
      </c>
      <c r="BE11" t="s">
        <v>302</v>
      </c>
      <c r="BF11" t="str">
        <f>HYPERLINK("http://dx.doi.org/10.1134/S0001437013010062","http://dx.doi.org/10.1134/S0001437013010062")</f>
        <v>http://dx.doi.org/10.1134/S0001437013010062</v>
      </c>
      <c r="BG11" t="s">
        <v>74</v>
      </c>
      <c r="BH11" t="s">
        <v>74</v>
      </c>
      <c r="BI11">
        <v>12</v>
      </c>
      <c r="BJ11" t="s">
        <v>303</v>
      </c>
      <c r="BK11" t="s">
        <v>102</v>
      </c>
      <c r="BL11" t="s">
        <v>303</v>
      </c>
      <c r="BM11" t="s">
        <v>304</v>
      </c>
      <c r="BN11" t="s">
        <v>74</v>
      </c>
      <c r="BO11" t="s">
        <v>74</v>
      </c>
      <c r="BP11" t="s">
        <v>74</v>
      </c>
      <c r="BQ11" t="s">
        <v>74</v>
      </c>
      <c r="BR11" t="s">
        <v>105</v>
      </c>
      <c r="BS11" t="s">
        <v>305</v>
      </c>
      <c r="BT11" t="str">
        <f>HYPERLINK("https%3A%2F%2Fwww.webofscience.com%2Fwos%2Fwoscc%2Ffull-record%2FWOS:000315459900001","View Full Record in Web of Science")</f>
        <v>View Full Record in Web of Science</v>
      </c>
    </row>
    <row r="12" spans="1:72" x14ac:dyDescent="0.15">
      <c r="A12" t="s">
        <v>72</v>
      </c>
      <c r="B12" t="s">
        <v>306</v>
      </c>
      <c r="C12" t="s">
        <v>74</v>
      </c>
      <c r="D12" t="s">
        <v>74</v>
      </c>
      <c r="E12" t="s">
        <v>74</v>
      </c>
      <c r="F12" t="s">
        <v>307</v>
      </c>
      <c r="G12" t="s">
        <v>74</v>
      </c>
      <c r="H12" t="s">
        <v>74</v>
      </c>
      <c r="I12" t="s">
        <v>308</v>
      </c>
      <c r="J12" t="s">
        <v>309</v>
      </c>
      <c r="K12" t="s">
        <v>74</v>
      </c>
      <c r="L12" t="s">
        <v>74</v>
      </c>
      <c r="M12" t="s">
        <v>78</v>
      </c>
      <c r="N12" t="s">
        <v>79</v>
      </c>
      <c r="O12" t="s">
        <v>74</v>
      </c>
      <c r="P12" t="s">
        <v>74</v>
      </c>
      <c r="Q12" t="s">
        <v>74</v>
      </c>
      <c r="R12" t="s">
        <v>74</v>
      </c>
      <c r="S12" t="s">
        <v>74</v>
      </c>
      <c r="T12" t="s">
        <v>310</v>
      </c>
      <c r="U12" t="s">
        <v>311</v>
      </c>
      <c r="V12" t="s">
        <v>312</v>
      </c>
      <c r="W12" t="s">
        <v>313</v>
      </c>
      <c r="X12" t="s">
        <v>314</v>
      </c>
      <c r="Y12" t="s">
        <v>315</v>
      </c>
      <c r="Z12" t="s">
        <v>316</v>
      </c>
      <c r="AA12" t="s">
        <v>317</v>
      </c>
      <c r="AB12" t="s">
        <v>74</v>
      </c>
      <c r="AC12" t="s">
        <v>318</v>
      </c>
      <c r="AD12" t="s">
        <v>319</v>
      </c>
      <c r="AE12" t="s">
        <v>320</v>
      </c>
      <c r="AF12" t="s">
        <v>74</v>
      </c>
      <c r="AG12">
        <v>27</v>
      </c>
      <c r="AH12">
        <v>8</v>
      </c>
      <c r="AI12">
        <v>9</v>
      </c>
      <c r="AJ12">
        <v>0</v>
      </c>
      <c r="AK12">
        <v>30</v>
      </c>
      <c r="AL12" t="s">
        <v>321</v>
      </c>
      <c r="AM12" t="s">
        <v>322</v>
      </c>
      <c r="AN12" t="s">
        <v>323</v>
      </c>
      <c r="AO12" t="s">
        <v>324</v>
      </c>
      <c r="AP12" t="s">
        <v>74</v>
      </c>
      <c r="AQ12" t="s">
        <v>74</v>
      </c>
      <c r="AR12" t="s">
        <v>325</v>
      </c>
      <c r="AS12" t="s">
        <v>326</v>
      </c>
      <c r="AT12" t="s">
        <v>98</v>
      </c>
      <c r="AU12">
        <v>2013</v>
      </c>
      <c r="AV12">
        <v>58</v>
      </c>
      <c r="AW12">
        <v>6</v>
      </c>
      <c r="AX12" t="s">
        <v>74</v>
      </c>
      <c r="AY12" t="s">
        <v>74</v>
      </c>
      <c r="AZ12" t="s">
        <v>74</v>
      </c>
      <c r="BA12" t="s">
        <v>74</v>
      </c>
      <c r="BB12">
        <v>678</v>
      </c>
      <c r="BC12">
        <v>683</v>
      </c>
      <c r="BD12" t="s">
        <v>74</v>
      </c>
      <c r="BE12" t="s">
        <v>327</v>
      </c>
      <c r="BF12" t="str">
        <f>HYPERLINK("http://dx.doi.org/10.1007/s11434-012-5455-x","http://dx.doi.org/10.1007/s11434-012-5455-x")</f>
        <v>http://dx.doi.org/10.1007/s11434-012-5455-x</v>
      </c>
      <c r="BG12" t="s">
        <v>74</v>
      </c>
      <c r="BH12" t="s">
        <v>74</v>
      </c>
      <c r="BI12">
        <v>6</v>
      </c>
      <c r="BJ12" t="s">
        <v>328</v>
      </c>
      <c r="BK12" t="s">
        <v>102</v>
      </c>
      <c r="BL12" t="s">
        <v>329</v>
      </c>
      <c r="BM12" t="s">
        <v>330</v>
      </c>
      <c r="BN12" t="s">
        <v>74</v>
      </c>
      <c r="BO12" t="s">
        <v>128</v>
      </c>
      <c r="BP12" t="s">
        <v>74</v>
      </c>
      <c r="BQ12" t="s">
        <v>74</v>
      </c>
      <c r="BR12" t="s">
        <v>105</v>
      </c>
      <c r="BS12" t="s">
        <v>331</v>
      </c>
      <c r="BT12" t="str">
        <f>HYPERLINK("https%3A%2F%2Fwww.webofscience.com%2Fwos%2Fwoscc%2Ffull-record%2FWOS:000315446000015","View Full Record in Web of Science")</f>
        <v>View Full Record in Web of Science</v>
      </c>
    </row>
    <row r="13" spans="1:72" x14ac:dyDescent="0.15">
      <c r="A13" t="s">
        <v>72</v>
      </c>
      <c r="B13" t="s">
        <v>332</v>
      </c>
      <c r="C13" t="s">
        <v>74</v>
      </c>
      <c r="D13" t="s">
        <v>74</v>
      </c>
      <c r="E13" t="s">
        <v>74</v>
      </c>
      <c r="F13" t="s">
        <v>333</v>
      </c>
      <c r="G13" t="s">
        <v>74</v>
      </c>
      <c r="H13" t="s">
        <v>74</v>
      </c>
      <c r="I13" t="s">
        <v>334</v>
      </c>
      <c r="J13" t="s">
        <v>335</v>
      </c>
      <c r="K13" t="s">
        <v>74</v>
      </c>
      <c r="L13" t="s">
        <v>74</v>
      </c>
      <c r="M13" t="s">
        <v>78</v>
      </c>
      <c r="N13" t="s">
        <v>79</v>
      </c>
      <c r="O13" t="s">
        <v>74</v>
      </c>
      <c r="P13" t="s">
        <v>74</v>
      </c>
      <c r="Q13" t="s">
        <v>74</v>
      </c>
      <c r="R13" t="s">
        <v>74</v>
      </c>
      <c r="S13" t="s">
        <v>74</v>
      </c>
      <c r="T13" t="s">
        <v>336</v>
      </c>
      <c r="U13" t="s">
        <v>337</v>
      </c>
      <c r="V13" t="s">
        <v>338</v>
      </c>
      <c r="W13" t="s">
        <v>339</v>
      </c>
      <c r="X13" t="s">
        <v>340</v>
      </c>
      <c r="Y13" t="s">
        <v>341</v>
      </c>
      <c r="Z13" t="s">
        <v>342</v>
      </c>
      <c r="AA13" t="s">
        <v>343</v>
      </c>
      <c r="AB13" t="s">
        <v>344</v>
      </c>
      <c r="AC13" t="s">
        <v>345</v>
      </c>
      <c r="AD13" t="s">
        <v>346</v>
      </c>
      <c r="AE13" t="s">
        <v>347</v>
      </c>
      <c r="AF13" t="s">
        <v>74</v>
      </c>
      <c r="AG13">
        <v>18</v>
      </c>
      <c r="AH13">
        <v>6</v>
      </c>
      <c r="AI13">
        <v>6</v>
      </c>
      <c r="AJ13">
        <v>0</v>
      </c>
      <c r="AK13">
        <v>4</v>
      </c>
      <c r="AL13" t="s">
        <v>348</v>
      </c>
      <c r="AM13" t="s">
        <v>349</v>
      </c>
      <c r="AN13" t="s">
        <v>350</v>
      </c>
      <c r="AO13" t="s">
        <v>351</v>
      </c>
      <c r="AP13" t="s">
        <v>352</v>
      </c>
      <c r="AQ13" t="s">
        <v>74</v>
      </c>
      <c r="AR13" t="s">
        <v>353</v>
      </c>
      <c r="AS13" t="s">
        <v>354</v>
      </c>
      <c r="AT13" t="s">
        <v>98</v>
      </c>
      <c r="AU13">
        <v>2013</v>
      </c>
      <c r="AV13">
        <v>25</v>
      </c>
      <c r="AW13">
        <v>1</v>
      </c>
      <c r="AX13" t="s">
        <v>74</v>
      </c>
      <c r="AY13" t="s">
        <v>74</v>
      </c>
      <c r="AZ13" t="s">
        <v>74</v>
      </c>
      <c r="BA13" t="s">
        <v>74</v>
      </c>
      <c r="BB13">
        <v>33</v>
      </c>
      <c r="BC13">
        <v>38</v>
      </c>
      <c r="BD13" t="s">
        <v>74</v>
      </c>
      <c r="BE13" t="s">
        <v>355</v>
      </c>
      <c r="BF13" t="str">
        <f>HYPERLINK("http://dx.doi.org/10.1127/0935-1221/2013/0025-2256","http://dx.doi.org/10.1127/0935-1221/2013/0025-2256")</f>
        <v>http://dx.doi.org/10.1127/0935-1221/2013/0025-2256</v>
      </c>
      <c r="BG13" t="s">
        <v>74</v>
      </c>
      <c r="BH13" t="s">
        <v>74</v>
      </c>
      <c r="BI13">
        <v>6</v>
      </c>
      <c r="BJ13" t="s">
        <v>356</v>
      </c>
      <c r="BK13" t="s">
        <v>102</v>
      </c>
      <c r="BL13" t="s">
        <v>356</v>
      </c>
      <c r="BM13" t="s">
        <v>357</v>
      </c>
      <c r="BN13" t="s">
        <v>74</v>
      </c>
      <c r="BO13" t="s">
        <v>74</v>
      </c>
      <c r="BP13" t="s">
        <v>74</v>
      </c>
      <c r="BQ13" t="s">
        <v>74</v>
      </c>
      <c r="BR13" t="s">
        <v>105</v>
      </c>
      <c r="BS13" t="s">
        <v>358</v>
      </c>
      <c r="BT13" t="str">
        <f>HYPERLINK("https%3A%2F%2Fwww.webofscience.com%2Fwos%2Fwoscc%2Ffull-record%2FWOS:000315153800005","View Full Record in Web of Science")</f>
        <v>View Full Record in Web of Science</v>
      </c>
    </row>
    <row r="14" spans="1:72" x14ac:dyDescent="0.15">
      <c r="A14" t="s">
        <v>72</v>
      </c>
      <c r="B14" t="s">
        <v>359</v>
      </c>
      <c r="C14" t="s">
        <v>74</v>
      </c>
      <c r="D14" t="s">
        <v>74</v>
      </c>
      <c r="E14" t="s">
        <v>74</v>
      </c>
      <c r="F14" t="s">
        <v>360</v>
      </c>
      <c r="G14" t="s">
        <v>74</v>
      </c>
      <c r="H14" t="s">
        <v>74</v>
      </c>
      <c r="I14" t="s">
        <v>361</v>
      </c>
      <c r="J14" t="s">
        <v>362</v>
      </c>
      <c r="K14" t="s">
        <v>74</v>
      </c>
      <c r="L14" t="s">
        <v>74</v>
      </c>
      <c r="M14" t="s">
        <v>78</v>
      </c>
      <c r="N14" t="s">
        <v>79</v>
      </c>
      <c r="O14" t="s">
        <v>74</v>
      </c>
      <c r="P14" t="s">
        <v>74</v>
      </c>
      <c r="Q14" t="s">
        <v>74</v>
      </c>
      <c r="R14" t="s">
        <v>74</v>
      </c>
      <c r="S14" t="s">
        <v>74</v>
      </c>
      <c r="T14" t="s">
        <v>363</v>
      </c>
      <c r="U14" t="s">
        <v>364</v>
      </c>
      <c r="V14" t="s">
        <v>365</v>
      </c>
      <c r="W14" t="s">
        <v>366</v>
      </c>
      <c r="X14" t="s">
        <v>367</v>
      </c>
      <c r="Y14" t="s">
        <v>368</v>
      </c>
      <c r="Z14" t="s">
        <v>369</v>
      </c>
      <c r="AA14" t="s">
        <v>370</v>
      </c>
      <c r="AB14" t="s">
        <v>371</v>
      </c>
      <c r="AC14" t="s">
        <v>372</v>
      </c>
      <c r="AD14" t="s">
        <v>372</v>
      </c>
      <c r="AE14" t="s">
        <v>373</v>
      </c>
      <c r="AF14" t="s">
        <v>74</v>
      </c>
      <c r="AG14">
        <v>18</v>
      </c>
      <c r="AH14">
        <v>6</v>
      </c>
      <c r="AI14">
        <v>6</v>
      </c>
      <c r="AJ14">
        <v>0</v>
      </c>
      <c r="AK14">
        <v>15</v>
      </c>
      <c r="AL14" t="s">
        <v>214</v>
      </c>
      <c r="AM14" t="s">
        <v>215</v>
      </c>
      <c r="AN14" t="s">
        <v>216</v>
      </c>
      <c r="AO14" t="s">
        <v>374</v>
      </c>
      <c r="AP14" t="s">
        <v>74</v>
      </c>
      <c r="AQ14" t="s">
        <v>74</v>
      </c>
      <c r="AR14" t="s">
        <v>375</v>
      </c>
      <c r="AS14" t="s">
        <v>376</v>
      </c>
      <c r="AT14" t="s">
        <v>98</v>
      </c>
      <c r="AU14">
        <v>2013</v>
      </c>
      <c r="AV14">
        <v>49</v>
      </c>
      <c r="AW14">
        <v>1</v>
      </c>
      <c r="AX14" t="s">
        <v>74</v>
      </c>
      <c r="AY14" t="s">
        <v>74</v>
      </c>
      <c r="AZ14" t="s">
        <v>74</v>
      </c>
      <c r="BA14" t="s">
        <v>74</v>
      </c>
      <c r="BB14">
        <v>202</v>
      </c>
      <c r="BC14">
        <v>206</v>
      </c>
      <c r="BD14" t="s">
        <v>74</v>
      </c>
      <c r="BE14" t="s">
        <v>377</v>
      </c>
      <c r="BF14" t="str">
        <f>HYPERLINK("http://dx.doi.org/10.1111/jpy.12017","http://dx.doi.org/10.1111/jpy.12017")</f>
        <v>http://dx.doi.org/10.1111/jpy.12017</v>
      </c>
      <c r="BG14" t="s">
        <v>74</v>
      </c>
      <c r="BH14" t="s">
        <v>74</v>
      </c>
      <c r="BI14">
        <v>5</v>
      </c>
      <c r="BJ14" t="s">
        <v>378</v>
      </c>
      <c r="BK14" t="s">
        <v>102</v>
      </c>
      <c r="BL14" t="s">
        <v>378</v>
      </c>
      <c r="BM14" t="s">
        <v>379</v>
      </c>
      <c r="BN14">
        <v>27008401</v>
      </c>
      <c r="BO14" t="s">
        <v>74</v>
      </c>
      <c r="BP14" t="s">
        <v>74</v>
      </c>
      <c r="BQ14" t="s">
        <v>74</v>
      </c>
      <c r="BR14" t="s">
        <v>105</v>
      </c>
      <c r="BS14" t="s">
        <v>380</v>
      </c>
      <c r="BT14" t="str">
        <f>HYPERLINK("https%3A%2F%2Fwww.webofscience.com%2Fwos%2Fwoscc%2Ffull-record%2FWOS:000314925100019","View Full Record in Web of Science")</f>
        <v>View Full Record in Web of Science</v>
      </c>
    </row>
    <row r="15" spans="1:72" x14ac:dyDescent="0.15">
      <c r="A15" t="s">
        <v>72</v>
      </c>
      <c r="B15" t="s">
        <v>381</v>
      </c>
      <c r="C15" t="s">
        <v>74</v>
      </c>
      <c r="D15" t="s">
        <v>74</v>
      </c>
      <c r="E15" t="s">
        <v>74</v>
      </c>
      <c r="F15" t="s">
        <v>382</v>
      </c>
      <c r="G15" t="s">
        <v>74</v>
      </c>
      <c r="H15" t="s">
        <v>74</v>
      </c>
      <c r="I15" t="s">
        <v>383</v>
      </c>
      <c r="J15" t="s">
        <v>384</v>
      </c>
      <c r="K15" t="s">
        <v>74</v>
      </c>
      <c r="L15" t="s">
        <v>74</v>
      </c>
      <c r="M15" t="s">
        <v>78</v>
      </c>
      <c r="N15" t="s">
        <v>79</v>
      </c>
      <c r="O15" t="s">
        <v>74</v>
      </c>
      <c r="P15" t="s">
        <v>74</v>
      </c>
      <c r="Q15" t="s">
        <v>74</v>
      </c>
      <c r="R15" t="s">
        <v>74</v>
      </c>
      <c r="S15" t="s">
        <v>74</v>
      </c>
      <c r="T15" t="s">
        <v>385</v>
      </c>
      <c r="U15" t="s">
        <v>386</v>
      </c>
      <c r="V15" t="s">
        <v>387</v>
      </c>
      <c r="W15" t="s">
        <v>388</v>
      </c>
      <c r="X15" t="s">
        <v>389</v>
      </c>
      <c r="Y15" t="s">
        <v>390</v>
      </c>
      <c r="Z15" t="s">
        <v>391</v>
      </c>
      <c r="AA15" t="s">
        <v>392</v>
      </c>
      <c r="AB15" t="s">
        <v>393</v>
      </c>
      <c r="AC15" t="s">
        <v>394</v>
      </c>
      <c r="AD15" t="s">
        <v>395</v>
      </c>
      <c r="AE15" t="s">
        <v>396</v>
      </c>
      <c r="AF15" t="s">
        <v>74</v>
      </c>
      <c r="AG15">
        <v>35</v>
      </c>
      <c r="AH15">
        <v>11</v>
      </c>
      <c r="AI15">
        <v>14</v>
      </c>
      <c r="AJ15">
        <v>5</v>
      </c>
      <c r="AK15">
        <v>50</v>
      </c>
      <c r="AL15" t="s">
        <v>397</v>
      </c>
      <c r="AM15" t="s">
        <v>398</v>
      </c>
      <c r="AN15" t="s">
        <v>399</v>
      </c>
      <c r="AO15" t="s">
        <v>400</v>
      </c>
      <c r="AP15" t="s">
        <v>74</v>
      </c>
      <c r="AQ15" t="s">
        <v>74</v>
      </c>
      <c r="AR15" t="s">
        <v>401</v>
      </c>
      <c r="AS15" t="s">
        <v>402</v>
      </c>
      <c r="AT15" t="s">
        <v>98</v>
      </c>
      <c r="AU15">
        <v>2013</v>
      </c>
      <c r="AV15">
        <v>27</v>
      </c>
      <c r="AW15">
        <v>1</v>
      </c>
      <c r="AX15" t="s">
        <v>74</v>
      </c>
      <c r="AY15" t="s">
        <v>74</v>
      </c>
      <c r="AZ15" t="s">
        <v>74</v>
      </c>
      <c r="BA15" t="s">
        <v>74</v>
      </c>
      <c r="BB15">
        <v>75</v>
      </c>
      <c r="BC15">
        <v>86</v>
      </c>
      <c r="BD15" t="s">
        <v>74</v>
      </c>
      <c r="BE15" t="s">
        <v>403</v>
      </c>
      <c r="BF15" t="str">
        <f>HYPERLINK("http://dx.doi.org/10.1007/s13351-013-0108-9","http://dx.doi.org/10.1007/s13351-013-0108-9")</f>
        <v>http://dx.doi.org/10.1007/s13351-013-0108-9</v>
      </c>
      <c r="BG15" t="s">
        <v>74</v>
      </c>
      <c r="BH15" t="s">
        <v>74</v>
      </c>
      <c r="BI15">
        <v>12</v>
      </c>
      <c r="BJ15" t="s">
        <v>101</v>
      </c>
      <c r="BK15" t="s">
        <v>102</v>
      </c>
      <c r="BL15" t="s">
        <v>101</v>
      </c>
      <c r="BM15" t="s">
        <v>404</v>
      </c>
      <c r="BN15" t="s">
        <v>74</v>
      </c>
      <c r="BO15" t="s">
        <v>74</v>
      </c>
      <c r="BP15" t="s">
        <v>74</v>
      </c>
      <c r="BQ15" t="s">
        <v>74</v>
      </c>
      <c r="BR15" t="s">
        <v>105</v>
      </c>
      <c r="BS15" t="s">
        <v>405</v>
      </c>
      <c r="BT15" t="str">
        <f>HYPERLINK("https%3A%2F%2Fwww.webofscience.com%2Fwos%2Fwoscc%2Ffull-record%2FWOS:000314862300007","View Full Record in Web of Science")</f>
        <v>View Full Record in Web of Science</v>
      </c>
    </row>
    <row r="16" spans="1:72" x14ac:dyDescent="0.15">
      <c r="A16" t="s">
        <v>72</v>
      </c>
      <c r="B16" t="s">
        <v>406</v>
      </c>
      <c r="C16" t="s">
        <v>74</v>
      </c>
      <c r="D16" t="s">
        <v>74</v>
      </c>
      <c r="E16" t="s">
        <v>74</v>
      </c>
      <c r="F16" t="s">
        <v>407</v>
      </c>
      <c r="G16" t="s">
        <v>74</v>
      </c>
      <c r="H16" t="s">
        <v>74</v>
      </c>
      <c r="I16" t="s">
        <v>408</v>
      </c>
      <c r="J16" t="s">
        <v>409</v>
      </c>
      <c r="K16" t="s">
        <v>74</v>
      </c>
      <c r="L16" t="s">
        <v>74</v>
      </c>
      <c r="M16" t="s">
        <v>78</v>
      </c>
      <c r="N16" t="s">
        <v>79</v>
      </c>
      <c r="O16" t="s">
        <v>74</v>
      </c>
      <c r="P16" t="s">
        <v>74</v>
      </c>
      <c r="Q16" t="s">
        <v>74</v>
      </c>
      <c r="R16" t="s">
        <v>74</v>
      </c>
      <c r="S16" t="s">
        <v>74</v>
      </c>
      <c r="T16" t="s">
        <v>410</v>
      </c>
      <c r="U16" t="s">
        <v>411</v>
      </c>
      <c r="V16" t="s">
        <v>412</v>
      </c>
      <c r="W16" t="s">
        <v>413</v>
      </c>
      <c r="X16" t="s">
        <v>414</v>
      </c>
      <c r="Y16" t="s">
        <v>415</v>
      </c>
      <c r="Z16" t="s">
        <v>416</v>
      </c>
      <c r="AA16" t="s">
        <v>74</v>
      </c>
      <c r="AB16" t="s">
        <v>74</v>
      </c>
      <c r="AC16" t="s">
        <v>417</v>
      </c>
      <c r="AD16" t="s">
        <v>418</v>
      </c>
      <c r="AE16" t="s">
        <v>419</v>
      </c>
      <c r="AF16" t="s">
        <v>74</v>
      </c>
      <c r="AG16">
        <v>74</v>
      </c>
      <c r="AH16">
        <v>5</v>
      </c>
      <c r="AI16">
        <v>6</v>
      </c>
      <c r="AJ16">
        <v>0</v>
      </c>
      <c r="AK16">
        <v>17</v>
      </c>
      <c r="AL16" t="s">
        <v>420</v>
      </c>
      <c r="AM16" t="s">
        <v>421</v>
      </c>
      <c r="AN16" t="s">
        <v>422</v>
      </c>
      <c r="AO16" t="s">
        <v>423</v>
      </c>
      <c r="AP16" t="s">
        <v>74</v>
      </c>
      <c r="AQ16" t="s">
        <v>74</v>
      </c>
      <c r="AR16" t="s">
        <v>424</v>
      </c>
      <c r="AS16" t="s">
        <v>425</v>
      </c>
      <c r="AT16" t="s">
        <v>98</v>
      </c>
      <c r="AU16">
        <v>2013</v>
      </c>
      <c r="AV16">
        <v>174</v>
      </c>
      <c r="AW16">
        <v>2</v>
      </c>
      <c r="AX16" t="s">
        <v>74</v>
      </c>
      <c r="AY16" t="s">
        <v>74</v>
      </c>
      <c r="AZ16" t="s">
        <v>74</v>
      </c>
      <c r="BA16" t="s">
        <v>74</v>
      </c>
      <c r="BB16">
        <v>250</v>
      </c>
      <c r="BC16">
        <v>265</v>
      </c>
      <c r="BD16" t="s">
        <v>74</v>
      </c>
      <c r="BE16" t="s">
        <v>426</v>
      </c>
      <c r="BF16" t="str">
        <f>HYPERLINK("http://dx.doi.org/10.1086/668792","http://dx.doi.org/10.1086/668792")</f>
        <v>http://dx.doi.org/10.1086/668792</v>
      </c>
      <c r="BG16" t="s">
        <v>74</v>
      </c>
      <c r="BH16" t="s">
        <v>74</v>
      </c>
      <c r="BI16">
        <v>16</v>
      </c>
      <c r="BJ16" t="s">
        <v>427</v>
      </c>
      <c r="BK16" t="s">
        <v>102</v>
      </c>
      <c r="BL16" t="s">
        <v>427</v>
      </c>
      <c r="BM16" t="s">
        <v>428</v>
      </c>
      <c r="BN16" t="s">
        <v>74</v>
      </c>
      <c r="BO16" t="s">
        <v>429</v>
      </c>
      <c r="BP16" t="s">
        <v>74</v>
      </c>
      <c r="BQ16" t="s">
        <v>74</v>
      </c>
      <c r="BR16" t="s">
        <v>105</v>
      </c>
      <c r="BS16" t="s">
        <v>430</v>
      </c>
      <c r="BT16" t="str">
        <f>HYPERLINK("https%3A%2F%2Fwww.webofscience.com%2Fwos%2Fwoscc%2Ffull-record%2FWOS:000314802600009","View Full Record in Web of Science")</f>
        <v>View Full Record in Web of Science</v>
      </c>
    </row>
    <row r="17" spans="1:72" x14ac:dyDescent="0.15">
      <c r="A17" t="s">
        <v>72</v>
      </c>
      <c r="B17" t="s">
        <v>431</v>
      </c>
      <c r="C17" t="s">
        <v>74</v>
      </c>
      <c r="D17" t="s">
        <v>74</v>
      </c>
      <c r="E17" t="s">
        <v>74</v>
      </c>
      <c r="F17" t="s">
        <v>432</v>
      </c>
      <c r="G17" t="s">
        <v>74</v>
      </c>
      <c r="H17" t="s">
        <v>74</v>
      </c>
      <c r="I17" t="s">
        <v>433</v>
      </c>
      <c r="J17" t="s">
        <v>434</v>
      </c>
      <c r="K17" t="s">
        <v>74</v>
      </c>
      <c r="L17" t="s">
        <v>74</v>
      </c>
      <c r="M17" t="s">
        <v>78</v>
      </c>
      <c r="N17" t="s">
        <v>79</v>
      </c>
      <c r="O17" t="s">
        <v>74</v>
      </c>
      <c r="P17" t="s">
        <v>74</v>
      </c>
      <c r="Q17" t="s">
        <v>74</v>
      </c>
      <c r="R17" t="s">
        <v>74</v>
      </c>
      <c r="S17" t="s">
        <v>74</v>
      </c>
      <c r="T17" t="s">
        <v>435</v>
      </c>
      <c r="U17" t="s">
        <v>436</v>
      </c>
      <c r="V17" t="s">
        <v>437</v>
      </c>
      <c r="W17" t="s">
        <v>438</v>
      </c>
      <c r="X17" t="s">
        <v>439</v>
      </c>
      <c r="Y17" t="s">
        <v>440</v>
      </c>
      <c r="Z17" t="s">
        <v>441</v>
      </c>
      <c r="AA17" t="s">
        <v>442</v>
      </c>
      <c r="AB17" t="s">
        <v>443</v>
      </c>
      <c r="AC17" t="s">
        <v>444</v>
      </c>
      <c r="AD17" t="s">
        <v>445</v>
      </c>
      <c r="AE17" t="s">
        <v>446</v>
      </c>
      <c r="AF17" t="s">
        <v>74</v>
      </c>
      <c r="AG17">
        <v>38</v>
      </c>
      <c r="AH17">
        <v>8</v>
      </c>
      <c r="AI17">
        <v>12</v>
      </c>
      <c r="AJ17">
        <v>2</v>
      </c>
      <c r="AK17">
        <v>65</v>
      </c>
      <c r="AL17" t="s">
        <v>447</v>
      </c>
      <c r="AM17" t="s">
        <v>147</v>
      </c>
      <c r="AN17" t="s">
        <v>448</v>
      </c>
      <c r="AO17" t="s">
        <v>449</v>
      </c>
      <c r="AP17" t="s">
        <v>450</v>
      </c>
      <c r="AQ17" t="s">
        <v>74</v>
      </c>
      <c r="AR17" t="s">
        <v>451</v>
      </c>
      <c r="AS17" t="s">
        <v>452</v>
      </c>
      <c r="AT17" t="s">
        <v>98</v>
      </c>
      <c r="AU17">
        <v>2013</v>
      </c>
      <c r="AV17">
        <v>116</v>
      </c>
      <c r="AW17" t="s">
        <v>74</v>
      </c>
      <c r="AX17" t="s">
        <v>74</v>
      </c>
      <c r="AY17" t="s">
        <v>74</v>
      </c>
      <c r="AZ17" t="s">
        <v>74</v>
      </c>
      <c r="BA17" t="s">
        <v>74</v>
      </c>
      <c r="BB17">
        <v>65</v>
      </c>
      <c r="BC17">
        <v>75</v>
      </c>
      <c r="BD17" t="s">
        <v>74</v>
      </c>
      <c r="BE17" t="s">
        <v>453</v>
      </c>
      <c r="BF17" t="str">
        <f>HYPERLINK("http://dx.doi.org/10.1016/j.jenvrad.2012.09.001","http://dx.doi.org/10.1016/j.jenvrad.2012.09.001")</f>
        <v>http://dx.doi.org/10.1016/j.jenvrad.2012.09.001</v>
      </c>
      <c r="BG17" t="s">
        <v>74</v>
      </c>
      <c r="BH17" t="s">
        <v>74</v>
      </c>
      <c r="BI17">
        <v>11</v>
      </c>
      <c r="BJ17" t="s">
        <v>454</v>
      </c>
      <c r="BK17" t="s">
        <v>102</v>
      </c>
      <c r="BL17" t="s">
        <v>455</v>
      </c>
      <c r="BM17" t="s">
        <v>456</v>
      </c>
      <c r="BN17">
        <v>23103578</v>
      </c>
      <c r="BO17" t="s">
        <v>74</v>
      </c>
      <c r="BP17" t="s">
        <v>74</v>
      </c>
      <c r="BQ17" t="s">
        <v>74</v>
      </c>
      <c r="BR17" t="s">
        <v>105</v>
      </c>
      <c r="BS17" t="s">
        <v>457</v>
      </c>
      <c r="BT17" t="str">
        <f>HYPERLINK("https%3A%2F%2Fwww.webofscience.com%2Fwos%2Fwoscc%2Ffull-record%2FWOS:000315005600010","View Full Record in Web of Science")</f>
        <v>View Full Record in Web of Science</v>
      </c>
    </row>
    <row r="18" spans="1:72" x14ac:dyDescent="0.15">
      <c r="A18" t="s">
        <v>72</v>
      </c>
      <c r="B18" t="s">
        <v>458</v>
      </c>
      <c r="C18" t="s">
        <v>74</v>
      </c>
      <c r="D18" t="s">
        <v>74</v>
      </c>
      <c r="E18" t="s">
        <v>74</v>
      </c>
      <c r="F18" t="s">
        <v>459</v>
      </c>
      <c r="G18" t="s">
        <v>74</v>
      </c>
      <c r="H18" t="s">
        <v>74</v>
      </c>
      <c r="I18" t="s">
        <v>460</v>
      </c>
      <c r="J18" t="s">
        <v>461</v>
      </c>
      <c r="K18" t="s">
        <v>74</v>
      </c>
      <c r="L18" t="s">
        <v>74</v>
      </c>
      <c r="M18" t="s">
        <v>78</v>
      </c>
      <c r="N18" t="s">
        <v>79</v>
      </c>
      <c r="O18" t="s">
        <v>74</v>
      </c>
      <c r="P18" t="s">
        <v>74</v>
      </c>
      <c r="Q18" t="s">
        <v>74</v>
      </c>
      <c r="R18" t="s">
        <v>74</v>
      </c>
      <c r="S18" t="s">
        <v>74</v>
      </c>
      <c r="T18" t="s">
        <v>462</v>
      </c>
      <c r="U18" t="s">
        <v>463</v>
      </c>
      <c r="V18" t="s">
        <v>464</v>
      </c>
      <c r="W18" t="s">
        <v>465</v>
      </c>
      <c r="X18" t="s">
        <v>466</v>
      </c>
      <c r="Y18" t="s">
        <v>467</v>
      </c>
      <c r="Z18" t="s">
        <v>468</v>
      </c>
      <c r="AA18" t="s">
        <v>469</v>
      </c>
      <c r="AB18" t="s">
        <v>470</v>
      </c>
      <c r="AC18" t="s">
        <v>471</v>
      </c>
      <c r="AD18" t="s">
        <v>471</v>
      </c>
      <c r="AE18" t="s">
        <v>472</v>
      </c>
      <c r="AF18" t="s">
        <v>74</v>
      </c>
      <c r="AG18">
        <v>66</v>
      </c>
      <c r="AH18">
        <v>42</v>
      </c>
      <c r="AI18">
        <v>48</v>
      </c>
      <c r="AJ18">
        <v>1</v>
      </c>
      <c r="AK18">
        <v>138</v>
      </c>
      <c r="AL18" t="s">
        <v>473</v>
      </c>
      <c r="AM18" t="s">
        <v>474</v>
      </c>
      <c r="AN18" t="s">
        <v>475</v>
      </c>
      <c r="AO18" t="s">
        <v>476</v>
      </c>
      <c r="AP18" t="s">
        <v>477</v>
      </c>
      <c r="AQ18" t="s">
        <v>74</v>
      </c>
      <c r="AR18" t="s">
        <v>478</v>
      </c>
      <c r="AS18" t="s">
        <v>479</v>
      </c>
      <c r="AT18" t="s">
        <v>98</v>
      </c>
      <c r="AU18">
        <v>2013</v>
      </c>
      <c r="AV18">
        <v>85</v>
      </c>
      <c r="AW18">
        <v>2</v>
      </c>
      <c r="AX18" t="s">
        <v>74</v>
      </c>
      <c r="AY18" t="s">
        <v>74</v>
      </c>
      <c r="AZ18" t="s">
        <v>74</v>
      </c>
      <c r="BA18" t="s">
        <v>74</v>
      </c>
      <c r="BB18">
        <v>471</v>
      </c>
      <c r="BC18">
        <v>481</v>
      </c>
      <c r="BD18" t="s">
        <v>74</v>
      </c>
      <c r="BE18" t="s">
        <v>480</v>
      </c>
      <c r="BF18" t="str">
        <f>HYPERLINK("http://dx.doi.org/10.1016/j.anbehav.2012.12.013","http://dx.doi.org/10.1016/j.anbehav.2012.12.013")</f>
        <v>http://dx.doi.org/10.1016/j.anbehav.2012.12.013</v>
      </c>
      <c r="BG18" t="s">
        <v>74</v>
      </c>
      <c r="BH18" t="s">
        <v>74</v>
      </c>
      <c r="BI18">
        <v>11</v>
      </c>
      <c r="BJ18" t="s">
        <v>481</v>
      </c>
      <c r="BK18" t="s">
        <v>102</v>
      </c>
      <c r="BL18" t="s">
        <v>481</v>
      </c>
      <c r="BM18" t="s">
        <v>482</v>
      </c>
      <c r="BN18" t="s">
        <v>74</v>
      </c>
      <c r="BO18" t="s">
        <v>74</v>
      </c>
      <c r="BP18" t="s">
        <v>74</v>
      </c>
      <c r="BQ18" t="s">
        <v>74</v>
      </c>
      <c r="BR18" t="s">
        <v>105</v>
      </c>
      <c r="BS18" t="s">
        <v>483</v>
      </c>
      <c r="BT18" t="str">
        <f>HYPERLINK("https%3A%2F%2Fwww.webofscience.com%2Fwos%2Fwoscc%2Ffull-record%2FWOS:000314683000022","View Full Record in Web of Science")</f>
        <v>View Full Record in Web of Science</v>
      </c>
    </row>
    <row r="19" spans="1:72" x14ac:dyDescent="0.15">
      <c r="A19" t="s">
        <v>72</v>
      </c>
      <c r="B19" t="s">
        <v>484</v>
      </c>
      <c r="C19" t="s">
        <v>74</v>
      </c>
      <c r="D19" t="s">
        <v>74</v>
      </c>
      <c r="E19" t="s">
        <v>74</v>
      </c>
      <c r="F19" t="s">
        <v>485</v>
      </c>
      <c r="G19" t="s">
        <v>74</v>
      </c>
      <c r="H19" t="s">
        <v>74</v>
      </c>
      <c r="I19" t="s">
        <v>486</v>
      </c>
      <c r="J19" t="s">
        <v>487</v>
      </c>
      <c r="K19" t="s">
        <v>74</v>
      </c>
      <c r="L19" t="s">
        <v>74</v>
      </c>
      <c r="M19" t="s">
        <v>78</v>
      </c>
      <c r="N19" t="s">
        <v>79</v>
      </c>
      <c r="O19" t="s">
        <v>74</v>
      </c>
      <c r="P19" t="s">
        <v>74</v>
      </c>
      <c r="Q19" t="s">
        <v>74</v>
      </c>
      <c r="R19" t="s">
        <v>74</v>
      </c>
      <c r="S19" t="s">
        <v>74</v>
      </c>
      <c r="T19" t="s">
        <v>488</v>
      </c>
      <c r="U19" t="s">
        <v>489</v>
      </c>
      <c r="V19" t="s">
        <v>490</v>
      </c>
      <c r="W19" t="s">
        <v>491</v>
      </c>
      <c r="X19" t="s">
        <v>492</v>
      </c>
      <c r="Y19" t="s">
        <v>493</v>
      </c>
      <c r="Z19" t="s">
        <v>494</v>
      </c>
      <c r="AA19" t="s">
        <v>495</v>
      </c>
      <c r="AB19" t="s">
        <v>496</v>
      </c>
      <c r="AC19" t="s">
        <v>497</v>
      </c>
      <c r="AD19" t="s">
        <v>498</v>
      </c>
      <c r="AE19" t="s">
        <v>499</v>
      </c>
      <c r="AF19" t="s">
        <v>74</v>
      </c>
      <c r="AG19">
        <v>92</v>
      </c>
      <c r="AH19">
        <v>10</v>
      </c>
      <c r="AI19">
        <v>10</v>
      </c>
      <c r="AJ19">
        <v>3</v>
      </c>
      <c r="AK19">
        <v>56</v>
      </c>
      <c r="AL19" t="s">
        <v>500</v>
      </c>
      <c r="AM19" t="s">
        <v>296</v>
      </c>
      <c r="AN19" t="s">
        <v>501</v>
      </c>
      <c r="AO19" t="s">
        <v>502</v>
      </c>
      <c r="AP19" t="s">
        <v>503</v>
      </c>
      <c r="AQ19" t="s">
        <v>74</v>
      </c>
      <c r="AR19" t="s">
        <v>504</v>
      </c>
      <c r="AS19" t="s">
        <v>505</v>
      </c>
      <c r="AT19" t="s">
        <v>98</v>
      </c>
      <c r="AU19">
        <v>2013</v>
      </c>
      <c r="AV19">
        <v>40</v>
      </c>
      <c r="AW19" t="s">
        <v>506</v>
      </c>
      <c r="AX19" t="s">
        <v>74</v>
      </c>
      <c r="AY19" t="s">
        <v>74</v>
      </c>
      <c r="AZ19" t="s">
        <v>74</v>
      </c>
      <c r="BA19" t="s">
        <v>74</v>
      </c>
      <c r="BB19">
        <v>531</v>
      </c>
      <c r="BC19">
        <v>550</v>
      </c>
      <c r="BD19" t="s">
        <v>74</v>
      </c>
      <c r="BE19" t="s">
        <v>507</v>
      </c>
      <c r="BF19" t="str">
        <f>HYPERLINK("http://dx.doi.org/10.1007/s00382-012-1612-9","http://dx.doi.org/10.1007/s00382-012-1612-9")</f>
        <v>http://dx.doi.org/10.1007/s00382-012-1612-9</v>
      </c>
      <c r="BG19" t="s">
        <v>74</v>
      </c>
      <c r="BH19" t="s">
        <v>74</v>
      </c>
      <c r="BI19">
        <v>20</v>
      </c>
      <c r="BJ19" t="s">
        <v>101</v>
      </c>
      <c r="BK19" t="s">
        <v>102</v>
      </c>
      <c r="BL19" t="s">
        <v>101</v>
      </c>
      <c r="BM19" t="s">
        <v>508</v>
      </c>
      <c r="BN19" t="s">
        <v>74</v>
      </c>
      <c r="BO19" t="s">
        <v>509</v>
      </c>
      <c r="BP19" t="s">
        <v>74</v>
      </c>
      <c r="BQ19" t="s">
        <v>74</v>
      </c>
      <c r="BR19" t="s">
        <v>105</v>
      </c>
      <c r="BS19" t="s">
        <v>510</v>
      </c>
      <c r="BT19" t="str">
        <f>HYPERLINK("https%3A%2F%2Fwww.webofscience.com%2Fwos%2Fwoscc%2Ffull-record%2FWOS:000314292200001","View Full Record in Web of Science")</f>
        <v>View Full Record in Web of Science</v>
      </c>
    </row>
    <row r="20" spans="1:72" x14ac:dyDescent="0.15">
      <c r="A20" t="s">
        <v>72</v>
      </c>
      <c r="B20" t="s">
        <v>511</v>
      </c>
      <c r="C20" t="s">
        <v>74</v>
      </c>
      <c r="D20" t="s">
        <v>74</v>
      </c>
      <c r="E20" t="s">
        <v>74</v>
      </c>
      <c r="F20" t="s">
        <v>512</v>
      </c>
      <c r="G20" t="s">
        <v>74</v>
      </c>
      <c r="H20" t="s">
        <v>74</v>
      </c>
      <c r="I20" t="s">
        <v>513</v>
      </c>
      <c r="J20" t="s">
        <v>487</v>
      </c>
      <c r="K20" t="s">
        <v>74</v>
      </c>
      <c r="L20" t="s">
        <v>74</v>
      </c>
      <c r="M20" t="s">
        <v>78</v>
      </c>
      <c r="N20" t="s">
        <v>79</v>
      </c>
      <c r="O20" t="s">
        <v>74</v>
      </c>
      <c r="P20" t="s">
        <v>74</v>
      </c>
      <c r="Q20" t="s">
        <v>74</v>
      </c>
      <c r="R20" t="s">
        <v>74</v>
      </c>
      <c r="S20" t="s">
        <v>74</v>
      </c>
      <c r="T20" t="s">
        <v>74</v>
      </c>
      <c r="U20" t="s">
        <v>514</v>
      </c>
      <c r="V20" t="s">
        <v>515</v>
      </c>
      <c r="W20" t="s">
        <v>516</v>
      </c>
      <c r="X20" t="s">
        <v>517</v>
      </c>
      <c r="Y20" t="s">
        <v>518</v>
      </c>
      <c r="Z20" t="s">
        <v>519</v>
      </c>
      <c r="AA20" t="s">
        <v>520</v>
      </c>
      <c r="AB20" t="s">
        <v>521</v>
      </c>
      <c r="AC20" t="s">
        <v>522</v>
      </c>
      <c r="AD20" t="s">
        <v>523</v>
      </c>
      <c r="AE20" t="s">
        <v>524</v>
      </c>
      <c r="AF20" t="s">
        <v>74</v>
      </c>
      <c r="AG20">
        <v>68</v>
      </c>
      <c r="AH20">
        <v>29</v>
      </c>
      <c r="AI20">
        <v>32</v>
      </c>
      <c r="AJ20">
        <v>1</v>
      </c>
      <c r="AK20">
        <v>48</v>
      </c>
      <c r="AL20" t="s">
        <v>500</v>
      </c>
      <c r="AM20" t="s">
        <v>296</v>
      </c>
      <c r="AN20" t="s">
        <v>525</v>
      </c>
      <c r="AO20" t="s">
        <v>502</v>
      </c>
      <c r="AP20" t="s">
        <v>503</v>
      </c>
      <c r="AQ20" t="s">
        <v>74</v>
      </c>
      <c r="AR20" t="s">
        <v>504</v>
      </c>
      <c r="AS20" t="s">
        <v>505</v>
      </c>
      <c r="AT20" t="s">
        <v>98</v>
      </c>
      <c r="AU20">
        <v>2013</v>
      </c>
      <c r="AV20">
        <v>40</v>
      </c>
      <c r="AW20" t="s">
        <v>506</v>
      </c>
      <c r="AX20" t="s">
        <v>74</v>
      </c>
      <c r="AY20" t="s">
        <v>74</v>
      </c>
      <c r="AZ20" t="s">
        <v>74</v>
      </c>
      <c r="BA20" t="s">
        <v>74</v>
      </c>
      <c r="BB20">
        <v>731</v>
      </c>
      <c r="BC20">
        <v>742</v>
      </c>
      <c r="BD20" t="s">
        <v>74</v>
      </c>
      <c r="BE20" t="s">
        <v>526</v>
      </c>
      <c r="BF20" t="str">
        <f>HYPERLINK("http://dx.doi.org/10.1007/s00382-012-1398-9","http://dx.doi.org/10.1007/s00382-012-1398-9")</f>
        <v>http://dx.doi.org/10.1007/s00382-012-1398-9</v>
      </c>
      <c r="BG20" t="s">
        <v>74</v>
      </c>
      <c r="BH20" t="s">
        <v>74</v>
      </c>
      <c r="BI20">
        <v>12</v>
      </c>
      <c r="BJ20" t="s">
        <v>101</v>
      </c>
      <c r="BK20" t="s">
        <v>102</v>
      </c>
      <c r="BL20" t="s">
        <v>101</v>
      </c>
      <c r="BM20" t="s">
        <v>508</v>
      </c>
      <c r="BN20" t="s">
        <v>74</v>
      </c>
      <c r="BO20" t="s">
        <v>74</v>
      </c>
      <c r="BP20" t="s">
        <v>74</v>
      </c>
      <c r="BQ20" t="s">
        <v>74</v>
      </c>
      <c r="BR20" t="s">
        <v>105</v>
      </c>
      <c r="BS20" t="s">
        <v>527</v>
      </c>
      <c r="BT20" t="str">
        <f>HYPERLINK("https%3A%2F%2Fwww.webofscience.com%2Fwos%2Fwoscc%2Ffull-record%2FWOS:000314292200012","View Full Record in Web of Science")</f>
        <v>View Full Record in Web of Science</v>
      </c>
    </row>
    <row r="21" spans="1:72" x14ac:dyDescent="0.15">
      <c r="A21" t="s">
        <v>72</v>
      </c>
      <c r="B21" t="s">
        <v>528</v>
      </c>
      <c r="C21" t="s">
        <v>74</v>
      </c>
      <c r="D21" t="s">
        <v>74</v>
      </c>
      <c r="E21" t="s">
        <v>74</v>
      </c>
      <c r="F21" t="s">
        <v>529</v>
      </c>
      <c r="G21" t="s">
        <v>74</v>
      </c>
      <c r="H21" t="s">
        <v>74</v>
      </c>
      <c r="I21" t="s">
        <v>530</v>
      </c>
      <c r="J21" t="s">
        <v>531</v>
      </c>
      <c r="K21" t="s">
        <v>74</v>
      </c>
      <c r="L21" t="s">
        <v>74</v>
      </c>
      <c r="M21" t="s">
        <v>78</v>
      </c>
      <c r="N21" t="s">
        <v>79</v>
      </c>
      <c r="O21" t="s">
        <v>74</v>
      </c>
      <c r="P21" t="s">
        <v>74</v>
      </c>
      <c r="Q21" t="s">
        <v>74</v>
      </c>
      <c r="R21" t="s">
        <v>74</v>
      </c>
      <c r="S21" t="s">
        <v>74</v>
      </c>
      <c r="T21" t="s">
        <v>532</v>
      </c>
      <c r="U21" t="s">
        <v>533</v>
      </c>
      <c r="V21" t="s">
        <v>534</v>
      </c>
      <c r="W21" t="s">
        <v>535</v>
      </c>
      <c r="X21" t="s">
        <v>536</v>
      </c>
      <c r="Y21" t="s">
        <v>537</v>
      </c>
      <c r="Z21" t="s">
        <v>538</v>
      </c>
      <c r="AA21" t="s">
        <v>539</v>
      </c>
      <c r="AB21" t="s">
        <v>540</v>
      </c>
      <c r="AC21" t="s">
        <v>74</v>
      </c>
      <c r="AD21" t="s">
        <v>74</v>
      </c>
      <c r="AE21" t="s">
        <v>74</v>
      </c>
      <c r="AF21" t="s">
        <v>74</v>
      </c>
      <c r="AG21">
        <v>110</v>
      </c>
      <c r="AH21">
        <v>30</v>
      </c>
      <c r="AI21">
        <v>36</v>
      </c>
      <c r="AJ21">
        <v>2</v>
      </c>
      <c r="AK21">
        <v>84</v>
      </c>
      <c r="AL21" t="s">
        <v>541</v>
      </c>
      <c r="AM21" t="s">
        <v>542</v>
      </c>
      <c r="AN21" t="s">
        <v>543</v>
      </c>
      <c r="AO21" t="s">
        <v>544</v>
      </c>
      <c r="AP21" t="s">
        <v>545</v>
      </c>
      <c r="AQ21" t="s">
        <v>74</v>
      </c>
      <c r="AR21" t="s">
        <v>546</v>
      </c>
      <c r="AS21" t="s">
        <v>547</v>
      </c>
      <c r="AT21" t="s">
        <v>98</v>
      </c>
      <c r="AU21">
        <v>2013</v>
      </c>
      <c r="AV21">
        <v>86</v>
      </c>
      <c r="AW21" t="s">
        <v>74</v>
      </c>
      <c r="AX21" t="s">
        <v>74</v>
      </c>
      <c r="AY21" t="s">
        <v>74</v>
      </c>
      <c r="AZ21" t="s">
        <v>74</v>
      </c>
      <c r="BA21" t="s">
        <v>74</v>
      </c>
      <c r="BB21">
        <v>142</v>
      </c>
      <c r="BC21">
        <v>166</v>
      </c>
      <c r="BD21" t="s">
        <v>74</v>
      </c>
      <c r="BE21" t="s">
        <v>548</v>
      </c>
      <c r="BF21" t="str">
        <f>HYPERLINK("http://dx.doi.org/10.1016/j.coldregions.2012.08.009","http://dx.doi.org/10.1016/j.coldregions.2012.08.009")</f>
        <v>http://dx.doi.org/10.1016/j.coldregions.2012.08.009</v>
      </c>
      <c r="BG21" t="s">
        <v>74</v>
      </c>
      <c r="BH21" t="s">
        <v>74</v>
      </c>
      <c r="BI21">
        <v>25</v>
      </c>
      <c r="BJ21" t="s">
        <v>549</v>
      </c>
      <c r="BK21" t="s">
        <v>102</v>
      </c>
      <c r="BL21" t="s">
        <v>550</v>
      </c>
      <c r="BM21" t="s">
        <v>551</v>
      </c>
      <c r="BN21" t="s">
        <v>74</v>
      </c>
      <c r="BO21" t="s">
        <v>74</v>
      </c>
      <c r="BP21" t="s">
        <v>74</v>
      </c>
      <c r="BQ21" t="s">
        <v>74</v>
      </c>
      <c r="BR21" t="s">
        <v>105</v>
      </c>
      <c r="BS21" t="s">
        <v>552</v>
      </c>
      <c r="BT21" t="str">
        <f>HYPERLINK("https%3A%2F%2Fwww.webofscience.com%2Fwos%2Fwoscc%2Ffull-record%2FWOS:000314558500014","View Full Record in Web of Science")</f>
        <v>View Full Record in Web of Science</v>
      </c>
    </row>
    <row r="22" spans="1:72" x14ac:dyDescent="0.15">
      <c r="A22" t="s">
        <v>72</v>
      </c>
      <c r="B22" t="s">
        <v>553</v>
      </c>
      <c r="C22" t="s">
        <v>74</v>
      </c>
      <c r="D22" t="s">
        <v>74</v>
      </c>
      <c r="E22" t="s">
        <v>74</v>
      </c>
      <c r="F22" t="s">
        <v>554</v>
      </c>
      <c r="G22" t="s">
        <v>74</v>
      </c>
      <c r="H22" t="s">
        <v>74</v>
      </c>
      <c r="I22" t="s">
        <v>555</v>
      </c>
      <c r="J22" t="s">
        <v>178</v>
      </c>
      <c r="K22" t="s">
        <v>74</v>
      </c>
      <c r="L22" t="s">
        <v>74</v>
      </c>
      <c r="M22" t="s">
        <v>78</v>
      </c>
      <c r="N22" t="s">
        <v>79</v>
      </c>
      <c r="O22" t="s">
        <v>74</v>
      </c>
      <c r="P22" t="s">
        <v>74</v>
      </c>
      <c r="Q22" t="s">
        <v>74</v>
      </c>
      <c r="R22" t="s">
        <v>74</v>
      </c>
      <c r="S22" t="s">
        <v>74</v>
      </c>
      <c r="T22" t="s">
        <v>74</v>
      </c>
      <c r="U22" t="s">
        <v>556</v>
      </c>
      <c r="V22" t="s">
        <v>557</v>
      </c>
      <c r="W22" t="s">
        <v>558</v>
      </c>
      <c r="X22" t="s">
        <v>559</v>
      </c>
      <c r="Y22" t="s">
        <v>560</v>
      </c>
      <c r="Z22" t="s">
        <v>561</v>
      </c>
      <c r="AA22" t="s">
        <v>562</v>
      </c>
      <c r="AB22" t="s">
        <v>563</v>
      </c>
      <c r="AC22" t="s">
        <v>564</v>
      </c>
      <c r="AD22" t="s">
        <v>565</v>
      </c>
      <c r="AE22" t="s">
        <v>566</v>
      </c>
      <c r="AF22" t="s">
        <v>74</v>
      </c>
      <c r="AG22">
        <v>71</v>
      </c>
      <c r="AH22">
        <v>71</v>
      </c>
      <c r="AI22">
        <v>74</v>
      </c>
      <c r="AJ22">
        <v>0</v>
      </c>
      <c r="AK22">
        <v>54</v>
      </c>
      <c r="AL22" t="s">
        <v>91</v>
      </c>
      <c r="AM22" t="s">
        <v>92</v>
      </c>
      <c r="AN22" t="s">
        <v>93</v>
      </c>
      <c r="AO22" t="s">
        <v>190</v>
      </c>
      <c r="AP22" t="s">
        <v>191</v>
      </c>
      <c r="AQ22" t="s">
        <v>74</v>
      </c>
      <c r="AR22" t="s">
        <v>192</v>
      </c>
      <c r="AS22" t="s">
        <v>193</v>
      </c>
      <c r="AT22" t="s">
        <v>98</v>
      </c>
      <c r="AU22">
        <v>2013</v>
      </c>
      <c r="AV22">
        <v>26</v>
      </c>
      <c r="AW22">
        <v>3</v>
      </c>
      <c r="AX22" t="s">
        <v>74</v>
      </c>
      <c r="AY22" t="s">
        <v>74</v>
      </c>
      <c r="AZ22" t="s">
        <v>74</v>
      </c>
      <c r="BA22" t="s">
        <v>74</v>
      </c>
      <c r="BB22">
        <v>710</v>
      </c>
      <c r="BC22">
        <v>725</v>
      </c>
      <c r="BD22" t="s">
        <v>74</v>
      </c>
      <c r="BE22" t="s">
        <v>567</v>
      </c>
      <c r="BF22" t="str">
        <f>HYPERLINK("http://dx.doi.org/10.1175/JCLI-D-12-00003.1","http://dx.doi.org/10.1175/JCLI-D-12-00003.1")</f>
        <v>http://dx.doi.org/10.1175/JCLI-D-12-00003.1</v>
      </c>
      <c r="BG22" t="s">
        <v>74</v>
      </c>
      <c r="BH22" t="s">
        <v>74</v>
      </c>
      <c r="BI22">
        <v>16</v>
      </c>
      <c r="BJ22" t="s">
        <v>101</v>
      </c>
      <c r="BK22" t="s">
        <v>102</v>
      </c>
      <c r="BL22" t="s">
        <v>101</v>
      </c>
      <c r="BM22" t="s">
        <v>568</v>
      </c>
      <c r="BN22" t="s">
        <v>74</v>
      </c>
      <c r="BO22" t="s">
        <v>104</v>
      </c>
      <c r="BP22" t="s">
        <v>74</v>
      </c>
      <c r="BQ22" t="s">
        <v>74</v>
      </c>
      <c r="BR22" t="s">
        <v>105</v>
      </c>
      <c r="BS22" t="s">
        <v>569</v>
      </c>
      <c r="BT22" t="str">
        <f>HYPERLINK("https%3A%2F%2Fwww.webofscience.com%2Fwos%2Fwoscc%2Ffull-record%2FWOS:000314695500002","View Full Record in Web of Science")</f>
        <v>View Full Record in Web of Science</v>
      </c>
    </row>
    <row r="23" spans="1:72" x14ac:dyDescent="0.15">
      <c r="A23" t="s">
        <v>72</v>
      </c>
      <c r="B23" t="s">
        <v>570</v>
      </c>
      <c r="C23" t="s">
        <v>74</v>
      </c>
      <c r="D23" t="s">
        <v>74</v>
      </c>
      <c r="E23" t="s">
        <v>74</v>
      </c>
      <c r="F23" t="s">
        <v>571</v>
      </c>
      <c r="G23" t="s">
        <v>74</v>
      </c>
      <c r="H23" t="s">
        <v>74</v>
      </c>
      <c r="I23" t="s">
        <v>572</v>
      </c>
      <c r="J23" t="s">
        <v>573</v>
      </c>
      <c r="K23" t="s">
        <v>74</v>
      </c>
      <c r="L23" t="s">
        <v>74</v>
      </c>
      <c r="M23" t="s">
        <v>78</v>
      </c>
      <c r="N23" t="s">
        <v>79</v>
      </c>
      <c r="O23" t="s">
        <v>74</v>
      </c>
      <c r="P23" t="s">
        <v>74</v>
      </c>
      <c r="Q23" t="s">
        <v>74</v>
      </c>
      <c r="R23" t="s">
        <v>74</v>
      </c>
      <c r="S23" t="s">
        <v>74</v>
      </c>
      <c r="T23" t="s">
        <v>574</v>
      </c>
      <c r="U23" t="s">
        <v>575</v>
      </c>
      <c r="V23" t="s">
        <v>576</v>
      </c>
      <c r="W23" t="s">
        <v>577</v>
      </c>
      <c r="X23" t="s">
        <v>578</v>
      </c>
      <c r="Y23" t="s">
        <v>579</v>
      </c>
      <c r="Z23" t="s">
        <v>580</v>
      </c>
      <c r="AA23" t="s">
        <v>581</v>
      </c>
      <c r="AB23" t="s">
        <v>582</v>
      </c>
      <c r="AC23" t="s">
        <v>583</v>
      </c>
      <c r="AD23" t="s">
        <v>584</v>
      </c>
      <c r="AE23" t="s">
        <v>585</v>
      </c>
      <c r="AF23" t="s">
        <v>74</v>
      </c>
      <c r="AG23">
        <v>42</v>
      </c>
      <c r="AH23">
        <v>8</v>
      </c>
      <c r="AI23">
        <v>10</v>
      </c>
      <c r="AJ23">
        <v>3</v>
      </c>
      <c r="AK23">
        <v>41</v>
      </c>
      <c r="AL23" t="s">
        <v>586</v>
      </c>
      <c r="AM23" t="s">
        <v>542</v>
      </c>
      <c r="AN23" t="s">
        <v>587</v>
      </c>
      <c r="AO23" t="s">
        <v>588</v>
      </c>
      <c r="AP23" t="s">
        <v>589</v>
      </c>
      <c r="AQ23" t="s">
        <v>74</v>
      </c>
      <c r="AR23" t="s">
        <v>590</v>
      </c>
      <c r="AS23" t="s">
        <v>591</v>
      </c>
      <c r="AT23" t="s">
        <v>98</v>
      </c>
      <c r="AU23">
        <v>2013</v>
      </c>
      <c r="AV23">
        <v>111</v>
      </c>
      <c r="AW23" t="s">
        <v>74</v>
      </c>
      <c r="AX23" t="s">
        <v>74</v>
      </c>
      <c r="AY23" t="s">
        <v>74</v>
      </c>
      <c r="AZ23" t="s">
        <v>74</v>
      </c>
      <c r="BA23" t="s">
        <v>74</v>
      </c>
      <c r="BB23">
        <v>196</v>
      </c>
      <c r="BC23">
        <v>207</v>
      </c>
      <c r="BD23" t="s">
        <v>74</v>
      </c>
      <c r="BE23" t="s">
        <v>592</v>
      </c>
      <c r="BF23" t="str">
        <f>HYPERLINK("http://dx.doi.org/10.1016/j.jmarsys.2012.11.001","http://dx.doi.org/10.1016/j.jmarsys.2012.11.001")</f>
        <v>http://dx.doi.org/10.1016/j.jmarsys.2012.11.001</v>
      </c>
      <c r="BG23" t="s">
        <v>74</v>
      </c>
      <c r="BH23" t="s">
        <v>74</v>
      </c>
      <c r="BI23">
        <v>12</v>
      </c>
      <c r="BJ23" t="s">
        <v>593</v>
      </c>
      <c r="BK23" t="s">
        <v>102</v>
      </c>
      <c r="BL23" t="s">
        <v>594</v>
      </c>
      <c r="BM23" t="s">
        <v>595</v>
      </c>
      <c r="BN23" t="s">
        <v>74</v>
      </c>
      <c r="BO23" t="s">
        <v>74</v>
      </c>
      <c r="BP23" t="s">
        <v>74</v>
      </c>
      <c r="BQ23" t="s">
        <v>74</v>
      </c>
      <c r="BR23" t="s">
        <v>105</v>
      </c>
      <c r="BS23" t="s">
        <v>596</v>
      </c>
      <c r="BT23" t="str">
        <f>HYPERLINK("https%3A%2F%2Fwww.webofscience.com%2Fwos%2Fwoscc%2Ffull-record%2FWOS:000314375500017","View Full Record in Web of Science")</f>
        <v>View Full Record in Web of Science</v>
      </c>
    </row>
    <row r="24" spans="1:72" x14ac:dyDescent="0.15">
      <c r="A24" t="s">
        <v>72</v>
      </c>
      <c r="B24" t="s">
        <v>597</v>
      </c>
      <c r="C24" t="s">
        <v>74</v>
      </c>
      <c r="D24" t="s">
        <v>74</v>
      </c>
      <c r="E24" t="s">
        <v>74</v>
      </c>
      <c r="F24" t="s">
        <v>598</v>
      </c>
      <c r="G24" t="s">
        <v>74</v>
      </c>
      <c r="H24" t="s">
        <v>74</v>
      </c>
      <c r="I24" t="s">
        <v>599</v>
      </c>
      <c r="J24" t="s">
        <v>600</v>
      </c>
      <c r="K24" t="s">
        <v>74</v>
      </c>
      <c r="L24" t="s">
        <v>74</v>
      </c>
      <c r="M24" t="s">
        <v>78</v>
      </c>
      <c r="N24" t="s">
        <v>79</v>
      </c>
      <c r="O24" t="s">
        <v>74</v>
      </c>
      <c r="P24" t="s">
        <v>74</v>
      </c>
      <c r="Q24" t="s">
        <v>74</v>
      </c>
      <c r="R24" t="s">
        <v>74</v>
      </c>
      <c r="S24" t="s">
        <v>74</v>
      </c>
      <c r="T24" t="s">
        <v>601</v>
      </c>
      <c r="U24" t="s">
        <v>602</v>
      </c>
      <c r="V24" t="s">
        <v>603</v>
      </c>
      <c r="W24" t="s">
        <v>604</v>
      </c>
      <c r="X24" t="s">
        <v>605</v>
      </c>
      <c r="Y24" t="s">
        <v>606</v>
      </c>
      <c r="Z24" t="s">
        <v>607</v>
      </c>
      <c r="AA24" t="s">
        <v>608</v>
      </c>
      <c r="AB24" t="s">
        <v>609</v>
      </c>
      <c r="AC24" t="s">
        <v>610</v>
      </c>
      <c r="AD24" t="s">
        <v>611</v>
      </c>
      <c r="AE24" t="s">
        <v>612</v>
      </c>
      <c r="AF24" t="s">
        <v>74</v>
      </c>
      <c r="AG24">
        <v>58</v>
      </c>
      <c r="AH24">
        <v>2</v>
      </c>
      <c r="AI24">
        <v>2</v>
      </c>
      <c r="AJ24">
        <v>2</v>
      </c>
      <c r="AK24">
        <v>26</v>
      </c>
      <c r="AL24" t="s">
        <v>447</v>
      </c>
      <c r="AM24" t="s">
        <v>147</v>
      </c>
      <c r="AN24" t="s">
        <v>448</v>
      </c>
      <c r="AO24" t="s">
        <v>613</v>
      </c>
      <c r="AP24" t="s">
        <v>74</v>
      </c>
      <c r="AQ24" t="s">
        <v>74</v>
      </c>
      <c r="AR24" t="s">
        <v>614</v>
      </c>
      <c r="AS24" t="s">
        <v>615</v>
      </c>
      <c r="AT24" t="s">
        <v>98</v>
      </c>
      <c r="AU24">
        <v>2013</v>
      </c>
      <c r="AV24">
        <v>62</v>
      </c>
      <c r="AW24" t="s">
        <v>74</v>
      </c>
      <c r="AX24" t="s">
        <v>74</v>
      </c>
      <c r="AY24" t="s">
        <v>74</v>
      </c>
      <c r="AZ24" t="s">
        <v>74</v>
      </c>
      <c r="BA24" t="s">
        <v>74</v>
      </c>
      <c r="BB24">
        <v>27</v>
      </c>
      <c r="BC24">
        <v>38</v>
      </c>
      <c r="BD24" t="s">
        <v>74</v>
      </c>
      <c r="BE24" t="s">
        <v>616</v>
      </c>
      <c r="BF24" t="str">
        <f>HYPERLINK("http://dx.doi.org/10.1016/j.ocemod.2012.11.003","http://dx.doi.org/10.1016/j.ocemod.2012.11.003")</f>
        <v>http://dx.doi.org/10.1016/j.ocemod.2012.11.003</v>
      </c>
      <c r="BG24" t="s">
        <v>74</v>
      </c>
      <c r="BH24" t="s">
        <v>74</v>
      </c>
      <c r="BI24">
        <v>12</v>
      </c>
      <c r="BJ24" t="s">
        <v>617</v>
      </c>
      <c r="BK24" t="s">
        <v>102</v>
      </c>
      <c r="BL24" t="s">
        <v>617</v>
      </c>
      <c r="BM24" t="s">
        <v>618</v>
      </c>
      <c r="BN24" t="s">
        <v>74</v>
      </c>
      <c r="BO24" t="s">
        <v>74</v>
      </c>
      <c r="BP24" t="s">
        <v>74</v>
      </c>
      <c r="BQ24" t="s">
        <v>74</v>
      </c>
      <c r="BR24" t="s">
        <v>105</v>
      </c>
      <c r="BS24" t="s">
        <v>619</v>
      </c>
      <c r="BT24" t="str">
        <f>HYPERLINK("https%3A%2F%2Fwww.webofscience.com%2Fwos%2Fwoscc%2Ffull-record%2FWOS:000314689900004","View Full Record in Web of Science")</f>
        <v>View Full Record in Web of Science</v>
      </c>
    </row>
    <row r="25" spans="1:72" x14ac:dyDescent="0.15">
      <c r="A25" t="s">
        <v>72</v>
      </c>
      <c r="B25" t="s">
        <v>620</v>
      </c>
      <c r="C25" t="s">
        <v>74</v>
      </c>
      <c r="D25" t="s">
        <v>74</v>
      </c>
      <c r="E25" t="s">
        <v>74</v>
      </c>
      <c r="F25" t="s">
        <v>621</v>
      </c>
      <c r="G25" t="s">
        <v>74</v>
      </c>
      <c r="H25" t="s">
        <v>74</v>
      </c>
      <c r="I25" t="s">
        <v>622</v>
      </c>
      <c r="J25" t="s">
        <v>623</v>
      </c>
      <c r="K25" t="s">
        <v>74</v>
      </c>
      <c r="L25" t="s">
        <v>74</v>
      </c>
      <c r="M25" t="s">
        <v>78</v>
      </c>
      <c r="N25" t="s">
        <v>79</v>
      </c>
      <c r="O25" t="s">
        <v>74</v>
      </c>
      <c r="P25" t="s">
        <v>74</v>
      </c>
      <c r="Q25" t="s">
        <v>74</v>
      </c>
      <c r="R25" t="s">
        <v>74</v>
      </c>
      <c r="S25" t="s">
        <v>74</v>
      </c>
      <c r="T25" t="s">
        <v>624</v>
      </c>
      <c r="U25" t="s">
        <v>74</v>
      </c>
      <c r="V25" t="s">
        <v>625</v>
      </c>
      <c r="W25" t="s">
        <v>626</v>
      </c>
      <c r="X25" t="s">
        <v>74</v>
      </c>
      <c r="Y25" t="s">
        <v>627</v>
      </c>
      <c r="Z25" t="s">
        <v>628</v>
      </c>
      <c r="AA25" t="s">
        <v>74</v>
      </c>
      <c r="AB25" t="s">
        <v>74</v>
      </c>
      <c r="AC25" t="s">
        <v>74</v>
      </c>
      <c r="AD25" t="s">
        <v>74</v>
      </c>
      <c r="AE25" t="s">
        <v>74</v>
      </c>
      <c r="AF25" t="s">
        <v>74</v>
      </c>
      <c r="AG25">
        <v>4</v>
      </c>
      <c r="AH25">
        <v>0</v>
      </c>
      <c r="AI25">
        <v>0</v>
      </c>
      <c r="AJ25">
        <v>0</v>
      </c>
      <c r="AK25">
        <v>12</v>
      </c>
      <c r="AL25" t="s">
        <v>629</v>
      </c>
      <c r="AM25" t="s">
        <v>630</v>
      </c>
      <c r="AN25" t="s">
        <v>631</v>
      </c>
      <c r="AO25" t="s">
        <v>632</v>
      </c>
      <c r="AP25" t="s">
        <v>74</v>
      </c>
      <c r="AQ25" t="s">
        <v>74</v>
      </c>
      <c r="AR25" t="s">
        <v>633</v>
      </c>
      <c r="AS25" t="s">
        <v>634</v>
      </c>
      <c r="AT25" t="s">
        <v>98</v>
      </c>
      <c r="AU25">
        <v>2013</v>
      </c>
      <c r="AV25">
        <v>23</v>
      </c>
      <c r="AW25">
        <v>1</v>
      </c>
      <c r="AX25" t="s">
        <v>74</v>
      </c>
      <c r="AY25" t="s">
        <v>74</v>
      </c>
      <c r="AZ25" t="s">
        <v>74</v>
      </c>
      <c r="BA25" t="s">
        <v>74</v>
      </c>
      <c r="BB25">
        <v>34</v>
      </c>
      <c r="BC25">
        <v>38</v>
      </c>
      <c r="BD25" t="s">
        <v>74</v>
      </c>
      <c r="BE25" t="s">
        <v>635</v>
      </c>
      <c r="BF25" t="str">
        <f>HYPERLINK("http://dx.doi.org/10.2749/101686613X13439149157353","http://dx.doi.org/10.2749/101686613X13439149157353")</f>
        <v>http://dx.doi.org/10.2749/101686613X13439149157353</v>
      </c>
      <c r="BG25" t="s">
        <v>74</v>
      </c>
      <c r="BH25" t="s">
        <v>74</v>
      </c>
      <c r="BI25">
        <v>5</v>
      </c>
      <c r="BJ25" t="s">
        <v>636</v>
      </c>
      <c r="BK25" t="s">
        <v>102</v>
      </c>
      <c r="BL25" t="s">
        <v>637</v>
      </c>
      <c r="BM25" t="s">
        <v>638</v>
      </c>
      <c r="BN25" t="s">
        <v>74</v>
      </c>
      <c r="BO25" t="s">
        <v>74</v>
      </c>
      <c r="BP25" t="s">
        <v>74</v>
      </c>
      <c r="BQ25" t="s">
        <v>74</v>
      </c>
      <c r="BR25" t="s">
        <v>105</v>
      </c>
      <c r="BS25" t="s">
        <v>639</v>
      </c>
      <c r="BT25" t="str">
        <f>HYPERLINK("https%3A%2F%2Fwww.webofscience.com%2Fwos%2Fwoscc%2Ffull-record%2FWOS:000314382200008","View Full Record in Web of Science")</f>
        <v>View Full Record in Web of Science</v>
      </c>
    </row>
    <row r="26" spans="1:72" x14ac:dyDescent="0.15">
      <c r="A26" t="s">
        <v>72</v>
      </c>
      <c r="B26" t="s">
        <v>640</v>
      </c>
      <c r="C26" t="s">
        <v>74</v>
      </c>
      <c r="D26" t="s">
        <v>74</v>
      </c>
      <c r="E26" t="s">
        <v>74</v>
      </c>
      <c r="F26" t="s">
        <v>641</v>
      </c>
      <c r="G26" t="s">
        <v>74</v>
      </c>
      <c r="H26" t="s">
        <v>74</v>
      </c>
      <c r="I26" t="s">
        <v>642</v>
      </c>
      <c r="J26" t="s">
        <v>643</v>
      </c>
      <c r="K26" t="s">
        <v>74</v>
      </c>
      <c r="L26" t="s">
        <v>74</v>
      </c>
      <c r="M26" t="s">
        <v>78</v>
      </c>
      <c r="N26" t="s">
        <v>79</v>
      </c>
      <c r="O26" t="s">
        <v>74</v>
      </c>
      <c r="P26" t="s">
        <v>74</v>
      </c>
      <c r="Q26" t="s">
        <v>74</v>
      </c>
      <c r="R26" t="s">
        <v>74</v>
      </c>
      <c r="S26" t="s">
        <v>74</v>
      </c>
      <c r="T26" t="s">
        <v>644</v>
      </c>
      <c r="U26" t="s">
        <v>645</v>
      </c>
      <c r="V26" t="s">
        <v>646</v>
      </c>
      <c r="W26" t="s">
        <v>647</v>
      </c>
      <c r="X26" t="s">
        <v>648</v>
      </c>
      <c r="Y26" t="s">
        <v>649</v>
      </c>
      <c r="Z26" t="s">
        <v>650</v>
      </c>
      <c r="AA26" t="s">
        <v>651</v>
      </c>
      <c r="AB26" t="s">
        <v>652</v>
      </c>
      <c r="AC26" t="s">
        <v>653</v>
      </c>
      <c r="AD26" t="s">
        <v>653</v>
      </c>
      <c r="AE26" t="s">
        <v>654</v>
      </c>
      <c r="AF26" t="s">
        <v>74</v>
      </c>
      <c r="AG26">
        <v>40</v>
      </c>
      <c r="AH26">
        <v>19</v>
      </c>
      <c r="AI26">
        <v>19</v>
      </c>
      <c r="AJ26">
        <v>1</v>
      </c>
      <c r="AK26">
        <v>32</v>
      </c>
      <c r="AL26" t="s">
        <v>257</v>
      </c>
      <c r="AM26" t="s">
        <v>215</v>
      </c>
      <c r="AN26" t="s">
        <v>216</v>
      </c>
      <c r="AO26" t="s">
        <v>655</v>
      </c>
      <c r="AP26" t="s">
        <v>656</v>
      </c>
      <c r="AQ26" t="s">
        <v>74</v>
      </c>
      <c r="AR26" t="s">
        <v>657</v>
      </c>
      <c r="AS26" t="s">
        <v>658</v>
      </c>
      <c r="AT26" t="s">
        <v>98</v>
      </c>
      <c r="AU26">
        <v>2013</v>
      </c>
      <c r="AV26">
        <v>32</v>
      </c>
      <c r="AW26">
        <v>2</v>
      </c>
      <c r="AX26" t="s">
        <v>74</v>
      </c>
      <c r="AY26" t="s">
        <v>74</v>
      </c>
      <c r="AZ26" t="s">
        <v>74</v>
      </c>
      <c r="BA26" t="s">
        <v>74</v>
      </c>
      <c r="BB26">
        <v>370</v>
      </c>
      <c r="BC26">
        <v>377</v>
      </c>
      <c r="BD26" t="s">
        <v>74</v>
      </c>
      <c r="BE26" t="s">
        <v>659</v>
      </c>
      <c r="BF26" t="str">
        <f>HYPERLINK("http://dx.doi.org/10.1002/etc.2060","http://dx.doi.org/10.1002/etc.2060")</f>
        <v>http://dx.doi.org/10.1002/etc.2060</v>
      </c>
      <c r="BG26" t="s">
        <v>74</v>
      </c>
      <c r="BH26" t="s">
        <v>74</v>
      </c>
      <c r="BI26">
        <v>8</v>
      </c>
      <c r="BJ26" t="s">
        <v>660</v>
      </c>
      <c r="BK26" t="s">
        <v>102</v>
      </c>
      <c r="BL26" t="s">
        <v>661</v>
      </c>
      <c r="BM26" t="s">
        <v>662</v>
      </c>
      <c r="BN26">
        <v>23147807</v>
      </c>
      <c r="BO26" t="s">
        <v>74</v>
      </c>
      <c r="BP26" t="s">
        <v>74</v>
      </c>
      <c r="BQ26" t="s">
        <v>74</v>
      </c>
      <c r="BR26" t="s">
        <v>105</v>
      </c>
      <c r="BS26" t="s">
        <v>663</v>
      </c>
      <c r="BT26" t="str">
        <f>HYPERLINK("https%3A%2F%2Fwww.webofscience.com%2Fwos%2Fwoscc%2Ffull-record%2FWOS:000313867300018","View Full Record in Web of Science")</f>
        <v>View Full Record in Web of Science</v>
      </c>
    </row>
    <row r="27" spans="1:72" x14ac:dyDescent="0.15">
      <c r="A27" t="s">
        <v>72</v>
      </c>
      <c r="B27" t="s">
        <v>664</v>
      </c>
      <c r="C27" t="s">
        <v>74</v>
      </c>
      <c r="D27" t="s">
        <v>74</v>
      </c>
      <c r="E27" t="s">
        <v>74</v>
      </c>
      <c r="F27" t="s">
        <v>665</v>
      </c>
      <c r="G27" t="s">
        <v>74</v>
      </c>
      <c r="H27" t="s">
        <v>74</v>
      </c>
      <c r="I27" t="s">
        <v>666</v>
      </c>
      <c r="J27" t="s">
        <v>667</v>
      </c>
      <c r="K27" t="s">
        <v>74</v>
      </c>
      <c r="L27" t="s">
        <v>74</v>
      </c>
      <c r="M27" t="s">
        <v>78</v>
      </c>
      <c r="N27" t="s">
        <v>79</v>
      </c>
      <c r="O27" t="s">
        <v>74</v>
      </c>
      <c r="P27" t="s">
        <v>74</v>
      </c>
      <c r="Q27" t="s">
        <v>74</v>
      </c>
      <c r="R27" t="s">
        <v>74</v>
      </c>
      <c r="S27" t="s">
        <v>74</v>
      </c>
      <c r="T27" t="s">
        <v>668</v>
      </c>
      <c r="U27" t="s">
        <v>669</v>
      </c>
      <c r="V27" t="s">
        <v>670</v>
      </c>
      <c r="W27" t="s">
        <v>671</v>
      </c>
      <c r="X27" t="s">
        <v>672</v>
      </c>
      <c r="Y27" t="s">
        <v>673</v>
      </c>
      <c r="Z27" t="s">
        <v>674</v>
      </c>
      <c r="AA27" t="s">
        <v>675</v>
      </c>
      <c r="AB27" t="s">
        <v>676</v>
      </c>
      <c r="AC27" t="s">
        <v>677</v>
      </c>
      <c r="AD27" t="s">
        <v>678</v>
      </c>
      <c r="AE27" t="s">
        <v>679</v>
      </c>
      <c r="AF27" t="s">
        <v>74</v>
      </c>
      <c r="AG27">
        <v>28</v>
      </c>
      <c r="AH27">
        <v>26</v>
      </c>
      <c r="AI27">
        <v>27</v>
      </c>
      <c r="AJ27">
        <v>1</v>
      </c>
      <c r="AK27">
        <v>37</v>
      </c>
      <c r="AL27" t="s">
        <v>541</v>
      </c>
      <c r="AM27" t="s">
        <v>542</v>
      </c>
      <c r="AN27" t="s">
        <v>543</v>
      </c>
      <c r="AO27" t="s">
        <v>680</v>
      </c>
      <c r="AP27" t="s">
        <v>74</v>
      </c>
      <c r="AQ27" t="s">
        <v>74</v>
      </c>
      <c r="AR27" t="s">
        <v>667</v>
      </c>
      <c r="AS27" t="s">
        <v>681</v>
      </c>
      <c r="AT27" t="s">
        <v>98</v>
      </c>
      <c r="AU27">
        <v>2013</v>
      </c>
      <c r="AV27">
        <v>193</v>
      </c>
      <c r="AW27" t="s">
        <v>74</v>
      </c>
      <c r="AX27" t="s">
        <v>74</v>
      </c>
      <c r="AY27" t="s">
        <v>74</v>
      </c>
      <c r="AZ27" t="s">
        <v>74</v>
      </c>
      <c r="BA27" t="s">
        <v>74</v>
      </c>
      <c r="BB27">
        <v>311</v>
      </c>
      <c r="BC27">
        <v>322</v>
      </c>
      <c r="BD27" t="s">
        <v>74</v>
      </c>
      <c r="BE27" t="s">
        <v>682</v>
      </c>
      <c r="BF27" t="str">
        <f>HYPERLINK("http://dx.doi.org/10.1016/j.geoderma.2012.10.023","http://dx.doi.org/10.1016/j.geoderma.2012.10.023")</f>
        <v>http://dx.doi.org/10.1016/j.geoderma.2012.10.023</v>
      </c>
      <c r="BG27" t="s">
        <v>74</v>
      </c>
      <c r="BH27" t="s">
        <v>74</v>
      </c>
      <c r="BI27">
        <v>12</v>
      </c>
      <c r="BJ27" t="s">
        <v>683</v>
      </c>
      <c r="BK27" t="s">
        <v>102</v>
      </c>
      <c r="BL27" t="s">
        <v>684</v>
      </c>
      <c r="BM27" t="s">
        <v>685</v>
      </c>
      <c r="BN27" t="s">
        <v>74</v>
      </c>
      <c r="BO27" t="s">
        <v>429</v>
      </c>
      <c r="BP27" t="s">
        <v>74</v>
      </c>
      <c r="BQ27" t="s">
        <v>74</v>
      </c>
      <c r="BR27" t="s">
        <v>105</v>
      </c>
      <c r="BS27" t="s">
        <v>686</v>
      </c>
      <c r="BT27" t="str">
        <f>HYPERLINK("https%3A%2F%2Fwww.webofscience.com%2Fwos%2Fwoscc%2Ffull-record%2FWOS:000314193400034","View Full Record in Web of Science")</f>
        <v>View Full Record in Web of Science</v>
      </c>
    </row>
    <row r="28" spans="1:72" x14ac:dyDescent="0.15">
      <c r="A28" t="s">
        <v>72</v>
      </c>
      <c r="B28" t="s">
        <v>687</v>
      </c>
      <c r="C28" t="s">
        <v>74</v>
      </c>
      <c r="D28" t="s">
        <v>74</v>
      </c>
      <c r="E28" t="s">
        <v>74</v>
      </c>
      <c r="F28" t="s">
        <v>688</v>
      </c>
      <c r="G28" t="s">
        <v>74</v>
      </c>
      <c r="H28" t="s">
        <v>74</v>
      </c>
      <c r="I28" t="s">
        <v>689</v>
      </c>
      <c r="J28" t="s">
        <v>690</v>
      </c>
      <c r="K28" t="s">
        <v>74</v>
      </c>
      <c r="L28" t="s">
        <v>74</v>
      </c>
      <c r="M28" t="s">
        <v>78</v>
      </c>
      <c r="N28" t="s">
        <v>79</v>
      </c>
      <c r="O28" t="s">
        <v>74</v>
      </c>
      <c r="P28" t="s">
        <v>74</v>
      </c>
      <c r="Q28" t="s">
        <v>74</v>
      </c>
      <c r="R28" t="s">
        <v>74</v>
      </c>
      <c r="S28" t="s">
        <v>74</v>
      </c>
      <c r="T28" t="s">
        <v>691</v>
      </c>
      <c r="U28" t="s">
        <v>692</v>
      </c>
      <c r="V28" t="s">
        <v>693</v>
      </c>
      <c r="W28" t="s">
        <v>694</v>
      </c>
      <c r="X28" t="s">
        <v>695</v>
      </c>
      <c r="Y28" t="s">
        <v>696</v>
      </c>
      <c r="Z28" t="s">
        <v>697</v>
      </c>
      <c r="AA28" t="s">
        <v>698</v>
      </c>
      <c r="AB28" t="s">
        <v>699</v>
      </c>
      <c r="AC28" t="s">
        <v>700</v>
      </c>
      <c r="AD28" t="s">
        <v>701</v>
      </c>
      <c r="AE28" t="s">
        <v>702</v>
      </c>
      <c r="AF28" t="s">
        <v>74</v>
      </c>
      <c r="AG28">
        <v>22</v>
      </c>
      <c r="AH28">
        <v>64</v>
      </c>
      <c r="AI28">
        <v>72</v>
      </c>
      <c r="AJ28">
        <v>1</v>
      </c>
      <c r="AK28">
        <v>36</v>
      </c>
      <c r="AL28" t="s">
        <v>703</v>
      </c>
      <c r="AM28" t="s">
        <v>704</v>
      </c>
      <c r="AN28" t="s">
        <v>705</v>
      </c>
      <c r="AO28" t="s">
        <v>706</v>
      </c>
      <c r="AP28" t="s">
        <v>707</v>
      </c>
      <c r="AQ28" t="s">
        <v>74</v>
      </c>
      <c r="AR28" t="s">
        <v>708</v>
      </c>
      <c r="AS28" t="s">
        <v>709</v>
      </c>
      <c r="AT28" t="s">
        <v>98</v>
      </c>
      <c r="AU28">
        <v>2013</v>
      </c>
      <c r="AV28">
        <v>51</v>
      </c>
      <c r="AW28">
        <v>2</v>
      </c>
      <c r="AX28" t="s">
        <v>74</v>
      </c>
      <c r="AY28" t="s">
        <v>74</v>
      </c>
      <c r="AZ28" t="s">
        <v>74</v>
      </c>
      <c r="BA28" t="s">
        <v>74</v>
      </c>
      <c r="BB28">
        <v>742</v>
      </c>
      <c r="BC28">
        <v>754</v>
      </c>
      <c r="BD28" t="s">
        <v>74</v>
      </c>
      <c r="BE28" t="s">
        <v>710</v>
      </c>
      <c r="BF28" t="str">
        <f>HYPERLINK("http://dx.doi.org/10.1109/TGRS.2012.2203822","http://dx.doi.org/10.1109/TGRS.2012.2203822")</f>
        <v>http://dx.doi.org/10.1109/TGRS.2012.2203822</v>
      </c>
      <c r="BG28" t="s">
        <v>74</v>
      </c>
      <c r="BH28" t="s">
        <v>74</v>
      </c>
      <c r="BI28">
        <v>13</v>
      </c>
      <c r="BJ28" t="s">
        <v>711</v>
      </c>
      <c r="BK28" t="s">
        <v>102</v>
      </c>
      <c r="BL28" t="s">
        <v>712</v>
      </c>
      <c r="BM28" t="s">
        <v>713</v>
      </c>
      <c r="BN28" t="s">
        <v>74</v>
      </c>
      <c r="BO28" t="s">
        <v>74</v>
      </c>
      <c r="BP28" t="s">
        <v>74</v>
      </c>
      <c r="BQ28" t="s">
        <v>74</v>
      </c>
      <c r="BR28" t="s">
        <v>105</v>
      </c>
      <c r="BS28" t="s">
        <v>714</v>
      </c>
      <c r="BT28" t="str">
        <f>HYPERLINK("https%3A%2F%2Fwww.webofscience.com%2Fwos%2Fwoscc%2Ffull-record%2FWOS:000314019500003","View Full Record in Web of Science")</f>
        <v>View Full Record in Web of Science</v>
      </c>
    </row>
    <row r="29" spans="1:72" x14ac:dyDescent="0.15">
      <c r="A29" t="s">
        <v>72</v>
      </c>
      <c r="B29" t="s">
        <v>715</v>
      </c>
      <c r="C29" t="s">
        <v>74</v>
      </c>
      <c r="D29" t="s">
        <v>74</v>
      </c>
      <c r="E29" t="s">
        <v>74</v>
      </c>
      <c r="F29" t="s">
        <v>716</v>
      </c>
      <c r="G29" t="s">
        <v>74</v>
      </c>
      <c r="H29" t="s">
        <v>74</v>
      </c>
      <c r="I29" t="s">
        <v>717</v>
      </c>
      <c r="J29" t="s">
        <v>718</v>
      </c>
      <c r="K29" t="s">
        <v>74</v>
      </c>
      <c r="L29" t="s">
        <v>74</v>
      </c>
      <c r="M29" t="s">
        <v>78</v>
      </c>
      <c r="N29" t="s">
        <v>79</v>
      </c>
      <c r="O29" t="s">
        <v>74</v>
      </c>
      <c r="P29" t="s">
        <v>74</v>
      </c>
      <c r="Q29" t="s">
        <v>74</v>
      </c>
      <c r="R29" t="s">
        <v>74</v>
      </c>
      <c r="S29" t="s">
        <v>74</v>
      </c>
      <c r="T29" t="s">
        <v>719</v>
      </c>
      <c r="U29" t="s">
        <v>720</v>
      </c>
      <c r="V29" t="s">
        <v>721</v>
      </c>
      <c r="W29" t="s">
        <v>722</v>
      </c>
      <c r="X29" t="s">
        <v>723</v>
      </c>
      <c r="Y29" t="s">
        <v>724</v>
      </c>
      <c r="Z29" t="s">
        <v>725</v>
      </c>
      <c r="AA29" t="s">
        <v>726</v>
      </c>
      <c r="AB29" t="s">
        <v>727</v>
      </c>
      <c r="AC29" t="s">
        <v>728</v>
      </c>
      <c r="AD29" t="s">
        <v>729</v>
      </c>
      <c r="AE29" t="s">
        <v>730</v>
      </c>
      <c r="AF29" t="s">
        <v>74</v>
      </c>
      <c r="AG29">
        <v>59</v>
      </c>
      <c r="AH29">
        <v>46</v>
      </c>
      <c r="AI29">
        <v>47</v>
      </c>
      <c r="AJ29">
        <v>0</v>
      </c>
      <c r="AK29">
        <v>34</v>
      </c>
      <c r="AL29" t="s">
        <v>257</v>
      </c>
      <c r="AM29" t="s">
        <v>215</v>
      </c>
      <c r="AN29" t="s">
        <v>216</v>
      </c>
      <c r="AO29" t="s">
        <v>731</v>
      </c>
      <c r="AP29" t="s">
        <v>732</v>
      </c>
      <c r="AQ29" t="s">
        <v>74</v>
      </c>
      <c r="AR29" t="s">
        <v>733</v>
      </c>
      <c r="AS29" t="s">
        <v>734</v>
      </c>
      <c r="AT29" t="s">
        <v>98</v>
      </c>
      <c r="AU29">
        <v>2013</v>
      </c>
      <c r="AV29">
        <v>33</v>
      </c>
      <c r="AW29">
        <v>2</v>
      </c>
      <c r="AX29" t="s">
        <v>74</v>
      </c>
      <c r="AY29" t="s">
        <v>74</v>
      </c>
      <c r="AZ29" t="s">
        <v>74</v>
      </c>
      <c r="BA29" t="s">
        <v>74</v>
      </c>
      <c r="BB29">
        <v>499</v>
      </c>
      <c r="BC29">
        <v>519</v>
      </c>
      <c r="BD29" t="s">
        <v>74</v>
      </c>
      <c r="BE29" t="s">
        <v>735</v>
      </c>
      <c r="BF29" t="str">
        <f>HYPERLINK("http://dx.doi.org/10.1002/joc.3443","http://dx.doi.org/10.1002/joc.3443")</f>
        <v>http://dx.doi.org/10.1002/joc.3443</v>
      </c>
      <c r="BG29" t="s">
        <v>74</v>
      </c>
      <c r="BH29" t="s">
        <v>74</v>
      </c>
      <c r="BI29">
        <v>21</v>
      </c>
      <c r="BJ29" t="s">
        <v>101</v>
      </c>
      <c r="BK29" t="s">
        <v>102</v>
      </c>
      <c r="BL29" t="s">
        <v>101</v>
      </c>
      <c r="BM29" t="s">
        <v>736</v>
      </c>
      <c r="BN29" t="s">
        <v>74</v>
      </c>
      <c r="BO29" t="s">
        <v>74</v>
      </c>
      <c r="BP29" t="s">
        <v>74</v>
      </c>
      <c r="BQ29" t="s">
        <v>74</v>
      </c>
      <c r="BR29" t="s">
        <v>105</v>
      </c>
      <c r="BS29" t="s">
        <v>737</v>
      </c>
      <c r="BT29" t="str">
        <f>HYPERLINK("https%3A%2F%2Fwww.webofscience.com%2Fwos%2Fwoscc%2Ffull-record%2FWOS:000313753900019","View Full Record in Web of Science")</f>
        <v>View Full Record in Web of Science</v>
      </c>
    </row>
    <row r="30" spans="1:72" x14ac:dyDescent="0.15">
      <c r="A30" t="s">
        <v>72</v>
      </c>
      <c r="B30" t="s">
        <v>738</v>
      </c>
      <c r="C30" t="s">
        <v>74</v>
      </c>
      <c r="D30" t="s">
        <v>74</v>
      </c>
      <c r="E30" t="s">
        <v>74</v>
      </c>
      <c r="F30" t="s">
        <v>739</v>
      </c>
      <c r="G30" t="s">
        <v>74</v>
      </c>
      <c r="H30" t="s">
        <v>74</v>
      </c>
      <c r="I30" t="s">
        <v>740</v>
      </c>
      <c r="J30" t="s">
        <v>741</v>
      </c>
      <c r="K30" t="s">
        <v>74</v>
      </c>
      <c r="L30" t="s">
        <v>74</v>
      </c>
      <c r="M30" t="s">
        <v>78</v>
      </c>
      <c r="N30" t="s">
        <v>79</v>
      </c>
      <c r="O30" t="s">
        <v>74</v>
      </c>
      <c r="P30" t="s">
        <v>74</v>
      </c>
      <c r="Q30" t="s">
        <v>74</v>
      </c>
      <c r="R30" t="s">
        <v>74</v>
      </c>
      <c r="S30" t="s">
        <v>74</v>
      </c>
      <c r="T30" t="s">
        <v>742</v>
      </c>
      <c r="U30" t="s">
        <v>743</v>
      </c>
      <c r="V30" t="s">
        <v>744</v>
      </c>
      <c r="W30" t="s">
        <v>745</v>
      </c>
      <c r="X30" t="s">
        <v>367</v>
      </c>
      <c r="Y30" t="s">
        <v>746</v>
      </c>
      <c r="Z30" t="s">
        <v>747</v>
      </c>
      <c r="AA30" t="s">
        <v>74</v>
      </c>
      <c r="AB30" t="s">
        <v>748</v>
      </c>
      <c r="AC30" t="s">
        <v>749</v>
      </c>
      <c r="AD30" t="s">
        <v>750</v>
      </c>
      <c r="AE30" t="s">
        <v>751</v>
      </c>
      <c r="AF30" t="s">
        <v>74</v>
      </c>
      <c r="AG30">
        <v>32</v>
      </c>
      <c r="AH30">
        <v>11</v>
      </c>
      <c r="AI30">
        <v>13</v>
      </c>
      <c r="AJ30">
        <v>0</v>
      </c>
      <c r="AK30">
        <v>43</v>
      </c>
      <c r="AL30" t="s">
        <v>397</v>
      </c>
      <c r="AM30" t="s">
        <v>398</v>
      </c>
      <c r="AN30" t="s">
        <v>399</v>
      </c>
      <c r="AO30" t="s">
        <v>752</v>
      </c>
      <c r="AP30" t="s">
        <v>74</v>
      </c>
      <c r="AQ30" t="s">
        <v>74</v>
      </c>
      <c r="AR30" t="s">
        <v>753</v>
      </c>
      <c r="AS30" t="s">
        <v>754</v>
      </c>
      <c r="AT30" t="s">
        <v>98</v>
      </c>
      <c r="AU30">
        <v>2013</v>
      </c>
      <c r="AV30">
        <v>183</v>
      </c>
      <c r="AW30">
        <v>2</v>
      </c>
      <c r="AX30" t="s">
        <v>74</v>
      </c>
      <c r="AY30" t="s">
        <v>74</v>
      </c>
      <c r="AZ30" t="s">
        <v>74</v>
      </c>
      <c r="BA30" t="s">
        <v>74</v>
      </c>
      <c r="BB30">
        <v>181</v>
      </c>
      <c r="BC30">
        <v>188</v>
      </c>
      <c r="BD30" t="s">
        <v>74</v>
      </c>
      <c r="BE30" t="s">
        <v>755</v>
      </c>
      <c r="BF30" t="str">
        <f>HYPERLINK("http://dx.doi.org/10.1007/s00360-012-0697-0","http://dx.doi.org/10.1007/s00360-012-0697-0")</f>
        <v>http://dx.doi.org/10.1007/s00360-012-0697-0</v>
      </c>
      <c r="BG30" t="s">
        <v>74</v>
      </c>
      <c r="BH30" t="s">
        <v>74</v>
      </c>
      <c r="BI30">
        <v>8</v>
      </c>
      <c r="BJ30" t="s">
        <v>756</v>
      </c>
      <c r="BK30" t="s">
        <v>102</v>
      </c>
      <c r="BL30" t="s">
        <v>756</v>
      </c>
      <c r="BM30" t="s">
        <v>757</v>
      </c>
      <c r="BN30">
        <v>22836298</v>
      </c>
      <c r="BO30" t="s">
        <v>74</v>
      </c>
      <c r="BP30" t="s">
        <v>74</v>
      </c>
      <c r="BQ30" t="s">
        <v>74</v>
      </c>
      <c r="BR30" t="s">
        <v>105</v>
      </c>
      <c r="BS30" t="s">
        <v>758</v>
      </c>
      <c r="BT30" t="str">
        <f>HYPERLINK("https%3A%2F%2Fwww.webofscience.com%2Fwos%2Fwoscc%2Ffull-record%2FWOS:000314273800002","View Full Record in Web of Science")</f>
        <v>View Full Record in Web of Science</v>
      </c>
    </row>
    <row r="31" spans="1:72" x14ac:dyDescent="0.15">
      <c r="A31" t="s">
        <v>72</v>
      </c>
      <c r="B31" t="s">
        <v>759</v>
      </c>
      <c r="C31" t="s">
        <v>74</v>
      </c>
      <c r="D31" t="s">
        <v>74</v>
      </c>
      <c r="E31" t="s">
        <v>74</v>
      </c>
      <c r="F31" t="s">
        <v>760</v>
      </c>
      <c r="G31" t="s">
        <v>74</v>
      </c>
      <c r="H31" t="s">
        <v>74</v>
      </c>
      <c r="I31" t="s">
        <v>761</v>
      </c>
      <c r="J31" t="s">
        <v>762</v>
      </c>
      <c r="K31" t="s">
        <v>74</v>
      </c>
      <c r="L31" t="s">
        <v>74</v>
      </c>
      <c r="M31" t="s">
        <v>78</v>
      </c>
      <c r="N31" t="s">
        <v>79</v>
      </c>
      <c r="O31" t="s">
        <v>74</v>
      </c>
      <c r="P31" t="s">
        <v>74</v>
      </c>
      <c r="Q31" t="s">
        <v>74</v>
      </c>
      <c r="R31" t="s">
        <v>74</v>
      </c>
      <c r="S31" t="s">
        <v>74</v>
      </c>
      <c r="T31" t="s">
        <v>763</v>
      </c>
      <c r="U31" t="s">
        <v>764</v>
      </c>
      <c r="V31" t="s">
        <v>765</v>
      </c>
      <c r="W31" t="s">
        <v>766</v>
      </c>
      <c r="X31" t="s">
        <v>767</v>
      </c>
      <c r="Y31" t="s">
        <v>768</v>
      </c>
      <c r="Z31" t="s">
        <v>769</v>
      </c>
      <c r="AA31" t="s">
        <v>770</v>
      </c>
      <c r="AB31" t="s">
        <v>74</v>
      </c>
      <c r="AC31" t="s">
        <v>74</v>
      </c>
      <c r="AD31" t="s">
        <v>74</v>
      </c>
      <c r="AE31" t="s">
        <v>74</v>
      </c>
      <c r="AF31" t="s">
        <v>74</v>
      </c>
      <c r="AG31">
        <v>35</v>
      </c>
      <c r="AH31">
        <v>2</v>
      </c>
      <c r="AI31">
        <v>2</v>
      </c>
      <c r="AJ31">
        <v>0</v>
      </c>
      <c r="AK31">
        <v>14</v>
      </c>
      <c r="AL31" t="s">
        <v>771</v>
      </c>
      <c r="AM31" t="s">
        <v>772</v>
      </c>
      <c r="AN31" t="s">
        <v>773</v>
      </c>
      <c r="AO31" t="s">
        <v>774</v>
      </c>
      <c r="AP31" t="s">
        <v>74</v>
      </c>
      <c r="AQ31" t="s">
        <v>74</v>
      </c>
      <c r="AR31" t="s">
        <v>775</v>
      </c>
      <c r="AS31" t="s">
        <v>776</v>
      </c>
      <c r="AT31" t="s">
        <v>98</v>
      </c>
      <c r="AU31">
        <v>2013</v>
      </c>
      <c r="AV31">
        <v>17</v>
      </c>
      <c r="AW31">
        <v>2</v>
      </c>
      <c r="AX31" t="s">
        <v>74</v>
      </c>
      <c r="AY31" t="s">
        <v>74</v>
      </c>
      <c r="AZ31" t="s">
        <v>74</v>
      </c>
      <c r="BA31" t="s">
        <v>74</v>
      </c>
      <c r="BB31">
        <v>8</v>
      </c>
      <c r="BC31">
        <v>12</v>
      </c>
      <c r="BD31" t="s">
        <v>74</v>
      </c>
      <c r="BE31" t="s">
        <v>74</v>
      </c>
      <c r="BF31" t="s">
        <v>74</v>
      </c>
      <c r="BG31" t="s">
        <v>74</v>
      </c>
      <c r="BH31" t="s">
        <v>74</v>
      </c>
      <c r="BI31">
        <v>5</v>
      </c>
      <c r="BJ31" t="s">
        <v>777</v>
      </c>
      <c r="BK31" t="s">
        <v>102</v>
      </c>
      <c r="BL31" t="s">
        <v>778</v>
      </c>
      <c r="BM31" t="s">
        <v>779</v>
      </c>
      <c r="BN31" t="s">
        <v>74</v>
      </c>
      <c r="BO31" t="s">
        <v>74</v>
      </c>
      <c r="BP31" t="s">
        <v>74</v>
      </c>
      <c r="BQ31" t="s">
        <v>74</v>
      </c>
      <c r="BR31" t="s">
        <v>105</v>
      </c>
      <c r="BS31" t="s">
        <v>780</v>
      </c>
      <c r="BT31" t="str">
        <f>HYPERLINK("https%3A%2F%2Fwww.webofscience.com%2Fwos%2Fwoscc%2Ffull-record%2FWOS:000314032100003","View Full Record in Web of Science")</f>
        <v>View Full Record in Web of Science</v>
      </c>
    </row>
    <row r="32" spans="1:72" x14ac:dyDescent="0.15">
      <c r="A32" t="s">
        <v>72</v>
      </c>
      <c r="B32" t="s">
        <v>781</v>
      </c>
      <c r="C32" t="s">
        <v>74</v>
      </c>
      <c r="D32" t="s">
        <v>74</v>
      </c>
      <c r="E32" t="s">
        <v>74</v>
      </c>
      <c r="F32" t="s">
        <v>781</v>
      </c>
      <c r="G32" t="s">
        <v>74</v>
      </c>
      <c r="H32" t="s">
        <v>74</v>
      </c>
      <c r="I32" t="s">
        <v>782</v>
      </c>
      <c r="J32" t="s">
        <v>783</v>
      </c>
      <c r="K32" t="s">
        <v>74</v>
      </c>
      <c r="L32" t="s">
        <v>74</v>
      </c>
      <c r="M32" t="s">
        <v>78</v>
      </c>
      <c r="N32" t="s">
        <v>784</v>
      </c>
      <c r="O32" t="s">
        <v>74</v>
      </c>
      <c r="P32" t="s">
        <v>74</v>
      </c>
      <c r="Q32" t="s">
        <v>74</v>
      </c>
      <c r="R32" t="s">
        <v>74</v>
      </c>
      <c r="S32" t="s">
        <v>74</v>
      </c>
      <c r="T32" t="s">
        <v>74</v>
      </c>
      <c r="U32" t="s">
        <v>74</v>
      </c>
      <c r="V32" t="s">
        <v>74</v>
      </c>
      <c r="W32" t="s">
        <v>74</v>
      </c>
      <c r="X32" t="s">
        <v>74</v>
      </c>
      <c r="Y32" t="s">
        <v>74</v>
      </c>
      <c r="Z32" t="s">
        <v>74</v>
      </c>
      <c r="AA32" t="s">
        <v>74</v>
      </c>
      <c r="AB32" t="s">
        <v>74</v>
      </c>
      <c r="AC32" t="s">
        <v>74</v>
      </c>
      <c r="AD32" t="s">
        <v>74</v>
      </c>
      <c r="AE32" t="s">
        <v>74</v>
      </c>
      <c r="AF32" t="s">
        <v>74</v>
      </c>
      <c r="AG32">
        <v>0</v>
      </c>
      <c r="AH32">
        <v>0</v>
      </c>
      <c r="AI32">
        <v>0</v>
      </c>
      <c r="AJ32">
        <v>0</v>
      </c>
      <c r="AK32">
        <v>5</v>
      </c>
      <c r="AL32" t="s">
        <v>785</v>
      </c>
      <c r="AM32" t="s">
        <v>786</v>
      </c>
      <c r="AN32" t="s">
        <v>787</v>
      </c>
      <c r="AO32" t="s">
        <v>788</v>
      </c>
      <c r="AP32" t="s">
        <v>789</v>
      </c>
      <c r="AQ32" t="s">
        <v>74</v>
      </c>
      <c r="AR32" t="s">
        <v>783</v>
      </c>
      <c r="AS32" t="s">
        <v>790</v>
      </c>
      <c r="AT32" t="s">
        <v>791</v>
      </c>
      <c r="AU32">
        <v>2013</v>
      </c>
      <c r="AV32">
        <v>339</v>
      </c>
      <c r="AW32">
        <v>6119</v>
      </c>
      <c r="AX32" t="s">
        <v>74</v>
      </c>
      <c r="AY32" t="s">
        <v>74</v>
      </c>
      <c r="AZ32" t="s">
        <v>74</v>
      </c>
      <c r="BA32" t="s">
        <v>74</v>
      </c>
      <c r="BB32">
        <v>494</v>
      </c>
      <c r="BC32">
        <v>494</v>
      </c>
      <c r="BD32" t="s">
        <v>74</v>
      </c>
      <c r="BE32" t="s">
        <v>74</v>
      </c>
      <c r="BF32" t="s">
        <v>74</v>
      </c>
      <c r="BG32" t="s">
        <v>74</v>
      </c>
      <c r="BH32" t="s">
        <v>74</v>
      </c>
      <c r="BI32">
        <v>1</v>
      </c>
      <c r="BJ32" t="s">
        <v>328</v>
      </c>
      <c r="BK32" t="s">
        <v>102</v>
      </c>
      <c r="BL32" t="s">
        <v>329</v>
      </c>
      <c r="BM32" t="s">
        <v>792</v>
      </c>
      <c r="BN32" t="s">
        <v>74</v>
      </c>
      <c r="BO32" t="s">
        <v>74</v>
      </c>
      <c r="BP32" t="s">
        <v>74</v>
      </c>
      <c r="BQ32" t="s">
        <v>74</v>
      </c>
      <c r="BR32" t="s">
        <v>105</v>
      </c>
      <c r="BS32" t="s">
        <v>793</v>
      </c>
      <c r="BT32" t="str">
        <f>HYPERLINK("https%3A%2F%2Fwww.webofscience.com%2Fwos%2Fwoscc%2Ffull-record%2FWOS:000314270000002","View Full Record in Web of Science")</f>
        <v>View Full Record in Web of Science</v>
      </c>
    </row>
    <row r="33" spans="1:72" x14ac:dyDescent="0.15">
      <c r="A33" t="s">
        <v>72</v>
      </c>
      <c r="B33" t="s">
        <v>781</v>
      </c>
      <c r="C33" t="s">
        <v>74</v>
      </c>
      <c r="D33" t="s">
        <v>74</v>
      </c>
      <c r="E33" t="s">
        <v>74</v>
      </c>
      <c r="F33" t="s">
        <v>781</v>
      </c>
      <c r="G33" t="s">
        <v>74</v>
      </c>
      <c r="H33" t="s">
        <v>74</v>
      </c>
      <c r="I33" t="s">
        <v>794</v>
      </c>
      <c r="J33" t="s">
        <v>795</v>
      </c>
      <c r="K33" t="s">
        <v>74</v>
      </c>
      <c r="L33" t="s">
        <v>74</v>
      </c>
      <c r="M33" t="s">
        <v>78</v>
      </c>
      <c r="N33" t="s">
        <v>784</v>
      </c>
      <c r="O33" t="s">
        <v>74</v>
      </c>
      <c r="P33" t="s">
        <v>74</v>
      </c>
      <c r="Q33" t="s">
        <v>74</v>
      </c>
      <c r="R33" t="s">
        <v>74</v>
      </c>
      <c r="S33" t="s">
        <v>74</v>
      </c>
      <c r="T33" t="s">
        <v>74</v>
      </c>
      <c r="U33" t="s">
        <v>74</v>
      </c>
      <c r="V33" t="s">
        <v>74</v>
      </c>
      <c r="W33" t="s">
        <v>74</v>
      </c>
      <c r="X33" t="s">
        <v>74</v>
      </c>
      <c r="Y33" t="s">
        <v>74</v>
      </c>
      <c r="Z33" t="s">
        <v>74</v>
      </c>
      <c r="AA33" t="s">
        <v>74</v>
      </c>
      <c r="AB33" t="s">
        <v>74</v>
      </c>
      <c r="AC33" t="s">
        <v>74</v>
      </c>
      <c r="AD33" t="s">
        <v>74</v>
      </c>
      <c r="AE33" t="s">
        <v>74</v>
      </c>
      <c r="AF33" t="s">
        <v>74</v>
      </c>
      <c r="AG33">
        <v>0</v>
      </c>
      <c r="AH33">
        <v>0</v>
      </c>
      <c r="AI33">
        <v>0</v>
      </c>
      <c r="AJ33">
        <v>0</v>
      </c>
      <c r="AK33">
        <v>0</v>
      </c>
      <c r="AL33" t="s">
        <v>214</v>
      </c>
      <c r="AM33" t="s">
        <v>215</v>
      </c>
      <c r="AN33" t="s">
        <v>216</v>
      </c>
      <c r="AO33" t="s">
        <v>796</v>
      </c>
      <c r="AP33" t="s">
        <v>74</v>
      </c>
      <c r="AQ33" t="s">
        <v>74</v>
      </c>
      <c r="AR33" t="s">
        <v>795</v>
      </c>
      <c r="AS33" t="s">
        <v>797</v>
      </c>
      <c r="AT33" t="s">
        <v>98</v>
      </c>
      <c r="AU33">
        <v>2013</v>
      </c>
      <c r="AV33">
        <v>68</v>
      </c>
      <c r="AW33">
        <v>2</v>
      </c>
      <c r="AX33" t="s">
        <v>74</v>
      </c>
      <c r="AY33" t="s">
        <v>74</v>
      </c>
      <c r="AZ33" t="s">
        <v>74</v>
      </c>
      <c r="BA33" t="s">
        <v>74</v>
      </c>
      <c r="BB33">
        <v>30</v>
      </c>
      <c r="BC33">
        <v>30</v>
      </c>
      <c r="BD33" t="s">
        <v>74</v>
      </c>
      <c r="BE33" t="s">
        <v>74</v>
      </c>
      <c r="BF33" t="s">
        <v>74</v>
      </c>
      <c r="BG33" t="s">
        <v>74</v>
      </c>
      <c r="BH33" t="s">
        <v>74</v>
      </c>
      <c r="BI33">
        <v>1</v>
      </c>
      <c r="BJ33" t="s">
        <v>101</v>
      </c>
      <c r="BK33" t="s">
        <v>102</v>
      </c>
      <c r="BL33" t="s">
        <v>101</v>
      </c>
      <c r="BM33" t="s">
        <v>798</v>
      </c>
      <c r="BN33" t="s">
        <v>74</v>
      </c>
      <c r="BO33" t="s">
        <v>74</v>
      </c>
      <c r="BP33" t="s">
        <v>74</v>
      </c>
      <c r="BQ33" t="s">
        <v>74</v>
      </c>
      <c r="BR33" t="s">
        <v>105</v>
      </c>
      <c r="BS33" t="s">
        <v>799</v>
      </c>
      <c r="BT33" t="str">
        <f>HYPERLINK("https%3A%2F%2Fwww.webofscience.com%2Fwos%2Fwoscc%2Ffull-record%2FWOS:000314185700002","View Full Record in Web of Science")</f>
        <v>View Full Record in Web of Science</v>
      </c>
    </row>
    <row r="34" spans="1:72" x14ac:dyDescent="0.15">
      <c r="A34" t="s">
        <v>72</v>
      </c>
      <c r="B34" t="s">
        <v>800</v>
      </c>
      <c r="C34" t="s">
        <v>74</v>
      </c>
      <c r="D34" t="s">
        <v>74</v>
      </c>
      <c r="E34" t="s">
        <v>74</v>
      </c>
      <c r="F34" t="s">
        <v>801</v>
      </c>
      <c r="G34" t="s">
        <v>74</v>
      </c>
      <c r="H34" t="s">
        <v>74</v>
      </c>
      <c r="I34" t="s">
        <v>802</v>
      </c>
      <c r="J34" t="s">
        <v>803</v>
      </c>
      <c r="K34" t="s">
        <v>74</v>
      </c>
      <c r="L34" t="s">
        <v>74</v>
      </c>
      <c r="M34" t="s">
        <v>78</v>
      </c>
      <c r="N34" t="s">
        <v>79</v>
      </c>
      <c r="O34" t="s">
        <v>74</v>
      </c>
      <c r="P34" t="s">
        <v>74</v>
      </c>
      <c r="Q34" t="s">
        <v>74</v>
      </c>
      <c r="R34" t="s">
        <v>74</v>
      </c>
      <c r="S34" t="s">
        <v>74</v>
      </c>
      <c r="T34" t="s">
        <v>804</v>
      </c>
      <c r="U34" t="s">
        <v>805</v>
      </c>
      <c r="V34" t="s">
        <v>806</v>
      </c>
      <c r="W34" t="s">
        <v>807</v>
      </c>
      <c r="X34" t="s">
        <v>808</v>
      </c>
      <c r="Y34" t="s">
        <v>809</v>
      </c>
      <c r="Z34" t="s">
        <v>810</v>
      </c>
      <c r="AA34" t="s">
        <v>811</v>
      </c>
      <c r="AB34" t="s">
        <v>812</v>
      </c>
      <c r="AC34" t="s">
        <v>813</v>
      </c>
      <c r="AD34" t="s">
        <v>814</v>
      </c>
      <c r="AE34" t="s">
        <v>815</v>
      </c>
      <c r="AF34" t="s">
        <v>74</v>
      </c>
      <c r="AG34">
        <v>46</v>
      </c>
      <c r="AH34">
        <v>24</v>
      </c>
      <c r="AI34">
        <v>24</v>
      </c>
      <c r="AJ34">
        <v>1</v>
      </c>
      <c r="AK34">
        <v>44</v>
      </c>
      <c r="AL34" t="s">
        <v>816</v>
      </c>
      <c r="AM34" t="s">
        <v>296</v>
      </c>
      <c r="AN34" t="s">
        <v>817</v>
      </c>
      <c r="AO34" t="s">
        <v>818</v>
      </c>
      <c r="AP34" t="s">
        <v>819</v>
      </c>
      <c r="AQ34" t="s">
        <v>74</v>
      </c>
      <c r="AR34" t="s">
        <v>820</v>
      </c>
      <c r="AS34" t="s">
        <v>821</v>
      </c>
      <c r="AT34" t="s">
        <v>98</v>
      </c>
      <c r="AU34">
        <v>2013</v>
      </c>
      <c r="AV34">
        <v>25</v>
      </c>
      <c r="AW34">
        <v>1</v>
      </c>
      <c r="AX34" t="s">
        <v>74</v>
      </c>
      <c r="AY34" t="s">
        <v>74</v>
      </c>
      <c r="AZ34" t="s">
        <v>74</v>
      </c>
      <c r="BA34" t="s">
        <v>74</v>
      </c>
      <c r="BB34">
        <v>11</v>
      </c>
      <c r="BC34">
        <v>18</v>
      </c>
      <c r="BD34" t="s">
        <v>74</v>
      </c>
      <c r="BE34" t="s">
        <v>822</v>
      </c>
      <c r="BF34" t="str">
        <f>HYPERLINK("http://dx.doi.org/10.1017/S0954102012000648","http://dx.doi.org/10.1017/S0954102012000648")</f>
        <v>http://dx.doi.org/10.1017/S0954102012000648</v>
      </c>
      <c r="BG34" t="s">
        <v>74</v>
      </c>
      <c r="BH34" t="s">
        <v>74</v>
      </c>
      <c r="BI34">
        <v>8</v>
      </c>
      <c r="BJ34" t="s">
        <v>823</v>
      </c>
      <c r="BK34" t="s">
        <v>102</v>
      </c>
      <c r="BL34" t="s">
        <v>824</v>
      </c>
      <c r="BM34" t="s">
        <v>825</v>
      </c>
      <c r="BN34" t="s">
        <v>74</v>
      </c>
      <c r="BO34" t="s">
        <v>155</v>
      </c>
      <c r="BP34" t="s">
        <v>74</v>
      </c>
      <c r="BQ34" t="s">
        <v>74</v>
      </c>
      <c r="BR34" t="s">
        <v>105</v>
      </c>
      <c r="BS34" t="s">
        <v>826</v>
      </c>
      <c r="BT34" t="str">
        <f>HYPERLINK("https%3A%2F%2Fwww.webofscience.com%2Fwos%2Fwoscc%2Ffull-record%2FWOS:000314147700003","View Full Record in Web of Science")</f>
        <v>View Full Record in Web of Science</v>
      </c>
    </row>
    <row r="35" spans="1:72" x14ac:dyDescent="0.15">
      <c r="A35" t="s">
        <v>72</v>
      </c>
      <c r="B35" t="s">
        <v>827</v>
      </c>
      <c r="C35" t="s">
        <v>74</v>
      </c>
      <c r="D35" t="s">
        <v>74</v>
      </c>
      <c r="E35" t="s">
        <v>74</v>
      </c>
      <c r="F35" t="s">
        <v>828</v>
      </c>
      <c r="G35" t="s">
        <v>74</v>
      </c>
      <c r="H35" t="s">
        <v>74</v>
      </c>
      <c r="I35" t="s">
        <v>829</v>
      </c>
      <c r="J35" t="s">
        <v>803</v>
      </c>
      <c r="K35" t="s">
        <v>74</v>
      </c>
      <c r="L35" t="s">
        <v>74</v>
      </c>
      <c r="M35" t="s">
        <v>78</v>
      </c>
      <c r="N35" t="s">
        <v>79</v>
      </c>
      <c r="O35" t="s">
        <v>74</v>
      </c>
      <c r="P35" t="s">
        <v>74</v>
      </c>
      <c r="Q35" t="s">
        <v>74</v>
      </c>
      <c r="R35" t="s">
        <v>74</v>
      </c>
      <c r="S35" t="s">
        <v>74</v>
      </c>
      <c r="T35" t="s">
        <v>830</v>
      </c>
      <c r="U35" t="s">
        <v>831</v>
      </c>
      <c r="V35" t="s">
        <v>832</v>
      </c>
      <c r="W35" t="s">
        <v>833</v>
      </c>
      <c r="X35" t="s">
        <v>834</v>
      </c>
      <c r="Y35" t="s">
        <v>835</v>
      </c>
      <c r="Z35" t="s">
        <v>836</v>
      </c>
      <c r="AA35" t="s">
        <v>837</v>
      </c>
      <c r="AB35" t="s">
        <v>838</v>
      </c>
      <c r="AC35" t="s">
        <v>839</v>
      </c>
      <c r="AD35" t="s">
        <v>840</v>
      </c>
      <c r="AE35" t="s">
        <v>841</v>
      </c>
      <c r="AF35" t="s">
        <v>74</v>
      </c>
      <c r="AG35">
        <v>67</v>
      </c>
      <c r="AH35">
        <v>24</v>
      </c>
      <c r="AI35">
        <v>24</v>
      </c>
      <c r="AJ35">
        <v>2</v>
      </c>
      <c r="AK35">
        <v>36</v>
      </c>
      <c r="AL35" t="s">
        <v>816</v>
      </c>
      <c r="AM35" t="s">
        <v>296</v>
      </c>
      <c r="AN35" t="s">
        <v>817</v>
      </c>
      <c r="AO35" t="s">
        <v>818</v>
      </c>
      <c r="AP35" t="s">
        <v>819</v>
      </c>
      <c r="AQ35" t="s">
        <v>74</v>
      </c>
      <c r="AR35" t="s">
        <v>820</v>
      </c>
      <c r="AS35" t="s">
        <v>821</v>
      </c>
      <c r="AT35" t="s">
        <v>98</v>
      </c>
      <c r="AU35">
        <v>2013</v>
      </c>
      <c r="AV35">
        <v>25</v>
      </c>
      <c r="AW35">
        <v>1</v>
      </c>
      <c r="AX35" t="s">
        <v>74</v>
      </c>
      <c r="AY35" t="s">
        <v>74</v>
      </c>
      <c r="AZ35" t="s">
        <v>74</v>
      </c>
      <c r="BA35" t="s">
        <v>74</v>
      </c>
      <c r="BB35">
        <v>31</v>
      </c>
      <c r="BC35">
        <v>43</v>
      </c>
      <c r="BD35" t="s">
        <v>74</v>
      </c>
      <c r="BE35" t="s">
        <v>842</v>
      </c>
      <c r="BF35" t="str">
        <f>HYPERLINK("http://dx.doi.org/10.1017/S0954102012000697","http://dx.doi.org/10.1017/S0954102012000697")</f>
        <v>http://dx.doi.org/10.1017/S0954102012000697</v>
      </c>
      <c r="BG35" t="s">
        <v>74</v>
      </c>
      <c r="BH35" t="s">
        <v>74</v>
      </c>
      <c r="BI35">
        <v>13</v>
      </c>
      <c r="BJ35" t="s">
        <v>823</v>
      </c>
      <c r="BK35" t="s">
        <v>102</v>
      </c>
      <c r="BL35" t="s">
        <v>824</v>
      </c>
      <c r="BM35" t="s">
        <v>825</v>
      </c>
      <c r="BN35" t="s">
        <v>74</v>
      </c>
      <c r="BO35" t="s">
        <v>74</v>
      </c>
      <c r="BP35" t="s">
        <v>74</v>
      </c>
      <c r="BQ35" t="s">
        <v>74</v>
      </c>
      <c r="BR35" t="s">
        <v>105</v>
      </c>
      <c r="BS35" t="s">
        <v>843</v>
      </c>
      <c r="BT35" t="str">
        <f>HYPERLINK("https%3A%2F%2Fwww.webofscience.com%2Fwos%2Fwoscc%2Ffull-record%2FWOS:000314147700006","View Full Record in Web of Science")</f>
        <v>View Full Record in Web of Science</v>
      </c>
    </row>
    <row r="36" spans="1:72" x14ac:dyDescent="0.15">
      <c r="A36" t="s">
        <v>72</v>
      </c>
      <c r="B36" t="s">
        <v>844</v>
      </c>
      <c r="C36" t="s">
        <v>74</v>
      </c>
      <c r="D36" t="s">
        <v>74</v>
      </c>
      <c r="E36" t="s">
        <v>74</v>
      </c>
      <c r="F36" t="s">
        <v>845</v>
      </c>
      <c r="G36" t="s">
        <v>74</v>
      </c>
      <c r="H36" t="s">
        <v>74</v>
      </c>
      <c r="I36" t="s">
        <v>846</v>
      </c>
      <c r="J36" t="s">
        <v>803</v>
      </c>
      <c r="K36" t="s">
        <v>74</v>
      </c>
      <c r="L36" t="s">
        <v>74</v>
      </c>
      <c r="M36" t="s">
        <v>78</v>
      </c>
      <c r="N36" t="s">
        <v>79</v>
      </c>
      <c r="O36" t="s">
        <v>74</v>
      </c>
      <c r="P36" t="s">
        <v>74</v>
      </c>
      <c r="Q36" t="s">
        <v>74</v>
      </c>
      <c r="R36" t="s">
        <v>74</v>
      </c>
      <c r="S36" t="s">
        <v>74</v>
      </c>
      <c r="T36" t="s">
        <v>847</v>
      </c>
      <c r="U36" t="s">
        <v>848</v>
      </c>
      <c r="V36" t="s">
        <v>849</v>
      </c>
      <c r="W36" t="s">
        <v>850</v>
      </c>
      <c r="X36" t="s">
        <v>851</v>
      </c>
      <c r="Y36" t="s">
        <v>852</v>
      </c>
      <c r="Z36" t="s">
        <v>853</v>
      </c>
      <c r="AA36" t="s">
        <v>854</v>
      </c>
      <c r="AB36" t="s">
        <v>855</v>
      </c>
      <c r="AC36" t="s">
        <v>856</v>
      </c>
      <c r="AD36" t="s">
        <v>857</v>
      </c>
      <c r="AE36" t="s">
        <v>858</v>
      </c>
      <c r="AF36" t="s">
        <v>74</v>
      </c>
      <c r="AG36">
        <v>15</v>
      </c>
      <c r="AH36">
        <v>9</v>
      </c>
      <c r="AI36">
        <v>11</v>
      </c>
      <c r="AJ36">
        <v>2</v>
      </c>
      <c r="AK36">
        <v>54</v>
      </c>
      <c r="AL36" t="s">
        <v>816</v>
      </c>
      <c r="AM36" t="s">
        <v>296</v>
      </c>
      <c r="AN36" t="s">
        <v>817</v>
      </c>
      <c r="AO36" t="s">
        <v>818</v>
      </c>
      <c r="AP36" t="s">
        <v>819</v>
      </c>
      <c r="AQ36" t="s">
        <v>74</v>
      </c>
      <c r="AR36" t="s">
        <v>820</v>
      </c>
      <c r="AS36" t="s">
        <v>821</v>
      </c>
      <c r="AT36" t="s">
        <v>98</v>
      </c>
      <c r="AU36">
        <v>2013</v>
      </c>
      <c r="AV36">
        <v>25</v>
      </c>
      <c r="AW36">
        <v>1</v>
      </c>
      <c r="AX36" t="s">
        <v>74</v>
      </c>
      <c r="AY36" t="s">
        <v>74</v>
      </c>
      <c r="AZ36" t="s">
        <v>74</v>
      </c>
      <c r="BA36" t="s">
        <v>74</v>
      </c>
      <c r="BB36">
        <v>51</v>
      </c>
      <c r="BC36">
        <v>54</v>
      </c>
      <c r="BD36" t="s">
        <v>74</v>
      </c>
      <c r="BE36" t="s">
        <v>859</v>
      </c>
      <c r="BF36" t="str">
        <f>HYPERLINK("http://dx.doi.org/10.1017/S0954102012000806","http://dx.doi.org/10.1017/S0954102012000806")</f>
        <v>http://dx.doi.org/10.1017/S0954102012000806</v>
      </c>
      <c r="BG36" t="s">
        <v>74</v>
      </c>
      <c r="BH36" t="s">
        <v>74</v>
      </c>
      <c r="BI36">
        <v>4</v>
      </c>
      <c r="BJ36" t="s">
        <v>823</v>
      </c>
      <c r="BK36" t="s">
        <v>102</v>
      </c>
      <c r="BL36" t="s">
        <v>824</v>
      </c>
      <c r="BM36" t="s">
        <v>825</v>
      </c>
      <c r="BN36" t="s">
        <v>74</v>
      </c>
      <c r="BO36" t="s">
        <v>74</v>
      </c>
      <c r="BP36" t="s">
        <v>74</v>
      </c>
      <c r="BQ36" t="s">
        <v>74</v>
      </c>
      <c r="BR36" t="s">
        <v>105</v>
      </c>
      <c r="BS36" t="s">
        <v>860</v>
      </c>
      <c r="BT36" t="str">
        <f>HYPERLINK("https%3A%2F%2Fwww.webofscience.com%2Fwos%2Fwoscc%2Ffull-record%2FWOS:000314147700008","View Full Record in Web of Science")</f>
        <v>View Full Record in Web of Science</v>
      </c>
    </row>
    <row r="37" spans="1:72" x14ac:dyDescent="0.15">
      <c r="A37" t="s">
        <v>72</v>
      </c>
      <c r="B37" t="s">
        <v>861</v>
      </c>
      <c r="C37" t="s">
        <v>74</v>
      </c>
      <c r="D37" t="s">
        <v>74</v>
      </c>
      <c r="E37" t="s">
        <v>74</v>
      </c>
      <c r="F37" t="s">
        <v>862</v>
      </c>
      <c r="G37" t="s">
        <v>74</v>
      </c>
      <c r="H37" t="s">
        <v>74</v>
      </c>
      <c r="I37" t="s">
        <v>863</v>
      </c>
      <c r="J37" t="s">
        <v>803</v>
      </c>
      <c r="K37" t="s">
        <v>74</v>
      </c>
      <c r="L37" t="s">
        <v>74</v>
      </c>
      <c r="M37" t="s">
        <v>78</v>
      </c>
      <c r="N37" t="s">
        <v>79</v>
      </c>
      <c r="O37" t="s">
        <v>74</v>
      </c>
      <c r="P37" t="s">
        <v>74</v>
      </c>
      <c r="Q37" t="s">
        <v>74</v>
      </c>
      <c r="R37" t="s">
        <v>74</v>
      </c>
      <c r="S37" t="s">
        <v>74</v>
      </c>
      <c r="T37" t="s">
        <v>864</v>
      </c>
      <c r="U37" t="s">
        <v>865</v>
      </c>
      <c r="V37" t="s">
        <v>866</v>
      </c>
      <c r="W37" t="s">
        <v>867</v>
      </c>
      <c r="X37" t="s">
        <v>868</v>
      </c>
      <c r="Y37" t="s">
        <v>869</v>
      </c>
      <c r="Z37" t="s">
        <v>870</v>
      </c>
      <c r="AA37" t="s">
        <v>871</v>
      </c>
      <c r="AB37" t="s">
        <v>872</v>
      </c>
      <c r="AC37" t="s">
        <v>873</v>
      </c>
      <c r="AD37" t="s">
        <v>874</v>
      </c>
      <c r="AE37" t="s">
        <v>875</v>
      </c>
      <c r="AF37" t="s">
        <v>74</v>
      </c>
      <c r="AG37">
        <v>39</v>
      </c>
      <c r="AH37">
        <v>11</v>
      </c>
      <c r="AI37">
        <v>12</v>
      </c>
      <c r="AJ37">
        <v>3</v>
      </c>
      <c r="AK37">
        <v>56</v>
      </c>
      <c r="AL37" t="s">
        <v>816</v>
      </c>
      <c r="AM37" t="s">
        <v>296</v>
      </c>
      <c r="AN37" t="s">
        <v>817</v>
      </c>
      <c r="AO37" t="s">
        <v>818</v>
      </c>
      <c r="AP37" t="s">
        <v>819</v>
      </c>
      <c r="AQ37" t="s">
        <v>74</v>
      </c>
      <c r="AR37" t="s">
        <v>820</v>
      </c>
      <c r="AS37" t="s">
        <v>821</v>
      </c>
      <c r="AT37" t="s">
        <v>98</v>
      </c>
      <c r="AU37">
        <v>2013</v>
      </c>
      <c r="AV37">
        <v>25</v>
      </c>
      <c r="AW37">
        <v>1</v>
      </c>
      <c r="AX37" t="s">
        <v>74</v>
      </c>
      <c r="AY37" t="s">
        <v>74</v>
      </c>
      <c r="AZ37" t="s">
        <v>74</v>
      </c>
      <c r="BA37" t="s">
        <v>74</v>
      </c>
      <c r="BB37">
        <v>55</v>
      </c>
      <c r="BC37">
        <v>61</v>
      </c>
      <c r="BD37" t="s">
        <v>74</v>
      </c>
      <c r="BE37" t="s">
        <v>876</v>
      </c>
      <c r="BF37" t="str">
        <f>HYPERLINK("http://dx.doi.org/10.1017/S0954102012000855","http://dx.doi.org/10.1017/S0954102012000855")</f>
        <v>http://dx.doi.org/10.1017/S0954102012000855</v>
      </c>
      <c r="BG37" t="s">
        <v>74</v>
      </c>
      <c r="BH37" t="s">
        <v>74</v>
      </c>
      <c r="BI37">
        <v>7</v>
      </c>
      <c r="BJ37" t="s">
        <v>823</v>
      </c>
      <c r="BK37" t="s">
        <v>102</v>
      </c>
      <c r="BL37" t="s">
        <v>824</v>
      </c>
      <c r="BM37" t="s">
        <v>825</v>
      </c>
      <c r="BN37" t="s">
        <v>74</v>
      </c>
      <c r="BO37" t="s">
        <v>74</v>
      </c>
      <c r="BP37" t="s">
        <v>74</v>
      </c>
      <c r="BQ37" t="s">
        <v>74</v>
      </c>
      <c r="BR37" t="s">
        <v>105</v>
      </c>
      <c r="BS37" t="s">
        <v>877</v>
      </c>
      <c r="BT37" t="str">
        <f>HYPERLINK("https%3A%2F%2Fwww.webofscience.com%2Fwos%2Fwoscc%2Ffull-record%2FWOS:000314147700009","View Full Record in Web of Science")</f>
        <v>View Full Record in Web of Science</v>
      </c>
    </row>
    <row r="38" spans="1:72" x14ac:dyDescent="0.15">
      <c r="A38" t="s">
        <v>72</v>
      </c>
      <c r="B38" t="s">
        <v>878</v>
      </c>
      <c r="C38" t="s">
        <v>74</v>
      </c>
      <c r="D38" t="s">
        <v>74</v>
      </c>
      <c r="E38" t="s">
        <v>74</v>
      </c>
      <c r="F38" t="s">
        <v>879</v>
      </c>
      <c r="G38" t="s">
        <v>74</v>
      </c>
      <c r="H38" t="s">
        <v>74</v>
      </c>
      <c r="I38" t="s">
        <v>880</v>
      </c>
      <c r="J38" t="s">
        <v>803</v>
      </c>
      <c r="K38" t="s">
        <v>74</v>
      </c>
      <c r="L38" t="s">
        <v>74</v>
      </c>
      <c r="M38" t="s">
        <v>78</v>
      </c>
      <c r="N38" t="s">
        <v>79</v>
      </c>
      <c r="O38" t="s">
        <v>74</v>
      </c>
      <c r="P38" t="s">
        <v>74</v>
      </c>
      <c r="Q38" t="s">
        <v>74</v>
      </c>
      <c r="R38" t="s">
        <v>74</v>
      </c>
      <c r="S38" t="s">
        <v>74</v>
      </c>
      <c r="T38" t="s">
        <v>74</v>
      </c>
      <c r="U38" t="s">
        <v>74</v>
      </c>
      <c r="V38" t="s">
        <v>74</v>
      </c>
      <c r="W38" t="s">
        <v>881</v>
      </c>
      <c r="X38" t="s">
        <v>882</v>
      </c>
      <c r="Y38" t="s">
        <v>883</v>
      </c>
      <c r="Z38" t="s">
        <v>884</v>
      </c>
      <c r="AA38" t="s">
        <v>74</v>
      </c>
      <c r="AB38" t="s">
        <v>74</v>
      </c>
      <c r="AC38" t="s">
        <v>885</v>
      </c>
      <c r="AD38" t="s">
        <v>885</v>
      </c>
      <c r="AE38" t="s">
        <v>886</v>
      </c>
      <c r="AF38" t="s">
        <v>74</v>
      </c>
      <c r="AG38">
        <v>7</v>
      </c>
      <c r="AH38">
        <v>1</v>
      </c>
      <c r="AI38">
        <v>1</v>
      </c>
      <c r="AJ38">
        <v>0</v>
      </c>
      <c r="AK38">
        <v>8</v>
      </c>
      <c r="AL38" t="s">
        <v>816</v>
      </c>
      <c r="AM38" t="s">
        <v>296</v>
      </c>
      <c r="AN38" t="s">
        <v>817</v>
      </c>
      <c r="AO38" t="s">
        <v>818</v>
      </c>
      <c r="AP38" t="s">
        <v>819</v>
      </c>
      <c r="AQ38" t="s">
        <v>74</v>
      </c>
      <c r="AR38" t="s">
        <v>820</v>
      </c>
      <c r="AS38" t="s">
        <v>821</v>
      </c>
      <c r="AT38" t="s">
        <v>98</v>
      </c>
      <c r="AU38">
        <v>2013</v>
      </c>
      <c r="AV38">
        <v>25</v>
      </c>
      <c r="AW38">
        <v>1</v>
      </c>
      <c r="AX38" t="s">
        <v>74</v>
      </c>
      <c r="AY38" t="s">
        <v>74</v>
      </c>
      <c r="AZ38" t="s">
        <v>74</v>
      </c>
      <c r="BA38" t="s">
        <v>74</v>
      </c>
      <c r="BB38">
        <v>69</v>
      </c>
      <c r="BC38">
        <v>70</v>
      </c>
      <c r="BD38" t="s">
        <v>74</v>
      </c>
      <c r="BE38" t="s">
        <v>887</v>
      </c>
      <c r="BF38" t="str">
        <f>HYPERLINK("http://dx.doi.org/10.1017/S0954102012000946","http://dx.doi.org/10.1017/S0954102012000946")</f>
        <v>http://dx.doi.org/10.1017/S0954102012000946</v>
      </c>
      <c r="BG38" t="s">
        <v>74</v>
      </c>
      <c r="BH38" t="s">
        <v>74</v>
      </c>
      <c r="BI38">
        <v>2</v>
      </c>
      <c r="BJ38" t="s">
        <v>823</v>
      </c>
      <c r="BK38" t="s">
        <v>102</v>
      </c>
      <c r="BL38" t="s">
        <v>824</v>
      </c>
      <c r="BM38" t="s">
        <v>825</v>
      </c>
      <c r="BN38" t="s">
        <v>74</v>
      </c>
      <c r="BO38" t="s">
        <v>74</v>
      </c>
      <c r="BP38" t="s">
        <v>74</v>
      </c>
      <c r="BQ38" t="s">
        <v>74</v>
      </c>
      <c r="BR38" t="s">
        <v>105</v>
      </c>
      <c r="BS38" t="s">
        <v>888</v>
      </c>
      <c r="BT38" t="str">
        <f>HYPERLINK("https%3A%2F%2Fwww.webofscience.com%2Fwos%2Fwoscc%2Ffull-record%2FWOS:000314147700011","View Full Record in Web of Science")</f>
        <v>View Full Record in Web of Science</v>
      </c>
    </row>
    <row r="39" spans="1:72" x14ac:dyDescent="0.15">
      <c r="A39" t="s">
        <v>72</v>
      </c>
      <c r="B39" t="s">
        <v>889</v>
      </c>
      <c r="C39" t="s">
        <v>74</v>
      </c>
      <c r="D39" t="s">
        <v>74</v>
      </c>
      <c r="E39" t="s">
        <v>74</v>
      </c>
      <c r="F39" t="s">
        <v>890</v>
      </c>
      <c r="G39" t="s">
        <v>74</v>
      </c>
      <c r="H39" t="s">
        <v>74</v>
      </c>
      <c r="I39" t="s">
        <v>891</v>
      </c>
      <c r="J39" t="s">
        <v>803</v>
      </c>
      <c r="K39" t="s">
        <v>74</v>
      </c>
      <c r="L39" t="s">
        <v>74</v>
      </c>
      <c r="M39" t="s">
        <v>78</v>
      </c>
      <c r="N39" t="s">
        <v>79</v>
      </c>
      <c r="O39" t="s">
        <v>74</v>
      </c>
      <c r="P39" t="s">
        <v>74</v>
      </c>
      <c r="Q39" t="s">
        <v>74</v>
      </c>
      <c r="R39" t="s">
        <v>74</v>
      </c>
      <c r="S39" t="s">
        <v>74</v>
      </c>
      <c r="T39" t="s">
        <v>892</v>
      </c>
      <c r="U39" t="s">
        <v>893</v>
      </c>
      <c r="V39" t="s">
        <v>894</v>
      </c>
      <c r="W39" t="s">
        <v>895</v>
      </c>
      <c r="X39" t="s">
        <v>896</v>
      </c>
      <c r="Y39" t="s">
        <v>897</v>
      </c>
      <c r="Z39" t="s">
        <v>898</v>
      </c>
      <c r="AA39" t="s">
        <v>899</v>
      </c>
      <c r="AB39" t="s">
        <v>74</v>
      </c>
      <c r="AC39" t="s">
        <v>900</v>
      </c>
      <c r="AD39" t="s">
        <v>901</v>
      </c>
      <c r="AE39" t="s">
        <v>902</v>
      </c>
      <c r="AF39" t="s">
        <v>74</v>
      </c>
      <c r="AG39">
        <v>36</v>
      </c>
      <c r="AH39">
        <v>32</v>
      </c>
      <c r="AI39">
        <v>37</v>
      </c>
      <c r="AJ39">
        <v>0</v>
      </c>
      <c r="AK39">
        <v>5</v>
      </c>
      <c r="AL39" t="s">
        <v>816</v>
      </c>
      <c r="AM39" t="s">
        <v>296</v>
      </c>
      <c r="AN39" t="s">
        <v>817</v>
      </c>
      <c r="AO39" t="s">
        <v>818</v>
      </c>
      <c r="AP39" t="s">
        <v>819</v>
      </c>
      <c r="AQ39" t="s">
        <v>74</v>
      </c>
      <c r="AR39" t="s">
        <v>820</v>
      </c>
      <c r="AS39" t="s">
        <v>821</v>
      </c>
      <c r="AT39" t="s">
        <v>98</v>
      </c>
      <c r="AU39">
        <v>2013</v>
      </c>
      <c r="AV39">
        <v>25</v>
      </c>
      <c r="AW39">
        <v>1</v>
      </c>
      <c r="AX39" t="s">
        <v>74</v>
      </c>
      <c r="AY39" t="s">
        <v>74</v>
      </c>
      <c r="AZ39" t="s">
        <v>74</v>
      </c>
      <c r="BA39" t="s">
        <v>74</v>
      </c>
      <c r="BB39">
        <v>71</v>
      </c>
      <c r="BC39">
        <v>82</v>
      </c>
      <c r="BD39" t="s">
        <v>74</v>
      </c>
      <c r="BE39" t="s">
        <v>903</v>
      </c>
      <c r="BF39" t="str">
        <f>HYPERLINK("http://dx.doi.org/10.1017/S0954102012000673","http://dx.doi.org/10.1017/S0954102012000673")</f>
        <v>http://dx.doi.org/10.1017/S0954102012000673</v>
      </c>
      <c r="BG39" t="s">
        <v>74</v>
      </c>
      <c r="BH39" t="s">
        <v>74</v>
      </c>
      <c r="BI39">
        <v>12</v>
      </c>
      <c r="BJ39" t="s">
        <v>823</v>
      </c>
      <c r="BK39" t="s">
        <v>102</v>
      </c>
      <c r="BL39" t="s">
        <v>824</v>
      </c>
      <c r="BM39" t="s">
        <v>825</v>
      </c>
      <c r="BN39" t="s">
        <v>74</v>
      </c>
      <c r="BO39" t="s">
        <v>429</v>
      </c>
      <c r="BP39" t="s">
        <v>74</v>
      </c>
      <c r="BQ39" t="s">
        <v>74</v>
      </c>
      <c r="BR39" t="s">
        <v>105</v>
      </c>
      <c r="BS39" t="s">
        <v>904</v>
      </c>
      <c r="BT39" t="str">
        <f>HYPERLINK("https%3A%2F%2Fwww.webofscience.com%2Fwos%2Fwoscc%2Ffull-record%2FWOS:000314147700012","View Full Record in Web of Science")</f>
        <v>View Full Record in Web of Science</v>
      </c>
    </row>
    <row r="40" spans="1:72" x14ac:dyDescent="0.15">
      <c r="A40" t="s">
        <v>72</v>
      </c>
      <c r="B40" t="s">
        <v>905</v>
      </c>
      <c r="C40" t="s">
        <v>74</v>
      </c>
      <c r="D40" t="s">
        <v>74</v>
      </c>
      <c r="E40" t="s">
        <v>74</v>
      </c>
      <c r="F40" t="s">
        <v>906</v>
      </c>
      <c r="G40" t="s">
        <v>74</v>
      </c>
      <c r="H40" t="s">
        <v>74</v>
      </c>
      <c r="I40" t="s">
        <v>907</v>
      </c>
      <c r="J40" t="s">
        <v>803</v>
      </c>
      <c r="K40" t="s">
        <v>74</v>
      </c>
      <c r="L40" t="s">
        <v>74</v>
      </c>
      <c r="M40" t="s">
        <v>78</v>
      </c>
      <c r="N40" t="s">
        <v>79</v>
      </c>
      <c r="O40" t="s">
        <v>74</v>
      </c>
      <c r="P40" t="s">
        <v>74</v>
      </c>
      <c r="Q40" t="s">
        <v>74</v>
      </c>
      <c r="R40" t="s">
        <v>74</v>
      </c>
      <c r="S40" t="s">
        <v>74</v>
      </c>
      <c r="T40" t="s">
        <v>908</v>
      </c>
      <c r="U40" t="s">
        <v>909</v>
      </c>
      <c r="V40" t="s">
        <v>910</v>
      </c>
      <c r="W40" t="s">
        <v>911</v>
      </c>
      <c r="X40" t="s">
        <v>912</v>
      </c>
      <c r="Y40" t="s">
        <v>913</v>
      </c>
      <c r="Z40" t="s">
        <v>914</v>
      </c>
      <c r="AA40" t="s">
        <v>915</v>
      </c>
      <c r="AB40" t="s">
        <v>916</v>
      </c>
      <c r="AC40" t="s">
        <v>917</v>
      </c>
      <c r="AD40" t="s">
        <v>917</v>
      </c>
      <c r="AE40" t="s">
        <v>918</v>
      </c>
      <c r="AF40" t="s">
        <v>74</v>
      </c>
      <c r="AG40">
        <v>53</v>
      </c>
      <c r="AH40">
        <v>10</v>
      </c>
      <c r="AI40">
        <v>11</v>
      </c>
      <c r="AJ40">
        <v>2</v>
      </c>
      <c r="AK40">
        <v>72</v>
      </c>
      <c r="AL40" t="s">
        <v>816</v>
      </c>
      <c r="AM40" t="s">
        <v>296</v>
      </c>
      <c r="AN40" t="s">
        <v>817</v>
      </c>
      <c r="AO40" t="s">
        <v>818</v>
      </c>
      <c r="AP40" t="s">
        <v>819</v>
      </c>
      <c r="AQ40" t="s">
        <v>74</v>
      </c>
      <c r="AR40" t="s">
        <v>820</v>
      </c>
      <c r="AS40" t="s">
        <v>821</v>
      </c>
      <c r="AT40" t="s">
        <v>98</v>
      </c>
      <c r="AU40">
        <v>2013</v>
      </c>
      <c r="AV40">
        <v>25</v>
      </c>
      <c r="AW40">
        <v>1</v>
      </c>
      <c r="AX40" t="s">
        <v>74</v>
      </c>
      <c r="AY40" t="s">
        <v>74</v>
      </c>
      <c r="AZ40" t="s">
        <v>74</v>
      </c>
      <c r="BA40" t="s">
        <v>74</v>
      </c>
      <c r="BB40">
        <v>83</v>
      </c>
      <c r="BC40">
        <v>98</v>
      </c>
      <c r="BD40" t="s">
        <v>74</v>
      </c>
      <c r="BE40" t="s">
        <v>919</v>
      </c>
      <c r="BF40" t="str">
        <f>HYPERLINK("http://dx.doi.org/10.1017/S0954102012000685","http://dx.doi.org/10.1017/S0954102012000685")</f>
        <v>http://dx.doi.org/10.1017/S0954102012000685</v>
      </c>
      <c r="BG40" t="s">
        <v>74</v>
      </c>
      <c r="BH40" t="s">
        <v>74</v>
      </c>
      <c r="BI40">
        <v>16</v>
      </c>
      <c r="BJ40" t="s">
        <v>823</v>
      </c>
      <c r="BK40" t="s">
        <v>102</v>
      </c>
      <c r="BL40" t="s">
        <v>824</v>
      </c>
      <c r="BM40" t="s">
        <v>825</v>
      </c>
      <c r="BN40" t="s">
        <v>74</v>
      </c>
      <c r="BO40" t="s">
        <v>74</v>
      </c>
      <c r="BP40" t="s">
        <v>74</v>
      </c>
      <c r="BQ40" t="s">
        <v>74</v>
      </c>
      <c r="BR40" t="s">
        <v>105</v>
      </c>
      <c r="BS40" t="s">
        <v>920</v>
      </c>
      <c r="BT40" t="str">
        <f>HYPERLINK("https%3A%2F%2Fwww.webofscience.com%2Fwos%2Fwoscc%2Ffull-record%2FWOS:000314147700013","View Full Record in Web of Science")</f>
        <v>View Full Record in Web of Science</v>
      </c>
    </row>
    <row r="41" spans="1:72" x14ac:dyDescent="0.15">
      <c r="A41" t="s">
        <v>72</v>
      </c>
      <c r="B41" t="s">
        <v>921</v>
      </c>
      <c r="C41" t="s">
        <v>74</v>
      </c>
      <c r="D41" t="s">
        <v>74</v>
      </c>
      <c r="E41" t="s">
        <v>74</v>
      </c>
      <c r="F41" t="s">
        <v>922</v>
      </c>
      <c r="G41" t="s">
        <v>74</v>
      </c>
      <c r="H41" t="s">
        <v>74</v>
      </c>
      <c r="I41" t="s">
        <v>923</v>
      </c>
      <c r="J41" t="s">
        <v>803</v>
      </c>
      <c r="K41" t="s">
        <v>74</v>
      </c>
      <c r="L41" t="s">
        <v>74</v>
      </c>
      <c r="M41" t="s">
        <v>78</v>
      </c>
      <c r="N41" t="s">
        <v>79</v>
      </c>
      <c r="O41" t="s">
        <v>74</v>
      </c>
      <c r="P41" t="s">
        <v>74</v>
      </c>
      <c r="Q41" t="s">
        <v>74</v>
      </c>
      <c r="R41" t="s">
        <v>74</v>
      </c>
      <c r="S41" t="s">
        <v>74</v>
      </c>
      <c r="T41" t="s">
        <v>924</v>
      </c>
      <c r="U41" t="s">
        <v>925</v>
      </c>
      <c r="V41" t="s">
        <v>926</v>
      </c>
      <c r="W41" t="s">
        <v>927</v>
      </c>
      <c r="X41" t="s">
        <v>928</v>
      </c>
      <c r="Y41" t="s">
        <v>929</v>
      </c>
      <c r="Z41" t="s">
        <v>930</v>
      </c>
      <c r="AA41" t="s">
        <v>931</v>
      </c>
      <c r="AB41" t="s">
        <v>932</v>
      </c>
      <c r="AC41" t="s">
        <v>933</v>
      </c>
      <c r="AD41" t="s">
        <v>934</v>
      </c>
      <c r="AE41" t="s">
        <v>935</v>
      </c>
      <c r="AF41" t="s">
        <v>74</v>
      </c>
      <c r="AG41">
        <v>34</v>
      </c>
      <c r="AH41">
        <v>14</v>
      </c>
      <c r="AI41">
        <v>20</v>
      </c>
      <c r="AJ41">
        <v>0</v>
      </c>
      <c r="AK41">
        <v>12</v>
      </c>
      <c r="AL41" t="s">
        <v>816</v>
      </c>
      <c r="AM41" t="s">
        <v>296</v>
      </c>
      <c r="AN41" t="s">
        <v>817</v>
      </c>
      <c r="AO41" t="s">
        <v>818</v>
      </c>
      <c r="AP41" t="s">
        <v>819</v>
      </c>
      <c r="AQ41" t="s">
        <v>74</v>
      </c>
      <c r="AR41" t="s">
        <v>820</v>
      </c>
      <c r="AS41" t="s">
        <v>821</v>
      </c>
      <c r="AT41" t="s">
        <v>98</v>
      </c>
      <c r="AU41">
        <v>2013</v>
      </c>
      <c r="AV41">
        <v>25</v>
      </c>
      <c r="AW41">
        <v>1</v>
      </c>
      <c r="AX41" t="s">
        <v>74</v>
      </c>
      <c r="AY41" t="s">
        <v>74</v>
      </c>
      <c r="AZ41" t="s">
        <v>74</v>
      </c>
      <c r="BA41" t="s">
        <v>74</v>
      </c>
      <c r="BB41">
        <v>99</v>
      </c>
      <c r="BC41">
        <v>106</v>
      </c>
      <c r="BD41" t="s">
        <v>74</v>
      </c>
      <c r="BE41" t="s">
        <v>936</v>
      </c>
      <c r="BF41" t="str">
        <f>HYPERLINK("http://dx.doi.org/10.1017/S095410201200079X","http://dx.doi.org/10.1017/S095410201200079X")</f>
        <v>http://dx.doi.org/10.1017/S095410201200079X</v>
      </c>
      <c r="BG41" t="s">
        <v>74</v>
      </c>
      <c r="BH41" t="s">
        <v>74</v>
      </c>
      <c r="BI41">
        <v>8</v>
      </c>
      <c r="BJ41" t="s">
        <v>823</v>
      </c>
      <c r="BK41" t="s">
        <v>102</v>
      </c>
      <c r="BL41" t="s">
        <v>824</v>
      </c>
      <c r="BM41" t="s">
        <v>825</v>
      </c>
      <c r="BN41" t="s">
        <v>74</v>
      </c>
      <c r="BO41" t="s">
        <v>155</v>
      </c>
      <c r="BP41" t="s">
        <v>74</v>
      </c>
      <c r="BQ41" t="s">
        <v>74</v>
      </c>
      <c r="BR41" t="s">
        <v>105</v>
      </c>
      <c r="BS41" t="s">
        <v>937</v>
      </c>
      <c r="BT41" t="str">
        <f>HYPERLINK("https%3A%2F%2Fwww.webofscience.com%2Fwos%2Fwoscc%2Ffull-record%2FWOS:000314147700014","View Full Record in Web of Science")</f>
        <v>View Full Record in Web of Science</v>
      </c>
    </row>
    <row r="42" spans="1:72" x14ac:dyDescent="0.15">
      <c r="A42" t="s">
        <v>72</v>
      </c>
      <c r="B42" t="s">
        <v>938</v>
      </c>
      <c r="C42" t="s">
        <v>74</v>
      </c>
      <c r="D42" t="s">
        <v>74</v>
      </c>
      <c r="E42" t="s">
        <v>74</v>
      </c>
      <c r="F42" t="s">
        <v>939</v>
      </c>
      <c r="G42" t="s">
        <v>74</v>
      </c>
      <c r="H42" t="s">
        <v>74</v>
      </c>
      <c r="I42" t="s">
        <v>940</v>
      </c>
      <c r="J42" t="s">
        <v>941</v>
      </c>
      <c r="K42" t="s">
        <v>74</v>
      </c>
      <c r="L42" t="s">
        <v>74</v>
      </c>
      <c r="M42" t="s">
        <v>78</v>
      </c>
      <c r="N42" t="s">
        <v>79</v>
      </c>
      <c r="O42" t="s">
        <v>74</v>
      </c>
      <c r="P42" t="s">
        <v>74</v>
      </c>
      <c r="Q42" t="s">
        <v>74</v>
      </c>
      <c r="R42" t="s">
        <v>74</v>
      </c>
      <c r="S42" t="s">
        <v>74</v>
      </c>
      <c r="T42" t="s">
        <v>942</v>
      </c>
      <c r="U42" t="s">
        <v>943</v>
      </c>
      <c r="V42" t="s">
        <v>944</v>
      </c>
      <c r="W42" t="s">
        <v>945</v>
      </c>
      <c r="X42" t="s">
        <v>946</v>
      </c>
      <c r="Y42" t="s">
        <v>947</v>
      </c>
      <c r="Z42" t="s">
        <v>948</v>
      </c>
      <c r="AA42" t="s">
        <v>949</v>
      </c>
      <c r="AB42" t="s">
        <v>74</v>
      </c>
      <c r="AC42" t="s">
        <v>74</v>
      </c>
      <c r="AD42" t="s">
        <v>74</v>
      </c>
      <c r="AE42" t="s">
        <v>74</v>
      </c>
      <c r="AF42" t="s">
        <v>74</v>
      </c>
      <c r="AG42">
        <v>32</v>
      </c>
      <c r="AH42">
        <v>19</v>
      </c>
      <c r="AI42">
        <v>23</v>
      </c>
      <c r="AJ42">
        <v>2</v>
      </c>
      <c r="AK42">
        <v>63</v>
      </c>
      <c r="AL42" t="s">
        <v>500</v>
      </c>
      <c r="AM42" t="s">
        <v>950</v>
      </c>
      <c r="AN42" t="s">
        <v>951</v>
      </c>
      <c r="AO42" t="s">
        <v>952</v>
      </c>
      <c r="AP42" t="s">
        <v>953</v>
      </c>
      <c r="AQ42" t="s">
        <v>74</v>
      </c>
      <c r="AR42" t="s">
        <v>954</v>
      </c>
      <c r="AS42" t="s">
        <v>955</v>
      </c>
      <c r="AT42" t="s">
        <v>98</v>
      </c>
      <c r="AU42">
        <v>2013</v>
      </c>
      <c r="AV42">
        <v>22</v>
      </c>
      <c r="AW42">
        <v>2</v>
      </c>
      <c r="AX42" t="s">
        <v>74</v>
      </c>
      <c r="AY42" t="s">
        <v>74</v>
      </c>
      <c r="AZ42" t="s">
        <v>74</v>
      </c>
      <c r="BA42" t="s">
        <v>74</v>
      </c>
      <c r="BB42">
        <v>449</v>
      </c>
      <c r="BC42">
        <v>458</v>
      </c>
      <c r="BD42" t="s">
        <v>74</v>
      </c>
      <c r="BE42" t="s">
        <v>956</v>
      </c>
      <c r="BF42" t="str">
        <f>HYPERLINK("http://dx.doi.org/10.1007/s10531-012-0422-z","http://dx.doi.org/10.1007/s10531-012-0422-z")</f>
        <v>http://dx.doi.org/10.1007/s10531-012-0422-z</v>
      </c>
      <c r="BG42" t="s">
        <v>74</v>
      </c>
      <c r="BH42" t="s">
        <v>74</v>
      </c>
      <c r="BI42">
        <v>10</v>
      </c>
      <c r="BJ42" t="s">
        <v>957</v>
      </c>
      <c r="BK42" t="s">
        <v>102</v>
      </c>
      <c r="BL42" t="s">
        <v>958</v>
      </c>
      <c r="BM42" t="s">
        <v>959</v>
      </c>
      <c r="BN42" t="s">
        <v>74</v>
      </c>
      <c r="BO42" t="s">
        <v>74</v>
      </c>
      <c r="BP42" t="s">
        <v>74</v>
      </c>
      <c r="BQ42" t="s">
        <v>74</v>
      </c>
      <c r="BR42" t="s">
        <v>105</v>
      </c>
      <c r="BS42" t="s">
        <v>960</v>
      </c>
      <c r="BT42" t="str">
        <f>HYPERLINK("https%3A%2F%2Fwww.webofscience.com%2Fwos%2Fwoscc%2Ffull-record%2FWOS:000313792200009","View Full Record in Web of Science")</f>
        <v>View Full Record in Web of Science</v>
      </c>
    </row>
    <row r="43" spans="1:72" x14ac:dyDescent="0.15">
      <c r="A43" t="s">
        <v>72</v>
      </c>
      <c r="B43" t="s">
        <v>961</v>
      </c>
      <c r="C43" t="s">
        <v>74</v>
      </c>
      <c r="D43" t="s">
        <v>74</v>
      </c>
      <c r="E43" t="s">
        <v>74</v>
      </c>
      <c r="F43" t="s">
        <v>962</v>
      </c>
      <c r="G43" t="s">
        <v>74</v>
      </c>
      <c r="H43" t="s">
        <v>74</v>
      </c>
      <c r="I43" t="s">
        <v>963</v>
      </c>
      <c r="J43" t="s">
        <v>964</v>
      </c>
      <c r="K43" t="s">
        <v>74</v>
      </c>
      <c r="L43" t="s">
        <v>74</v>
      </c>
      <c r="M43" t="s">
        <v>78</v>
      </c>
      <c r="N43" t="s">
        <v>79</v>
      </c>
      <c r="O43" t="s">
        <v>74</v>
      </c>
      <c r="P43" t="s">
        <v>74</v>
      </c>
      <c r="Q43" t="s">
        <v>74</v>
      </c>
      <c r="R43" t="s">
        <v>74</v>
      </c>
      <c r="S43" t="s">
        <v>74</v>
      </c>
      <c r="T43" t="s">
        <v>965</v>
      </c>
      <c r="U43" t="s">
        <v>966</v>
      </c>
      <c r="V43" t="s">
        <v>967</v>
      </c>
      <c r="W43" t="s">
        <v>968</v>
      </c>
      <c r="X43" t="s">
        <v>969</v>
      </c>
      <c r="Y43" t="s">
        <v>970</v>
      </c>
      <c r="Z43" t="s">
        <v>971</v>
      </c>
      <c r="AA43" t="s">
        <v>972</v>
      </c>
      <c r="AB43" t="s">
        <v>973</v>
      </c>
      <c r="AC43" t="s">
        <v>974</v>
      </c>
      <c r="AD43" t="s">
        <v>974</v>
      </c>
      <c r="AE43" t="s">
        <v>975</v>
      </c>
      <c r="AF43" t="s">
        <v>74</v>
      </c>
      <c r="AG43">
        <v>82</v>
      </c>
      <c r="AH43">
        <v>7</v>
      </c>
      <c r="AI43">
        <v>7</v>
      </c>
      <c r="AJ43">
        <v>0</v>
      </c>
      <c r="AK43">
        <v>39</v>
      </c>
      <c r="AL43" t="s">
        <v>500</v>
      </c>
      <c r="AM43" t="s">
        <v>296</v>
      </c>
      <c r="AN43" t="s">
        <v>525</v>
      </c>
      <c r="AO43" t="s">
        <v>976</v>
      </c>
      <c r="AP43" t="s">
        <v>977</v>
      </c>
      <c r="AQ43" t="s">
        <v>74</v>
      </c>
      <c r="AR43" t="s">
        <v>978</v>
      </c>
      <c r="AS43" t="s">
        <v>979</v>
      </c>
      <c r="AT43" t="s">
        <v>98</v>
      </c>
      <c r="AU43">
        <v>2013</v>
      </c>
      <c r="AV43">
        <v>36</v>
      </c>
      <c r="AW43">
        <v>2</v>
      </c>
      <c r="AX43" t="s">
        <v>74</v>
      </c>
      <c r="AY43" t="s">
        <v>74</v>
      </c>
      <c r="AZ43" t="s">
        <v>74</v>
      </c>
      <c r="BA43" t="s">
        <v>74</v>
      </c>
      <c r="BB43">
        <v>155</v>
      </c>
      <c r="BC43">
        <v>167</v>
      </c>
      <c r="BD43" t="s">
        <v>74</v>
      </c>
      <c r="BE43" t="s">
        <v>980</v>
      </c>
      <c r="BF43" t="str">
        <f>HYPERLINK("http://dx.doi.org/10.1007/s00300-012-1246-8","http://dx.doi.org/10.1007/s00300-012-1246-8")</f>
        <v>http://dx.doi.org/10.1007/s00300-012-1246-8</v>
      </c>
      <c r="BG43" t="s">
        <v>74</v>
      </c>
      <c r="BH43" t="s">
        <v>74</v>
      </c>
      <c r="BI43">
        <v>13</v>
      </c>
      <c r="BJ43" t="s">
        <v>981</v>
      </c>
      <c r="BK43" t="s">
        <v>102</v>
      </c>
      <c r="BL43" t="s">
        <v>958</v>
      </c>
      <c r="BM43" t="s">
        <v>982</v>
      </c>
      <c r="BN43" t="s">
        <v>74</v>
      </c>
      <c r="BO43" t="s">
        <v>74</v>
      </c>
      <c r="BP43" t="s">
        <v>74</v>
      </c>
      <c r="BQ43" t="s">
        <v>74</v>
      </c>
      <c r="BR43" t="s">
        <v>105</v>
      </c>
      <c r="BS43" t="s">
        <v>983</v>
      </c>
      <c r="BT43" t="str">
        <f>HYPERLINK("https%3A%2F%2Fwww.webofscience.com%2Fwos%2Fwoscc%2Ffull-record%2FWOS:000313729400001","View Full Record in Web of Science")</f>
        <v>View Full Record in Web of Science</v>
      </c>
    </row>
    <row r="44" spans="1:72" x14ac:dyDescent="0.15">
      <c r="A44" t="s">
        <v>72</v>
      </c>
      <c r="B44" t="s">
        <v>984</v>
      </c>
      <c r="C44" t="s">
        <v>74</v>
      </c>
      <c r="D44" t="s">
        <v>74</v>
      </c>
      <c r="E44" t="s">
        <v>74</v>
      </c>
      <c r="F44" t="s">
        <v>985</v>
      </c>
      <c r="G44" t="s">
        <v>74</v>
      </c>
      <c r="H44" t="s">
        <v>74</v>
      </c>
      <c r="I44" t="s">
        <v>986</v>
      </c>
      <c r="J44" t="s">
        <v>964</v>
      </c>
      <c r="K44" t="s">
        <v>74</v>
      </c>
      <c r="L44" t="s">
        <v>74</v>
      </c>
      <c r="M44" t="s">
        <v>78</v>
      </c>
      <c r="N44" t="s">
        <v>79</v>
      </c>
      <c r="O44" t="s">
        <v>74</v>
      </c>
      <c r="P44" t="s">
        <v>74</v>
      </c>
      <c r="Q44" t="s">
        <v>74</v>
      </c>
      <c r="R44" t="s">
        <v>74</v>
      </c>
      <c r="S44" t="s">
        <v>74</v>
      </c>
      <c r="T44" t="s">
        <v>987</v>
      </c>
      <c r="U44" t="s">
        <v>988</v>
      </c>
      <c r="V44" t="s">
        <v>989</v>
      </c>
      <c r="W44" t="s">
        <v>990</v>
      </c>
      <c r="X44" t="s">
        <v>991</v>
      </c>
      <c r="Y44" t="s">
        <v>992</v>
      </c>
      <c r="Z44" t="s">
        <v>993</v>
      </c>
      <c r="AA44" t="s">
        <v>74</v>
      </c>
      <c r="AB44" t="s">
        <v>994</v>
      </c>
      <c r="AC44" t="s">
        <v>995</v>
      </c>
      <c r="AD44" t="s">
        <v>996</v>
      </c>
      <c r="AE44" t="s">
        <v>997</v>
      </c>
      <c r="AF44" t="s">
        <v>74</v>
      </c>
      <c r="AG44">
        <v>38</v>
      </c>
      <c r="AH44">
        <v>5</v>
      </c>
      <c r="AI44">
        <v>6</v>
      </c>
      <c r="AJ44">
        <v>0</v>
      </c>
      <c r="AK44">
        <v>37</v>
      </c>
      <c r="AL44" t="s">
        <v>500</v>
      </c>
      <c r="AM44" t="s">
        <v>296</v>
      </c>
      <c r="AN44" t="s">
        <v>525</v>
      </c>
      <c r="AO44" t="s">
        <v>976</v>
      </c>
      <c r="AP44" t="s">
        <v>74</v>
      </c>
      <c r="AQ44" t="s">
        <v>74</v>
      </c>
      <c r="AR44" t="s">
        <v>978</v>
      </c>
      <c r="AS44" t="s">
        <v>979</v>
      </c>
      <c r="AT44" t="s">
        <v>98</v>
      </c>
      <c r="AU44">
        <v>2013</v>
      </c>
      <c r="AV44">
        <v>36</v>
      </c>
      <c r="AW44">
        <v>2</v>
      </c>
      <c r="AX44" t="s">
        <v>74</v>
      </c>
      <c r="AY44" t="s">
        <v>74</v>
      </c>
      <c r="AZ44" t="s">
        <v>74</v>
      </c>
      <c r="BA44" t="s">
        <v>74</v>
      </c>
      <c r="BB44">
        <v>201</v>
      </c>
      <c r="BC44">
        <v>209</v>
      </c>
      <c r="BD44" t="s">
        <v>74</v>
      </c>
      <c r="BE44" t="s">
        <v>998</v>
      </c>
      <c r="BF44" t="str">
        <f>HYPERLINK("http://dx.doi.org/10.1007/s00300-012-1252-x","http://dx.doi.org/10.1007/s00300-012-1252-x")</f>
        <v>http://dx.doi.org/10.1007/s00300-012-1252-x</v>
      </c>
      <c r="BG44" t="s">
        <v>74</v>
      </c>
      <c r="BH44" t="s">
        <v>74</v>
      </c>
      <c r="BI44">
        <v>9</v>
      </c>
      <c r="BJ44" t="s">
        <v>981</v>
      </c>
      <c r="BK44" t="s">
        <v>102</v>
      </c>
      <c r="BL44" t="s">
        <v>958</v>
      </c>
      <c r="BM44" t="s">
        <v>982</v>
      </c>
      <c r="BN44" t="s">
        <v>74</v>
      </c>
      <c r="BO44" t="s">
        <v>74</v>
      </c>
      <c r="BP44" t="s">
        <v>74</v>
      </c>
      <c r="BQ44" t="s">
        <v>74</v>
      </c>
      <c r="BR44" t="s">
        <v>105</v>
      </c>
      <c r="BS44" t="s">
        <v>999</v>
      </c>
      <c r="BT44" t="str">
        <f>HYPERLINK("https%3A%2F%2Fwww.webofscience.com%2Fwos%2Fwoscc%2Ffull-record%2FWOS:000313729400006","View Full Record in Web of Science")</f>
        <v>View Full Record in Web of Science</v>
      </c>
    </row>
    <row r="45" spans="1:72" x14ac:dyDescent="0.15">
      <c r="A45" t="s">
        <v>72</v>
      </c>
      <c r="B45" t="s">
        <v>1000</v>
      </c>
      <c r="C45" t="s">
        <v>74</v>
      </c>
      <c r="D45" t="s">
        <v>74</v>
      </c>
      <c r="E45" t="s">
        <v>74</v>
      </c>
      <c r="F45" t="s">
        <v>1001</v>
      </c>
      <c r="G45" t="s">
        <v>74</v>
      </c>
      <c r="H45" t="s">
        <v>74</v>
      </c>
      <c r="I45" t="s">
        <v>1002</v>
      </c>
      <c r="J45" t="s">
        <v>964</v>
      </c>
      <c r="K45" t="s">
        <v>74</v>
      </c>
      <c r="L45" t="s">
        <v>74</v>
      </c>
      <c r="M45" t="s">
        <v>78</v>
      </c>
      <c r="N45" t="s">
        <v>79</v>
      </c>
      <c r="O45" t="s">
        <v>74</v>
      </c>
      <c r="P45" t="s">
        <v>74</v>
      </c>
      <c r="Q45" t="s">
        <v>74</v>
      </c>
      <c r="R45" t="s">
        <v>74</v>
      </c>
      <c r="S45" t="s">
        <v>74</v>
      </c>
      <c r="T45" t="s">
        <v>1003</v>
      </c>
      <c r="U45" t="s">
        <v>1004</v>
      </c>
      <c r="V45" t="s">
        <v>1005</v>
      </c>
      <c r="W45" t="s">
        <v>1006</v>
      </c>
      <c r="X45" t="s">
        <v>367</v>
      </c>
      <c r="Y45" t="s">
        <v>1007</v>
      </c>
      <c r="Z45" t="s">
        <v>1008</v>
      </c>
      <c r="AA45" t="s">
        <v>1009</v>
      </c>
      <c r="AB45" t="s">
        <v>1010</v>
      </c>
      <c r="AC45" t="s">
        <v>1011</v>
      </c>
      <c r="AD45" t="s">
        <v>1011</v>
      </c>
      <c r="AE45" t="s">
        <v>1012</v>
      </c>
      <c r="AF45" t="s">
        <v>74</v>
      </c>
      <c r="AG45">
        <v>66</v>
      </c>
      <c r="AH45">
        <v>46</v>
      </c>
      <c r="AI45">
        <v>47</v>
      </c>
      <c r="AJ45">
        <v>2</v>
      </c>
      <c r="AK45">
        <v>124</v>
      </c>
      <c r="AL45" t="s">
        <v>500</v>
      </c>
      <c r="AM45" t="s">
        <v>296</v>
      </c>
      <c r="AN45" t="s">
        <v>525</v>
      </c>
      <c r="AO45" t="s">
        <v>976</v>
      </c>
      <c r="AP45" t="s">
        <v>977</v>
      </c>
      <c r="AQ45" t="s">
        <v>74</v>
      </c>
      <c r="AR45" t="s">
        <v>978</v>
      </c>
      <c r="AS45" t="s">
        <v>979</v>
      </c>
      <c r="AT45" t="s">
        <v>98</v>
      </c>
      <c r="AU45">
        <v>2013</v>
      </c>
      <c r="AV45">
        <v>36</v>
      </c>
      <c r="AW45">
        <v>2</v>
      </c>
      <c r="AX45" t="s">
        <v>74</v>
      </c>
      <c r="AY45" t="s">
        <v>74</v>
      </c>
      <c r="AZ45" t="s">
        <v>74</v>
      </c>
      <c r="BA45" t="s">
        <v>74</v>
      </c>
      <c r="BB45">
        <v>235</v>
      </c>
      <c r="BC45">
        <v>247</v>
      </c>
      <c r="BD45" t="s">
        <v>74</v>
      </c>
      <c r="BE45" t="s">
        <v>1013</v>
      </c>
      <c r="BF45" t="str">
        <f>HYPERLINK("http://dx.doi.org/10.1007/s00300-012-1255-7","http://dx.doi.org/10.1007/s00300-012-1255-7")</f>
        <v>http://dx.doi.org/10.1007/s00300-012-1255-7</v>
      </c>
      <c r="BG45" t="s">
        <v>74</v>
      </c>
      <c r="BH45" t="s">
        <v>74</v>
      </c>
      <c r="BI45">
        <v>13</v>
      </c>
      <c r="BJ45" t="s">
        <v>981</v>
      </c>
      <c r="BK45" t="s">
        <v>102</v>
      </c>
      <c r="BL45" t="s">
        <v>958</v>
      </c>
      <c r="BM45" t="s">
        <v>982</v>
      </c>
      <c r="BN45" t="s">
        <v>74</v>
      </c>
      <c r="BO45" t="s">
        <v>74</v>
      </c>
      <c r="BP45" t="s">
        <v>74</v>
      </c>
      <c r="BQ45" t="s">
        <v>74</v>
      </c>
      <c r="BR45" t="s">
        <v>105</v>
      </c>
      <c r="BS45" t="s">
        <v>1014</v>
      </c>
      <c r="BT45" t="str">
        <f>HYPERLINK("https%3A%2F%2Fwww.webofscience.com%2Fwos%2Fwoscc%2Ffull-record%2FWOS:000313729400009","View Full Record in Web of Science")</f>
        <v>View Full Record in Web of Science</v>
      </c>
    </row>
    <row r="46" spans="1:72" x14ac:dyDescent="0.15">
      <c r="A46" t="s">
        <v>72</v>
      </c>
      <c r="B46" t="s">
        <v>1015</v>
      </c>
      <c r="C46" t="s">
        <v>74</v>
      </c>
      <c r="D46" t="s">
        <v>74</v>
      </c>
      <c r="E46" t="s">
        <v>74</v>
      </c>
      <c r="F46" t="s">
        <v>1016</v>
      </c>
      <c r="G46" t="s">
        <v>74</v>
      </c>
      <c r="H46" t="s">
        <v>74</v>
      </c>
      <c r="I46" t="s">
        <v>1017</v>
      </c>
      <c r="J46" t="s">
        <v>964</v>
      </c>
      <c r="K46" t="s">
        <v>74</v>
      </c>
      <c r="L46" t="s">
        <v>74</v>
      </c>
      <c r="M46" t="s">
        <v>78</v>
      </c>
      <c r="N46" t="s">
        <v>79</v>
      </c>
      <c r="O46" t="s">
        <v>74</v>
      </c>
      <c r="P46" t="s">
        <v>74</v>
      </c>
      <c r="Q46" t="s">
        <v>74</v>
      </c>
      <c r="R46" t="s">
        <v>74</v>
      </c>
      <c r="S46" t="s">
        <v>74</v>
      </c>
      <c r="T46" t="s">
        <v>1018</v>
      </c>
      <c r="U46" t="s">
        <v>1019</v>
      </c>
      <c r="V46" t="s">
        <v>1020</v>
      </c>
      <c r="W46" t="s">
        <v>1021</v>
      </c>
      <c r="X46" t="s">
        <v>1022</v>
      </c>
      <c r="Y46" t="s">
        <v>1023</v>
      </c>
      <c r="Z46" t="s">
        <v>1024</v>
      </c>
      <c r="AA46" t="s">
        <v>1025</v>
      </c>
      <c r="AB46" t="s">
        <v>1026</v>
      </c>
      <c r="AC46" t="s">
        <v>74</v>
      </c>
      <c r="AD46" t="s">
        <v>74</v>
      </c>
      <c r="AE46" t="s">
        <v>74</v>
      </c>
      <c r="AF46" t="s">
        <v>74</v>
      </c>
      <c r="AG46">
        <v>44</v>
      </c>
      <c r="AH46">
        <v>14</v>
      </c>
      <c r="AI46">
        <v>14</v>
      </c>
      <c r="AJ46">
        <v>1</v>
      </c>
      <c r="AK46">
        <v>61</v>
      </c>
      <c r="AL46" t="s">
        <v>500</v>
      </c>
      <c r="AM46" t="s">
        <v>296</v>
      </c>
      <c r="AN46" t="s">
        <v>525</v>
      </c>
      <c r="AO46" t="s">
        <v>976</v>
      </c>
      <c r="AP46" t="s">
        <v>977</v>
      </c>
      <c r="AQ46" t="s">
        <v>74</v>
      </c>
      <c r="AR46" t="s">
        <v>978</v>
      </c>
      <c r="AS46" t="s">
        <v>979</v>
      </c>
      <c r="AT46" t="s">
        <v>98</v>
      </c>
      <c r="AU46">
        <v>2013</v>
      </c>
      <c r="AV46">
        <v>36</v>
      </c>
      <c r="AW46">
        <v>2</v>
      </c>
      <c r="AX46" t="s">
        <v>74</v>
      </c>
      <c r="AY46" t="s">
        <v>74</v>
      </c>
      <c r="AZ46" t="s">
        <v>74</v>
      </c>
      <c r="BA46" t="s">
        <v>74</v>
      </c>
      <c r="BB46">
        <v>249</v>
      </c>
      <c r="BC46">
        <v>258</v>
      </c>
      <c r="BD46" t="s">
        <v>74</v>
      </c>
      <c r="BE46" t="s">
        <v>1027</v>
      </c>
      <c r="BF46" t="str">
        <f>HYPERLINK("http://dx.doi.org/10.1007/s00300-012-1256-6","http://dx.doi.org/10.1007/s00300-012-1256-6")</f>
        <v>http://dx.doi.org/10.1007/s00300-012-1256-6</v>
      </c>
      <c r="BG46" t="s">
        <v>74</v>
      </c>
      <c r="BH46" t="s">
        <v>74</v>
      </c>
      <c r="BI46">
        <v>10</v>
      </c>
      <c r="BJ46" t="s">
        <v>981</v>
      </c>
      <c r="BK46" t="s">
        <v>102</v>
      </c>
      <c r="BL46" t="s">
        <v>958</v>
      </c>
      <c r="BM46" t="s">
        <v>982</v>
      </c>
      <c r="BN46" t="s">
        <v>74</v>
      </c>
      <c r="BO46" t="s">
        <v>1028</v>
      </c>
      <c r="BP46" t="s">
        <v>74</v>
      </c>
      <c r="BQ46" t="s">
        <v>74</v>
      </c>
      <c r="BR46" t="s">
        <v>105</v>
      </c>
      <c r="BS46" t="s">
        <v>1029</v>
      </c>
      <c r="BT46" t="str">
        <f>HYPERLINK("https%3A%2F%2Fwww.webofscience.com%2Fwos%2Fwoscc%2Ffull-record%2FWOS:000313729400010","View Full Record in Web of Science")</f>
        <v>View Full Record in Web of Science</v>
      </c>
    </row>
    <row r="47" spans="1:72" x14ac:dyDescent="0.15">
      <c r="A47" t="s">
        <v>72</v>
      </c>
      <c r="B47" t="s">
        <v>1030</v>
      </c>
      <c r="C47" t="s">
        <v>74</v>
      </c>
      <c r="D47" t="s">
        <v>74</v>
      </c>
      <c r="E47" t="s">
        <v>74</v>
      </c>
      <c r="F47" t="s">
        <v>1031</v>
      </c>
      <c r="G47" t="s">
        <v>74</v>
      </c>
      <c r="H47" t="s">
        <v>74</v>
      </c>
      <c r="I47" t="s">
        <v>1032</v>
      </c>
      <c r="J47" t="s">
        <v>964</v>
      </c>
      <c r="K47" t="s">
        <v>74</v>
      </c>
      <c r="L47" t="s">
        <v>74</v>
      </c>
      <c r="M47" t="s">
        <v>78</v>
      </c>
      <c r="N47" t="s">
        <v>79</v>
      </c>
      <c r="O47" t="s">
        <v>74</v>
      </c>
      <c r="P47" t="s">
        <v>74</v>
      </c>
      <c r="Q47" t="s">
        <v>74</v>
      </c>
      <c r="R47" t="s">
        <v>74</v>
      </c>
      <c r="S47" t="s">
        <v>74</v>
      </c>
      <c r="T47" t="s">
        <v>1033</v>
      </c>
      <c r="U47" t="s">
        <v>1034</v>
      </c>
      <c r="V47" t="s">
        <v>1035</v>
      </c>
      <c r="W47" t="s">
        <v>1036</v>
      </c>
      <c r="X47" t="s">
        <v>1037</v>
      </c>
      <c r="Y47" t="s">
        <v>1038</v>
      </c>
      <c r="Z47" t="s">
        <v>1039</v>
      </c>
      <c r="AA47" t="s">
        <v>74</v>
      </c>
      <c r="AB47" t="s">
        <v>74</v>
      </c>
      <c r="AC47" t="s">
        <v>74</v>
      </c>
      <c r="AD47" t="s">
        <v>74</v>
      </c>
      <c r="AE47" t="s">
        <v>74</v>
      </c>
      <c r="AF47" t="s">
        <v>74</v>
      </c>
      <c r="AG47">
        <v>27</v>
      </c>
      <c r="AH47">
        <v>7</v>
      </c>
      <c r="AI47">
        <v>11</v>
      </c>
      <c r="AJ47">
        <v>0</v>
      </c>
      <c r="AK47">
        <v>6</v>
      </c>
      <c r="AL47" t="s">
        <v>500</v>
      </c>
      <c r="AM47" t="s">
        <v>296</v>
      </c>
      <c r="AN47" t="s">
        <v>525</v>
      </c>
      <c r="AO47" t="s">
        <v>976</v>
      </c>
      <c r="AP47" t="s">
        <v>74</v>
      </c>
      <c r="AQ47" t="s">
        <v>74</v>
      </c>
      <c r="AR47" t="s">
        <v>978</v>
      </c>
      <c r="AS47" t="s">
        <v>979</v>
      </c>
      <c r="AT47" t="s">
        <v>98</v>
      </c>
      <c r="AU47">
        <v>2013</v>
      </c>
      <c r="AV47">
        <v>36</v>
      </c>
      <c r="AW47">
        <v>2</v>
      </c>
      <c r="AX47" t="s">
        <v>74</v>
      </c>
      <c r="AY47" t="s">
        <v>74</v>
      </c>
      <c r="AZ47" t="s">
        <v>74</v>
      </c>
      <c r="BA47" t="s">
        <v>74</v>
      </c>
      <c r="BB47">
        <v>273</v>
      </c>
      <c r="BC47">
        <v>289</v>
      </c>
      <c r="BD47" t="s">
        <v>74</v>
      </c>
      <c r="BE47" t="s">
        <v>1040</v>
      </c>
      <c r="BF47" t="str">
        <f>HYPERLINK("http://dx.doi.org/10.1007/s00300-012-1258-4","http://dx.doi.org/10.1007/s00300-012-1258-4")</f>
        <v>http://dx.doi.org/10.1007/s00300-012-1258-4</v>
      </c>
      <c r="BG47" t="s">
        <v>74</v>
      </c>
      <c r="BH47" t="s">
        <v>74</v>
      </c>
      <c r="BI47">
        <v>17</v>
      </c>
      <c r="BJ47" t="s">
        <v>981</v>
      </c>
      <c r="BK47" t="s">
        <v>102</v>
      </c>
      <c r="BL47" t="s">
        <v>958</v>
      </c>
      <c r="BM47" t="s">
        <v>982</v>
      </c>
      <c r="BN47" t="s">
        <v>74</v>
      </c>
      <c r="BO47" t="s">
        <v>74</v>
      </c>
      <c r="BP47" t="s">
        <v>74</v>
      </c>
      <c r="BQ47" t="s">
        <v>74</v>
      </c>
      <c r="BR47" t="s">
        <v>105</v>
      </c>
      <c r="BS47" t="s">
        <v>1041</v>
      </c>
      <c r="BT47" t="str">
        <f>HYPERLINK("https%3A%2F%2Fwww.webofscience.com%2Fwos%2Fwoscc%2Ffull-record%2FWOS:000313729400012","View Full Record in Web of Science")</f>
        <v>View Full Record in Web of Science</v>
      </c>
    </row>
    <row r="48" spans="1:72" x14ac:dyDescent="0.15">
      <c r="A48" t="s">
        <v>72</v>
      </c>
      <c r="B48" t="s">
        <v>1042</v>
      </c>
      <c r="C48" t="s">
        <v>74</v>
      </c>
      <c r="D48" t="s">
        <v>74</v>
      </c>
      <c r="E48" t="s">
        <v>74</v>
      </c>
      <c r="F48" t="s">
        <v>1043</v>
      </c>
      <c r="G48" t="s">
        <v>74</v>
      </c>
      <c r="H48" t="s">
        <v>74</v>
      </c>
      <c r="I48" t="s">
        <v>1044</v>
      </c>
      <c r="J48" t="s">
        <v>964</v>
      </c>
      <c r="K48" t="s">
        <v>74</v>
      </c>
      <c r="L48" t="s">
        <v>74</v>
      </c>
      <c r="M48" t="s">
        <v>78</v>
      </c>
      <c r="N48" t="s">
        <v>79</v>
      </c>
      <c r="O48" t="s">
        <v>74</v>
      </c>
      <c r="P48" t="s">
        <v>74</v>
      </c>
      <c r="Q48" t="s">
        <v>74</v>
      </c>
      <c r="R48" t="s">
        <v>74</v>
      </c>
      <c r="S48" t="s">
        <v>74</v>
      </c>
      <c r="T48" t="s">
        <v>1045</v>
      </c>
      <c r="U48" t="s">
        <v>1046</v>
      </c>
      <c r="V48" t="s">
        <v>1047</v>
      </c>
      <c r="W48" t="s">
        <v>1048</v>
      </c>
      <c r="X48" t="s">
        <v>1049</v>
      </c>
      <c r="Y48" t="s">
        <v>1050</v>
      </c>
      <c r="Z48" t="s">
        <v>1051</v>
      </c>
      <c r="AA48" t="s">
        <v>1052</v>
      </c>
      <c r="AB48" t="s">
        <v>74</v>
      </c>
      <c r="AC48" t="s">
        <v>1053</v>
      </c>
      <c r="AD48" t="s">
        <v>1054</v>
      </c>
      <c r="AE48" t="s">
        <v>1055</v>
      </c>
      <c r="AF48" t="s">
        <v>74</v>
      </c>
      <c r="AG48">
        <v>34</v>
      </c>
      <c r="AH48">
        <v>2</v>
      </c>
      <c r="AI48">
        <v>2</v>
      </c>
      <c r="AJ48">
        <v>0</v>
      </c>
      <c r="AK48">
        <v>28</v>
      </c>
      <c r="AL48" t="s">
        <v>500</v>
      </c>
      <c r="AM48" t="s">
        <v>296</v>
      </c>
      <c r="AN48" t="s">
        <v>525</v>
      </c>
      <c r="AO48" t="s">
        <v>976</v>
      </c>
      <c r="AP48" t="s">
        <v>74</v>
      </c>
      <c r="AQ48" t="s">
        <v>74</v>
      </c>
      <c r="AR48" t="s">
        <v>978</v>
      </c>
      <c r="AS48" t="s">
        <v>979</v>
      </c>
      <c r="AT48" t="s">
        <v>98</v>
      </c>
      <c r="AU48">
        <v>2013</v>
      </c>
      <c r="AV48">
        <v>36</v>
      </c>
      <c r="AW48">
        <v>2</v>
      </c>
      <c r="AX48" t="s">
        <v>74</v>
      </c>
      <c r="AY48" t="s">
        <v>74</v>
      </c>
      <c r="AZ48" t="s">
        <v>74</v>
      </c>
      <c r="BA48" t="s">
        <v>74</v>
      </c>
      <c r="BB48">
        <v>299</v>
      </c>
      <c r="BC48">
        <v>304</v>
      </c>
      <c r="BD48" t="s">
        <v>74</v>
      </c>
      <c r="BE48" t="s">
        <v>1056</v>
      </c>
      <c r="BF48" t="str">
        <f>HYPERLINK("http://dx.doi.org/10.1007/s00300-012-1251-y","http://dx.doi.org/10.1007/s00300-012-1251-y")</f>
        <v>http://dx.doi.org/10.1007/s00300-012-1251-y</v>
      </c>
      <c r="BG48" t="s">
        <v>74</v>
      </c>
      <c r="BH48" t="s">
        <v>74</v>
      </c>
      <c r="BI48">
        <v>6</v>
      </c>
      <c r="BJ48" t="s">
        <v>981</v>
      </c>
      <c r="BK48" t="s">
        <v>102</v>
      </c>
      <c r="BL48" t="s">
        <v>958</v>
      </c>
      <c r="BM48" t="s">
        <v>982</v>
      </c>
      <c r="BN48" t="s">
        <v>74</v>
      </c>
      <c r="BO48" t="s">
        <v>74</v>
      </c>
      <c r="BP48" t="s">
        <v>74</v>
      </c>
      <c r="BQ48" t="s">
        <v>74</v>
      </c>
      <c r="BR48" t="s">
        <v>105</v>
      </c>
      <c r="BS48" t="s">
        <v>1057</v>
      </c>
      <c r="BT48" t="str">
        <f>HYPERLINK("https%3A%2F%2Fwww.webofscience.com%2Fwos%2Fwoscc%2Ffull-record%2FWOS:000313729400014","View Full Record in Web of Science")</f>
        <v>View Full Record in Web of Science</v>
      </c>
    </row>
    <row r="49" spans="1:72" x14ac:dyDescent="0.15">
      <c r="A49" t="s">
        <v>72</v>
      </c>
      <c r="B49" t="s">
        <v>1058</v>
      </c>
      <c r="C49" t="s">
        <v>74</v>
      </c>
      <c r="D49" t="s">
        <v>74</v>
      </c>
      <c r="E49" t="s">
        <v>74</v>
      </c>
      <c r="F49" t="s">
        <v>1059</v>
      </c>
      <c r="G49" t="s">
        <v>74</v>
      </c>
      <c r="H49" t="s">
        <v>74</v>
      </c>
      <c r="I49" t="s">
        <v>1060</v>
      </c>
      <c r="J49" t="s">
        <v>1061</v>
      </c>
      <c r="K49" t="s">
        <v>74</v>
      </c>
      <c r="L49" t="s">
        <v>74</v>
      </c>
      <c r="M49" t="s">
        <v>78</v>
      </c>
      <c r="N49" t="s">
        <v>79</v>
      </c>
      <c r="O49" t="s">
        <v>74</v>
      </c>
      <c r="P49" t="s">
        <v>74</v>
      </c>
      <c r="Q49" t="s">
        <v>74</v>
      </c>
      <c r="R49" t="s">
        <v>74</v>
      </c>
      <c r="S49" t="s">
        <v>74</v>
      </c>
      <c r="T49" t="s">
        <v>1062</v>
      </c>
      <c r="U49" t="s">
        <v>1063</v>
      </c>
      <c r="V49" t="s">
        <v>1064</v>
      </c>
      <c r="W49" t="s">
        <v>1065</v>
      </c>
      <c r="X49" t="s">
        <v>1066</v>
      </c>
      <c r="Y49" t="s">
        <v>1067</v>
      </c>
      <c r="Z49" t="s">
        <v>1068</v>
      </c>
      <c r="AA49" t="s">
        <v>1069</v>
      </c>
      <c r="AB49" t="s">
        <v>1070</v>
      </c>
      <c r="AC49" t="s">
        <v>1071</v>
      </c>
      <c r="AD49" t="s">
        <v>1072</v>
      </c>
      <c r="AE49" t="s">
        <v>1073</v>
      </c>
      <c r="AF49" t="s">
        <v>74</v>
      </c>
      <c r="AG49">
        <v>40</v>
      </c>
      <c r="AH49">
        <v>10</v>
      </c>
      <c r="AI49">
        <v>11</v>
      </c>
      <c r="AJ49">
        <v>0</v>
      </c>
      <c r="AK49">
        <v>34</v>
      </c>
      <c r="AL49" t="s">
        <v>257</v>
      </c>
      <c r="AM49" t="s">
        <v>215</v>
      </c>
      <c r="AN49" t="s">
        <v>216</v>
      </c>
      <c r="AO49" t="s">
        <v>1074</v>
      </c>
      <c r="AP49" t="s">
        <v>1075</v>
      </c>
      <c r="AQ49" t="s">
        <v>74</v>
      </c>
      <c r="AR49" t="s">
        <v>1076</v>
      </c>
      <c r="AS49" t="s">
        <v>1077</v>
      </c>
      <c r="AT49" t="s">
        <v>98</v>
      </c>
      <c r="AU49">
        <v>2013</v>
      </c>
      <c r="AV49">
        <v>114</v>
      </c>
      <c r="AW49">
        <v>2</v>
      </c>
      <c r="AX49" t="s">
        <v>74</v>
      </c>
      <c r="AY49" t="s">
        <v>74</v>
      </c>
      <c r="AZ49" t="s">
        <v>74</v>
      </c>
      <c r="BA49" t="s">
        <v>74</v>
      </c>
      <c r="BB49">
        <v>352</v>
      </c>
      <c r="BC49">
        <v>363</v>
      </c>
      <c r="BD49" t="s">
        <v>74</v>
      </c>
      <c r="BE49" t="s">
        <v>1078</v>
      </c>
      <c r="BF49" t="str">
        <f>HYPERLINK("http://dx.doi.org/10.1111/jam.12033","http://dx.doi.org/10.1111/jam.12033")</f>
        <v>http://dx.doi.org/10.1111/jam.12033</v>
      </c>
      <c r="BG49" t="s">
        <v>74</v>
      </c>
      <c r="BH49" t="s">
        <v>74</v>
      </c>
      <c r="BI49">
        <v>12</v>
      </c>
      <c r="BJ49" t="s">
        <v>1079</v>
      </c>
      <c r="BK49" t="s">
        <v>102</v>
      </c>
      <c r="BL49" t="s">
        <v>1079</v>
      </c>
      <c r="BM49" t="s">
        <v>1080</v>
      </c>
      <c r="BN49">
        <v>23043619</v>
      </c>
      <c r="BO49" t="s">
        <v>74</v>
      </c>
      <c r="BP49" t="s">
        <v>74</v>
      </c>
      <c r="BQ49" t="s">
        <v>74</v>
      </c>
      <c r="BR49" t="s">
        <v>105</v>
      </c>
      <c r="BS49" t="s">
        <v>1081</v>
      </c>
      <c r="BT49" t="str">
        <f>HYPERLINK("https%3A%2F%2Fwww.webofscience.com%2Fwos%2Fwoscc%2Ffull-record%2FWOS:000313723800007","View Full Record in Web of Science")</f>
        <v>View Full Record in Web of Science</v>
      </c>
    </row>
    <row r="50" spans="1:72" x14ac:dyDescent="0.15">
      <c r="A50" t="s">
        <v>72</v>
      </c>
      <c r="B50" t="s">
        <v>1082</v>
      </c>
      <c r="C50" t="s">
        <v>74</v>
      </c>
      <c r="D50" t="s">
        <v>74</v>
      </c>
      <c r="E50" t="s">
        <v>74</v>
      </c>
      <c r="F50" t="s">
        <v>1083</v>
      </c>
      <c r="G50" t="s">
        <v>74</v>
      </c>
      <c r="H50" t="s">
        <v>74</v>
      </c>
      <c r="I50" t="s">
        <v>1084</v>
      </c>
      <c r="J50" t="s">
        <v>1085</v>
      </c>
      <c r="K50" t="s">
        <v>74</v>
      </c>
      <c r="L50" t="s">
        <v>74</v>
      </c>
      <c r="M50" t="s">
        <v>78</v>
      </c>
      <c r="N50" t="s">
        <v>79</v>
      </c>
      <c r="O50" t="s">
        <v>74</v>
      </c>
      <c r="P50" t="s">
        <v>74</v>
      </c>
      <c r="Q50" t="s">
        <v>74</v>
      </c>
      <c r="R50" t="s">
        <v>74</v>
      </c>
      <c r="S50" t="s">
        <v>74</v>
      </c>
      <c r="T50" t="s">
        <v>74</v>
      </c>
      <c r="U50" t="s">
        <v>1086</v>
      </c>
      <c r="V50" t="s">
        <v>1087</v>
      </c>
      <c r="W50" t="s">
        <v>74</v>
      </c>
      <c r="X50" t="s">
        <v>74</v>
      </c>
      <c r="Y50" t="s">
        <v>1088</v>
      </c>
      <c r="Z50" t="s">
        <v>1089</v>
      </c>
      <c r="AA50" t="s">
        <v>74</v>
      </c>
      <c r="AB50" t="s">
        <v>74</v>
      </c>
      <c r="AC50" t="s">
        <v>74</v>
      </c>
      <c r="AD50" t="s">
        <v>74</v>
      </c>
      <c r="AE50" t="s">
        <v>74</v>
      </c>
      <c r="AF50" t="s">
        <v>74</v>
      </c>
      <c r="AG50">
        <v>64</v>
      </c>
      <c r="AH50">
        <v>23</v>
      </c>
      <c r="AI50">
        <v>25</v>
      </c>
      <c r="AJ50">
        <v>2</v>
      </c>
      <c r="AK50">
        <v>48</v>
      </c>
      <c r="AL50" t="s">
        <v>397</v>
      </c>
      <c r="AM50" t="s">
        <v>398</v>
      </c>
      <c r="AN50" t="s">
        <v>399</v>
      </c>
      <c r="AO50" t="s">
        <v>1090</v>
      </c>
      <c r="AP50" t="s">
        <v>1091</v>
      </c>
      <c r="AQ50" t="s">
        <v>74</v>
      </c>
      <c r="AR50" t="s">
        <v>1092</v>
      </c>
      <c r="AS50" t="s">
        <v>1093</v>
      </c>
      <c r="AT50" t="s">
        <v>98</v>
      </c>
      <c r="AU50">
        <v>2013</v>
      </c>
      <c r="AV50">
        <v>160</v>
      </c>
      <c r="AW50">
        <v>2</v>
      </c>
      <c r="AX50" t="s">
        <v>74</v>
      </c>
      <c r="AY50" t="s">
        <v>74</v>
      </c>
      <c r="AZ50" t="s">
        <v>74</v>
      </c>
      <c r="BA50" t="s">
        <v>74</v>
      </c>
      <c r="BB50">
        <v>251</v>
      </c>
      <c r="BC50">
        <v>262</v>
      </c>
      <c r="BD50" t="s">
        <v>74</v>
      </c>
      <c r="BE50" t="s">
        <v>1094</v>
      </c>
      <c r="BF50" t="str">
        <f>HYPERLINK("http://dx.doi.org/10.1007/s00227-012-2150-z","http://dx.doi.org/10.1007/s00227-012-2150-z")</f>
        <v>http://dx.doi.org/10.1007/s00227-012-2150-z</v>
      </c>
      <c r="BG50" t="s">
        <v>74</v>
      </c>
      <c r="BH50" t="s">
        <v>74</v>
      </c>
      <c r="BI50">
        <v>12</v>
      </c>
      <c r="BJ50" t="s">
        <v>223</v>
      </c>
      <c r="BK50" t="s">
        <v>102</v>
      </c>
      <c r="BL50" t="s">
        <v>223</v>
      </c>
      <c r="BM50" t="s">
        <v>1095</v>
      </c>
      <c r="BN50" t="s">
        <v>74</v>
      </c>
      <c r="BO50" t="s">
        <v>155</v>
      </c>
      <c r="BP50" t="s">
        <v>74</v>
      </c>
      <c r="BQ50" t="s">
        <v>74</v>
      </c>
      <c r="BR50" t="s">
        <v>105</v>
      </c>
      <c r="BS50" t="s">
        <v>1096</v>
      </c>
      <c r="BT50" t="str">
        <f>HYPERLINK("https%3A%2F%2Fwww.webofscience.com%2Fwos%2Fwoscc%2Ffull-record%2FWOS:000313728400002","View Full Record in Web of Science")</f>
        <v>View Full Record in Web of Science</v>
      </c>
    </row>
    <row r="51" spans="1:72" x14ac:dyDescent="0.15">
      <c r="A51" t="s">
        <v>72</v>
      </c>
      <c r="B51" t="s">
        <v>1097</v>
      </c>
      <c r="C51" t="s">
        <v>74</v>
      </c>
      <c r="D51" t="s">
        <v>74</v>
      </c>
      <c r="E51" t="s">
        <v>74</v>
      </c>
      <c r="F51" t="s">
        <v>1098</v>
      </c>
      <c r="G51" t="s">
        <v>74</v>
      </c>
      <c r="H51" t="s">
        <v>74</v>
      </c>
      <c r="I51" t="s">
        <v>1099</v>
      </c>
      <c r="J51" t="s">
        <v>1100</v>
      </c>
      <c r="K51" t="s">
        <v>74</v>
      </c>
      <c r="L51" t="s">
        <v>74</v>
      </c>
      <c r="M51" t="s">
        <v>78</v>
      </c>
      <c r="N51" t="s">
        <v>79</v>
      </c>
      <c r="O51" t="s">
        <v>74</v>
      </c>
      <c r="P51" t="s">
        <v>74</v>
      </c>
      <c r="Q51" t="s">
        <v>74</v>
      </c>
      <c r="R51" t="s">
        <v>74</v>
      </c>
      <c r="S51" t="s">
        <v>74</v>
      </c>
      <c r="T51" t="s">
        <v>1101</v>
      </c>
      <c r="U51" t="s">
        <v>1102</v>
      </c>
      <c r="V51" t="s">
        <v>1103</v>
      </c>
      <c r="W51" t="s">
        <v>1104</v>
      </c>
      <c r="X51" t="s">
        <v>1105</v>
      </c>
      <c r="Y51" t="s">
        <v>1106</v>
      </c>
      <c r="Z51" t="s">
        <v>1107</v>
      </c>
      <c r="AA51" t="s">
        <v>1108</v>
      </c>
      <c r="AB51" t="s">
        <v>74</v>
      </c>
      <c r="AC51" t="s">
        <v>74</v>
      </c>
      <c r="AD51" t="s">
        <v>74</v>
      </c>
      <c r="AE51" t="s">
        <v>74</v>
      </c>
      <c r="AF51" t="s">
        <v>74</v>
      </c>
      <c r="AG51">
        <v>30</v>
      </c>
      <c r="AH51">
        <v>45</v>
      </c>
      <c r="AI51">
        <v>50</v>
      </c>
      <c r="AJ51">
        <v>1</v>
      </c>
      <c r="AK51">
        <v>127</v>
      </c>
      <c r="AL51" t="s">
        <v>500</v>
      </c>
      <c r="AM51" t="s">
        <v>950</v>
      </c>
      <c r="AN51" t="s">
        <v>951</v>
      </c>
      <c r="AO51" t="s">
        <v>1109</v>
      </c>
      <c r="AP51" t="s">
        <v>1110</v>
      </c>
      <c r="AQ51" t="s">
        <v>74</v>
      </c>
      <c r="AR51" t="s">
        <v>1111</v>
      </c>
      <c r="AS51" t="s">
        <v>1112</v>
      </c>
      <c r="AT51" t="s">
        <v>98</v>
      </c>
      <c r="AU51">
        <v>2013</v>
      </c>
      <c r="AV51">
        <v>185</v>
      </c>
      <c r="AW51">
        <v>2</v>
      </c>
      <c r="AX51" t="s">
        <v>74</v>
      </c>
      <c r="AY51" t="s">
        <v>74</v>
      </c>
      <c r="AZ51" t="s">
        <v>74</v>
      </c>
      <c r="BA51" t="s">
        <v>74</v>
      </c>
      <c r="BB51">
        <v>1367</v>
      </c>
      <c r="BC51">
        <v>1376</v>
      </c>
      <c r="BD51" t="s">
        <v>74</v>
      </c>
      <c r="BE51" t="s">
        <v>1113</v>
      </c>
      <c r="BF51" t="str">
        <f>HYPERLINK("http://dx.doi.org/10.1007/s10661-012-2638-5","http://dx.doi.org/10.1007/s10661-012-2638-5")</f>
        <v>http://dx.doi.org/10.1007/s10661-012-2638-5</v>
      </c>
      <c r="BG51" t="s">
        <v>74</v>
      </c>
      <c r="BH51" t="s">
        <v>74</v>
      </c>
      <c r="BI51">
        <v>10</v>
      </c>
      <c r="BJ51" t="s">
        <v>454</v>
      </c>
      <c r="BK51" t="s">
        <v>102</v>
      </c>
      <c r="BL51" t="s">
        <v>455</v>
      </c>
      <c r="BM51" t="s">
        <v>1114</v>
      </c>
      <c r="BN51">
        <v>22623166</v>
      </c>
      <c r="BO51" t="s">
        <v>74</v>
      </c>
      <c r="BP51" t="s">
        <v>74</v>
      </c>
      <c r="BQ51" t="s">
        <v>74</v>
      </c>
      <c r="BR51" t="s">
        <v>105</v>
      </c>
      <c r="BS51" t="s">
        <v>1115</v>
      </c>
      <c r="BT51" t="str">
        <f>HYPERLINK("https%3A%2F%2Fwww.webofscience.com%2Fwos%2Fwoscc%2Ffull-record%2FWOS:000313359000027","View Full Record in Web of Science")</f>
        <v>View Full Record in Web of Science</v>
      </c>
    </row>
    <row r="52" spans="1:72" x14ac:dyDescent="0.15">
      <c r="A52" t="s">
        <v>72</v>
      </c>
      <c r="B52" t="s">
        <v>1116</v>
      </c>
      <c r="C52" t="s">
        <v>74</v>
      </c>
      <c r="D52" t="s">
        <v>74</v>
      </c>
      <c r="E52" t="s">
        <v>74</v>
      </c>
      <c r="F52" t="s">
        <v>1117</v>
      </c>
      <c r="G52" t="s">
        <v>74</v>
      </c>
      <c r="H52" t="s">
        <v>74</v>
      </c>
      <c r="I52" t="s">
        <v>1118</v>
      </c>
      <c r="J52" t="s">
        <v>1119</v>
      </c>
      <c r="K52" t="s">
        <v>74</v>
      </c>
      <c r="L52" t="s">
        <v>74</v>
      </c>
      <c r="M52" t="s">
        <v>78</v>
      </c>
      <c r="N52" t="s">
        <v>1120</v>
      </c>
      <c r="O52" t="s">
        <v>74</v>
      </c>
      <c r="P52" t="s">
        <v>74</v>
      </c>
      <c r="Q52" t="s">
        <v>74</v>
      </c>
      <c r="R52" t="s">
        <v>74</v>
      </c>
      <c r="S52" t="s">
        <v>74</v>
      </c>
      <c r="T52" t="s">
        <v>1121</v>
      </c>
      <c r="U52" t="s">
        <v>1122</v>
      </c>
      <c r="V52" t="s">
        <v>1123</v>
      </c>
      <c r="W52" t="s">
        <v>1124</v>
      </c>
      <c r="X52" t="s">
        <v>1125</v>
      </c>
      <c r="Y52" t="s">
        <v>1126</v>
      </c>
      <c r="Z52" t="s">
        <v>1127</v>
      </c>
      <c r="AA52" t="s">
        <v>1128</v>
      </c>
      <c r="AB52" t="s">
        <v>1129</v>
      </c>
      <c r="AC52" t="s">
        <v>1130</v>
      </c>
      <c r="AD52" t="s">
        <v>1130</v>
      </c>
      <c r="AE52" t="s">
        <v>1131</v>
      </c>
      <c r="AF52" t="s">
        <v>74</v>
      </c>
      <c r="AG52">
        <v>111</v>
      </c>
      <c r="AH52">
        <v>8</v>
      </c>
      <c r="AI52">
        <v>12</v>
      </c>
      <c r="AJ52">
        <v>4</v>
      </c>
      <c r="AK52">
        <v>111</v>
      </c>
      <c r="AL52" t="s">
        <v>1132</v>
      </c>
      <c r="AM52" t="s">
        <v>147</v>
      </c>
      <c r="AN52" t="s">
        <v>1133</v>
      </c>
      <c r="AO52" t="s">
        <v>1134</v>
      </c>
      <c r="AP52" t="s">
        <v>1135</v>
      </c>
      <c r="AQ52" t="s">
        <v>74</v>
      </c>
      <c r="AR52" t="s">
        <v>1136</v>
      </c>
      <c r="AS52" t="s">
        <v>1137</v>
      </c>
      <c r="AT52" t="s">
        <v>98</v>
      </c>
      <c r="AU52">
        <v>2013</v>
      </c>
      <c r="AV52">
        <v>83</v>
      </c>
      <c r="AW52">
        <v>2</v>
      </c>
      <c r="AX52" t="s">
        <v>74</v>
      </c>
      <c r="AY52" t="s">
        <v>74</v>
      </c>
      <c r="AZ52" t="s">
        <v>74</v>
      </c>
      <c r="BA52" t="s">
        <v>74</v>
      </c>
      <c r="BB52">
        <v>279</v>
      </c>
      <c r="BC52">
        <v>298</v>
      </c>
      <c r="BD52" t="s">
        <v>74</v>
      </c>
      <c r="BE52" t="s">
        <v>1138</v>
      </c>
      <c r="BF52" t="str">
        <f>HYPERLINK("http://dx.doi.org/10.1111/j.1574-6941.2012.01472.x","http://dx.doi.org/10.1111/j.1574-6941.2012.01472.x")</f>
        <v>http://dx.doi.org/10.1111/j.1574-6941.2012.01472.x</v>
      </c>
      <c r="BG52" t="s">
        <v>74</v>
      </c>
      <c r="BH52" t="s">
        <v>74</v>
      </c>
      <c r="BI52">
        <v>20</v>
      </c>
      <c r="BJ52" t="s">
        <v>1139</v>
      </c>
      <c r="BK52" t="s">
        <v>102</v>
      </c>
      <c r="BL52" t="s">
        <v>1139</v>
      </c>
      <c r="BM52" t="s">
        <v>1140</v>
      </c>
      <c r="BN52">
        <v>22891892</v>
      </c>
      <c r="BO52" t="s">
        <v>128</v>
      </c>
      <c r="BP52" t="s">
        <v>74</v>
      </c>
      <c r="BQ52" t="s">
        <v>74</v>
      </c>
      <c r="BR52" t="s">
        <v>105</v>
      </c>
      <c r="BS52" t="s">
        <v>1141</v>
      </c>
      <c r="BT52" t="str">
        <f>HYPERLINK("https%3A%2F%2Fwww.webofscience.com%2Fwos%2Fwoscc%2Ffull-record%2FWOS:000313252600003","View Full Record in Web of Science")</f>
        <v>View Full Record in Web of Science</v>
      </c>
    </row>
    <row r="53" spans="1:72" x14ac:dyDescent="0.15">
      <c r="A53" t="s">
        <v>72</v>
      </c>
      <c r="B53" t="s">
        <v>1142</v>
      </c>
      <c r="C53" t="s">
        <v>74</v>
      </c>
      <c r="D53" t="s">
        <v>74</v>
      </c>
      <c r="E53" t="s">
        <v>74</v>
      </c>
      <c r="F53" t="s">
        <v>1143</v>
      </c>
      <c r="G53" t="s">
        <v>74</v>
      </c>
      <c r="H53" t="s">
        <v>74</v>
      </c>
      <c r="I53" t="s">
        <v>1144</v>
      </c>
      <c r="J53" t="s">
        <v>1145</v>
      </c>
      <c r="K53" t="s">
        <v>74</v>
      </c>
      <c r="L53" t="s">
        <v>74</v>
      </c>
      <c r="M53" t="s">
        <v>78</v>
      </c>
      <c r="N53" t="s">
        <v>79</v>
      </c>
      <c r="O53" t="s">
        <v>74</v>
      </c>
      <c r="P53" t="s">
        <v>74</v>
      </c>
      <c r="Q53" t="s">
        <v>74</v>
      </c>
      <c r="R53" t="s">
        <v>74</v>
      </c>
      <c r="S53" t="s">
        <v>74</v>
      </c>
      <c r="T53" t="s">
        <v>1146</v>
      </c>
      <c r="U53" t="s">
        <v>1147</v>
      </c>
      <c r="V53" t="s">
        <v>1148</v>
      </c>
      <c r="W53" t="s">
        <v>1149</v>
      </c>
      <c r="X53" t="s">
        <v>1150</v>
      </c>
      <c r="Y53" t="s">
        <v>1151</v>
      </c>
      <c r="Z53" t="s">
        <v>1152</v>
      </c>
      <c r="AA53" t="s">
        <v>1153</v>
      </c>
      <c r="AB53" t="s">
        <v>1154</v>
      </c>
      <c r="AC53" t="s">
        <v>1155</v>
      </c>
      <c r="AD53" t="s">
        <v>1156</v>
      </c>
      <c r="AE53" t="s">
        <v>1157</v>
      </c>
      <c r="AF53" t="s">
        <v>74</v>
      </c>
      <c r="AG53">
        <v>51</v>
      </c>
      <c r="AH53">
        <v>46</v>
      </c>
      <c r="AI53">
        <v>54</v>
      </c>
      <c r="AJ53">
        <v>1</v>
      </c>
      <c r="AK53">
        <v>116</v>
      </c>
      <c r="AL53" t="s">
        <v>257</v>
      </c>
      <c r="AM53" t="s">
        <v>215</v>
      </c>
      <c r="AN53" t="s">
        <v>216</v>
      </c>
      <c r="AO53" t="s">
        <v>1158</v>
      </c>
      <c r="AP53" t="s">
        <v>1159</v>
      </c>
      <c r="AQ53" t="s">
        <v>74</v>
      </c>
      <c r="AR53" t="s">
        <v>1160</v>
      </c>
      <c r="AS53" t="s">
        <v>1161</v>
      </c>
      <c r="AT53" t="s">
        <v>98</v>
      </c>
      <c r="AU53">
        <v>2013</v>
      </c>
      <c r="AV53">
        <v>22</v>
      </c>
      <c r="AW53">
        <v>2</v>
      </c>
      <c r="AX53" t="s">
        <v>74</v>
      </c>
      <c r="AY53" t="s">
        <v>74</v>
      </c>
      <c r="AZ53" t="s">
        <v>74</v>
      </c>
      <c r="BA53" t="s">
        <v>74</v>
      </c>
      <c r="BB53">
        <v>163</v>
      </c>
      <c r="BC53">
        <v>172</v>
      </c>
      <c r="BD53" t="s">
        <v>74</v>
      </c>
      <c r="BE53" t="s">
        <v>1162</v>
      </c>
      <c r="BF53" t="str">
        <f>HYPERLINK("http://dx.doi.org/10.1111/j.1466-8238.2012.00776.x","http://dx.doi.org/10.1111/j.1466-8238.2012.00776.x")</f>
        <v>http://dx.doi.org/10.1111/j.1466-8238.2012.00776.x</v>
      </c>
      <c r="BG53" t="s">
        <v>74</v>
      </c>
      <c r="BH53" t="s">
        <v>74</v>
      </c>
      <c r="BI53">
        <v>10</v>
      </c>
      <c r="BJ53" t="s">
        <v>1163</v>
      </c>
      <c r="BK53" t="s">
        <v>102</v>
      </c>
      <c r="BL53" t="s">
        <v>1164</v>
      </c>
      <c r="BM53" t="s">
        <v>1165</v>
      </c>
      <c r="BN53" t="s">
        <v>74</v>
      </c>
      <c r="BO53" t="s">
        <v>74</v>
      </c>
      <c r="BP53" t="s">
        <v>74</v>
      </c>
      <c r="BQ53" t="s">
        <v>74</v>
      </c>
      <c r="BR53" t="s">
        <v>105</v>
      </c>
      <c r="BS53" t="s">
        <v>1166</v>
      </c>
      <c r="BT53" t="str">
        <f>HYPERLINK("https%3A%2F%2Fwww.webofscience.com%2Fwos%2Fwoscc%2Ffull-record%2FWOS:000313267000002","View Full Record in Web of Science")</f>
        <v>View Full Record in Web of Science</v>
      </c>
    </row>
    <row r="54" spans="1:72" x14ac:dyDescent="0.15">
      <c r="A54" t="s">
        <v>72</v>
      </c>
      <c r="B54" t="s">
        <v>1167</v>
      </c>
      <c r="C54" t="s">
        <v>74</v>
      </c>
      <c r="D54" t="s">
        <v>74</v>
      </c>
      <c r="E54" t="s">
        <v>74</v>
      </c>
      <c r="F54" t="s">
        <v>1168</v>
      </c>
      <c r="G54" t="s">
        <v>74</v>
      </c>
      <c r="H54" t="s">
        <v>74</v>
      </c>
      <c r="I54" t="s">
        <v>1169</v>
      </c>
      <c r="J54" t="s">
        <v>803</v>
      </c>
      <c r="K54" t="s">
        <v>74</v>
      </c>
      <c r="L54" t="s">
        <v>74</v>
      </c>
      <c r="M54" t="s">
        <v>78</v>
      </c>
      <c r="N54" t="s">
        <v>1170</v>
      </c>
      <c r="O54" t="s">
        <v>74</v>
      </c>
      <c r="P54" t="s">
        <v>74</v>
      </c>
      <c r="Q54" t="s">
        <v>74</v>
      </c>
      <c r="R54" t="s">
        <v>74</v>
      </c>
      <c r="S54" t="s">
        <v>74</v>
      </c>
      <c r="T54" t="s">
        <v>74</v>
      </c>
      <c r="U54" t="s">
        <v>74</v>
      </c>
      <c r="V54" t="s">
        <v>74</v>
      </c>
      <c r="W54" t="s">
        <v>74</v>
      </c>
      <c r="X54" t="s">
        <v>74</v>
      </c>
      <c r="Y54" t="s">
        <v>74</v>
      </c>
      <c r="Z54" t="s">
        <v>74</v>
      </c>
      <c r="AA54" t="s">
        <v>1171</v>
      </c>
      <c r="AB54" t="s">
        <v>1172</v>
      </c>
      <c r="AC54" t="s">
        <v>74</v>
      </c>
      <c r="AD54" t="s">
        <v>74</v>
      </c>
      <c r="AE54" t="s">
        <v>74</v>
      </c>
      <c r="AF54" t="s">
        <v>74</v>
      </c>
      <c r="AG54">
        <v>0</v>
      </c>
      <c r="AH54">
        <v>7</v>
      </c>
      <c r="AI54">
        <v>9</v>
      </c>
      <c r="AJ54">
        <v>0</v>
      </c>
      <c r="AK54">
        <v>30</v>
      </c>
      <c r="AL54" t="s">
        <v>816</v>
      </c>
      <c r="AM54" t="s">
        <v>296</v>
      </c>
      <c r="AN54" t="s">
        <v>817</v>
      </c>
      <c r="AO54" t="s">
        <v>818</v>
      </c>
      <c r="AP54" t="s">
        <v>74</v>
      </c>
      <c r="AQ54" t="s">
        <v>74</v>
      </c>
      <c r="AR54" t="s">
        <v>820</v>
      </c>
      <c r="AS54" t="s">
        <v>821</v>
      </c>
      <c r="AT54" t="s">
        <v>98</v>
      </c>
      <c r="AU54">
        <v>2013</v>
      </c>
      <c r="AV54">
        <v>25</v>
      </c>
      <c r="AW54">
        <v>1</v>
      </c>
      <c r="AX54" t="s">
        <v>74</v>
      </c>
      <c r="AY54" t="s">
        <v>74</v>
      </c>
      <c r="AZ54" t="s">
        <v>74</v>
      </c>
      <c r="BA54" t="s">
        <v>74</v>
      </c>
      <c r="BB54">
        <v>1</v>
      </c>
      <c r="BC54">
        <v>1</v>
      </c>
      <c r="BD54" t="s">
        <v>74</v>
      </c>
      <c r="BE54" t="s">
        <v>1173</v>
      </c>
      <c r="BF54" t="str">
        <f>HYPERLINK("http://dx.doi.org/10.1017/S0954102013000047","http://dx.doi.org/10.1017/S0954102013000047")</f>
        <v>http://dx.doi.org/10.1017/S0954102013000047</v>
      </c>
      <c r="BG54" t="s">
        <v>74</v>
      </c>
      <c r="BH54" t="s">
        <v>74</v>
      </c>
      <c r="BI54">
        <v>1</v>
      </c>
      <c r="BJ54" t="s">
        <v>823</v>
      </c>
      <c r="BK54" t="s">
        <v>102</v>
      </c>
      <c r="BL54" t="s">
        <v>824</v>
      </c>
      <c r="BM54" t="s">
        <v>825</v>
      </c>
      <c r="BN54" t="s">
        <v>74</v>
      </c>
      <c r="BO54" t="s">
        <v>128</v>
      </c>
      <c r="BP54" t="s">
        <v>74</v>
      </c>
      <c r="BQ54" t="s">
        <v>74</v>
      </c>
      <c r="BR54" t="s">
        <v>105</v>
      </c>
      <c r="BS54" t="s">
        <v>1174</v>
      </c>
      <c r="BT54" t="str">
        <f>HYPERLINK("https%3A%2F%2Fwww.webofscience.com%2Fwos%2Fwoscc%2Ffull-record%2FWOS:000314147700001","View Full Record in Web of Science")</f>
        <v>View Full Record in Web of Science</v>
      </c>
    </row>
    <row r="55" spans="1:72" x14ac:dyDescent="0.15">
      <c r="A55" t="s">
        <v>72</v>
      </c>
      <c r="B55" t="s">
        <v>1175</v>
      </c>
      <c r="C55" t="s">
        <v>74</v>
      </c>
      <c r="D55" t="s">
        <v>74</v>
      </c>
      <c r="E55" t="s">
        <v>74</v>
      </c>
      <c r="F55" t="s">
        <v>1176</v>
      </c>
      <c r="G55" t="s">
        <v>74</v>
      </c>
      <c r="H55" t="s">
        <v>74</v>
      </c>
      <c r="I55" t="s">
        <v>1177</v>
      </c>
      <c r="J55" t="s">
        <v>803</v>
      </c>
      <c r="K55" t="s">
        <v>74</v>
      </c>
      <c r="L55" t="s">
        <v>74</v>
      </c>
      <c r="M55" t="s">
        <v>78</v>
      </c>
      <c r="N55" t="s">
        <v>79</v>
      </c>
      <c r="O55" t="s">
        <v>74</v>
      </c>
      <c r="P55" t="s">
        <v>74</v>
      </c>
      <c r="Q55" t="s">
        <v>74</v>
      </c>
      <c r="R55" t="s">
        <v>74</v>
      </c>
      <c r="S55" t="s">
        <v>74</v>
      </c>
      <c r="T55" t="s">
        <v>1178</v>
      </c>
      <c r="U55" t="s">
        <v>1179</v>
      </c>
      <c r="V55" t="s">
        <v>1180</v>
      </c>
      <c r="W55" t="s">
        <v>1181</v>
      </c>
      <c r="X55" t="s">
        <v>1182</v>
      </c>
      <c r="Y55" t="s">
        <v>1183</v>
      </c>
      <c r="Z55" t="s">
        <v>1184</v>
      </c>
      <c r="AA55" t="s">
        <v>1185</v>
      </c>
      <c r="AB55" t="s">
        <v>1186</v>
      </c>
      <c r="AC55" t="s">
        <v>1187</v>
      </c>
      <c r="AD55" t="s">
        <v>1188</v>
      </c>
      <c r="AE55" t="s">
        <v>1189</v>
      </c>
      <c r="AF55" t="s">
        <v>74</v>
      </c>
      <c r="AG55">
        <v>44</v>
      </c>
      <c r="AH55">
        <v>11</v>
      </c>
      <c r="AI55">
        <v>12</v>
      </c>
      <c r="AJ55">
        <v>0</v>
      </c>
      <c r="AK55">
        <v>19</v>
      </c>
      <c r="AL55" t="s">
        <v>816</v>
      </c>
      <c r="AM55" t="s">
        <v>296</v>
      </c>
      <c r="AN55" t="s">
        <v>817</v>
      </c>
      <c r="AO55" t="s">
        <v>818</v>
      </c>
      <c r="AP55" t="s">
        <v>819</v>
      </c>
      <c r="AQ55" t="s">
        <v>74</v>
      </c>
      <c r="AR55" t="s">
        <v>820</v>
      </c>
      <c r="AS55" t="s">
        <v>821</v>
      </c>
      <c r="AT55" t="s">
        <v>98</v>
      </c>
      <c r="AU55">
        <v>2013</v>
      </c>
      <c r="AV55">
        <v>25</v>
      </c>
      <c r="AW55">
        <v>1</v>
      </c>
      <c r="AX55" t="s">
        <v>74</v>
      </c>
      <c r="AY55" t="s">
        <v>74</v>
      </c>
      <c r="AZ55" t="s">
        <v>74</v>
      </c>
      <c r="BA55" t="s">
        <v>74</v>
      </c>
      <c r="BB55">
        <v>3</v>
      </c>
      <c r="BC55">
        <v>10</v>
      </c>
      <c r="BD55" t="s">
        <v>74</v>
      </c>
      <c r="BE55" t="s">
        <v>1190</v>
      </c>
      <c r="BF55" t="str">
        <f>HYPERLINK("http://dx.doi.org/10.1017/S0954102012000612","http://dx.doi.org/10.1017/S0954102012000612")</f>
        <v>http://dx.doi.org/10.1017/S0954102012000612</v>
      </c>
      <c r="BG55" t="s">
        <v>74</v>
      </c>
      <c r="BH55" t="s">
        <v>74</v>
      </c>
      <c r="BI55">
        <v>8</v>
      </c>
      <c r="BJ55" t="s">
        <v>823</v>
      </c>
      <c r="BK55" t="s">
        <v>102</v>
      </c>
      <c r="BL55" t="s">
        <v>824</v>
      </c>
      <c r="BM55" t="s">
        <v>825</v>
      </c>
      <c r="BN55" t="s">
        <v>74</v>
      </c>
      <c r="BO55" t="s">
        <v>1191</v>
      </c>
      <c r="BP55" t="s">
        <v>74</v>
      </c>
      <c r="BQ55" t="s">
        <v>74</v>
      </c>
      <c r="BR55" t="s">
        <v>105</v>
      </c>
      <c r="BS55" t="s">
        <v>1192</v>
      </c>
      <c r="BT55" t="str">
        <f>HYPERLINK("https%3A%2F%2Fwww.webofscience.com%2Fwos%2Fwoscc%2Ffull-record%2FWOS:000314147700002","View Full Record in Web of Science")</f>
        <v>View Full Record in Web of Science</v>
      </c>
    </row>
    <row r="56" spans="1:72" x14ac:dyDescent="0.15">
      <c r="A56" t="s">
        <v>72</v>
      </c>
      <c r="B56" t="s">
        <v>1193</v>
      </c>
      <c r="C56" t="s">
        <v>74</v>
      </c>
      <c r="D56" t="s">
        <v>74</v>
      </c>
      <c r="E56" t="s">
        <v>74</v>
      </c>
      <c r="F56" t="s">
        <v>1194</v>
      </c>
      <c r="G56" t="s">
        <v>74</v>
      </c>
      <c r="H56" t="s">
        <v>74</v>
      </c>
      <c r="I56" t="s">
        <v>1195</v>
      </c>
      <c r="J56" t="s">
        <v>803</v>
      </c>
      <c r="K56" t="s">
        <v>74</v>
      </c>
      <c r="L56" t="s">
        <v>74</v>
      </c>
      <c r="M56" t="s">
        <v>78</v>
      </c>
      <c r="N56" t="s">
        <v>79</v>
      </c>
      <c r="O56" t="s">
        <v>74</v>
      </c>
      <c r="P56" t="s">
        <v>74</v>
      </c>
      <c r="Q56" t="s">
        <v>74</v>
      </c>
      <c r="R56" t="s">
        <v>74</v>
      </c>
      <c r="S56" t="s">
        <v>74</v>
      </c>
      <c r="T56" t="s">
        <v>1196</v>
      </c>
      <c r="U56" t="s">
        <v>1197</v>
      </c>
      <c r="V56" t="s">
        <v>1198</v>
      </c>
      <c r="W56" t="s">
        <v>1199</v>
      </c>
      <c r="X56" t="s">
        <v>1200</v>
      </c>
      <c r="Y56" t="s">
        <v>1201</v>
      </c>
      <c r="Z56" t="s">
        <v>1202</v>
      </c>
      <c r="AA56" t="s">
        <v>74</v>
      </c>
      <c r="AB56" t="s">
        <v>74</v>
      </c>
      <c r="AC56" t="s">
        <v>1203</v>
      </c>
      <c r="AD56" t="s">
        <v>1204</v>
      </c>
      <c r="AE56" t="s">
        <v>1205</v>
      </c>
      <c r="AF56" t="s">
        <v>74</v>
      </c>
      <c r="AG56">
        <v>19</v>
      </c>
      <c r="AH56">
        <v>7</v>
      </c>
      <c r="AI56">
        <v>7</v>
      </c>
      <c r="AJ56">
        <v>0</v>
      </c>
      <c r="AK56">
        <v>45</v>
      </c>
      <c r="AL56" t="s">
        <v>816</v>
      </c>
      <c r="AM56" t="s">
        <v>296</v>
      </c>
      <c r="AN56" t="s">
        <v>817</v>
      </c>
      <c r="AO56" t="s">
        <v>818</v>
      </c>
      <c r="AP56" t="s">
        <v>819</v>
      </c>
      <c r="AQ56" t="s">
        <v>74</v>
      </c>
      <c r="AR56" t="s">
        <v>820</v>
      </c>
      <c r="AS56" t="s">
        <v>821</v>
      </c>
      <c r="AT56" t="s">
        <v>98</v>
      </c>
      <c r="AU56">
        <v>2013</v>
      </c>
      <c r="AV56">
        <v>25</v>
      </c>
      <c r="AW56">
        <v>1</v>
      </c>
      <c r="AX56" t="s">
        <v>74</v>
      </c>
      <c r="AY56" t="s">
        <v>74</v>
      </c>
      <c r="AZ56" t="s">
        <v>74</v>
      </c>
      <c r="BA56" t="s">
        <v>74</v>
      </c>
      <c r="BB56">
        <v>19</v>
      </c>
      <c r="BC56">
        <v>23</v>
      </c>
      <c r="BD56" t="s">
        <v>74</v>
      </c>
      <c r="BE56" t="s">
        <v>1206</v>
      </c>
      <c r="BF56" t="str">
        <f>HYPERLINK("http://dx.doi.org/10.1017/S0954102012000600","http://dx.doi.org/10.1017/S0954102012000600")</f>
        <v>http://dx.doi.org/10.1017/S0954102012000600</v>
      </c>
      <c r="BG56" t="s">
        <v>74</v>
      </c>
      <c r="BH56" t="s">
        <v>74</v>
      </c>
      <c r="BI56">
        <v>5</v>
      </c>
      <c r="BJ56" t="s">
        <v>823</v>
      </c>
      <c r="BK56" t="s">
        <v>102</v>
      </c>
      <c r="BL56" t="s">
        <v>824</v>
      </c>
      <c r="BM56" t="s">
        <v>825</v>
      </c>
      <c r="BN56" t="s">
        <v>74</v>
      </c>
      <c r="BO56" t="s">
        <v>1207</v>
      </c>
      <c r="BP56" t="s">
        <v>74</v>
      </c>
      <c r="BQ56" t="s">
        <v>74</v>
      </c>
      <c r="BR56" t="s">
        <v>105</v>
      </c>
      <c r="BS56" t="s">
        <v>1208</v>
      </c>
      <c r="BT56" t="str">
        <f>HYPERLINK("https%3A%2F%2Fwww.webofscience.com%2Fwos%2Fwoscc%2Ffull-record%2FWOS:000314147700004","View Full Record in Web of Science")</f>
        <v>View Full Record in Web of Science</v>
      </c>
    </row>
    <row r="57" spans="1:72" x14ac:dyDescent="0.15">
      <c r="A57" t="s">
        <v>72</v>
      </c>
      <c r="B57" t="s">
        <v>1209</v>
      </c>
      <c r="C57" t="s">
        <v>74</v>
      </c>
      <c r="D57" t="s">
        <v>74</v>
      </c>
      <c r="E57" t="s">
        <v>74</v>
      </c>
      <c r="F57" t="s">
        <v>1210</v>
      </c>
      <c r="G57" t="s">
        <v>74</v>
      </c>
      <c r="H57" t="s">
        <v>74</v>
      </c>
      <c r="I57" t="s">
        <v>1211</v>
      </c>
      <c r="J57" t="s">
        <v>803</v>
      </c>
      <c r="K57" t="s">
        <v>74</v>
      </c>
      <c r="L57" t="s">
        <v>74</v>
      </c>
      <c r="M57" t="s">
        <v>78</v>
      </c>
      <c r="N57" t="s">
        <v>79</v>
      </c>
      <c r="O57" t="s">
        <v>74</v>
      </c>
      <c r="P57" t="s">
        <v>74</v>
      </c>
      <c r="Q57" t="s">
        <v>74</v>
      </c>
      <c r="R57" t="s">
        <v>74</v>
      </c>
      <c r="S57" t="s">
        <v>74</v>
      </c>
      <c r="T57" t="s">
        <v>1212</v>
      </c>
      <c r="U57" t="s">
        <v>1213</v>
      </c>
      <c r="V57" t="s">
        <v>1214</v>
      </c>
      <c r="W57" t="s">
        <v>1215</v>
      </c>
      <c r="X57" t="s">
        <v>1216</v>
      </c>
      <c r="Y57" t="s">
        <v>1217</v>
      </c>
      <c r="Z57" t="s">
        <v>1218</v>
      </c>
      <c r="AA57" t="s">
        <v>1219</v>
      </c>
      <c r="AB57" t="s">
        <v>1220</v>
      </c>
      <c r="AC57" t="s">
        <v>1221</v>
      </c>
      <c r="AD57" t="s">
        <v>1222</v>
      </c>
      <c r="AE57" t="s">
        <v>1223</v>
      </c>
      <c r="AF57" t="s">
        <v>74</v>
      </c>
      <c r="AG57">
        <v>43</v>
      </c>
      <c r="AH57">
        <v>4</v>
      </c>
      <c r="AI57">
        <v>5</v>
      </c>
      <c r="AJ57">
        <v>0</v>
      </c>
      <c r="AK57">
        <v>9</v>
      </c>
      <c r="AL57" t="s">
        <v>816</v>
      </c>
      <c r="AM57" t="s">
        <v>296</v>
      </c>
      <c r="AN57" t="s">
        <v>817</v>
      </c>
      <c r="AO57" t="s">
        <v>818</v>
      </c>
      <c r="AP57" t="s">
        <v>819</v>
      </c>
      <c r="AQ57" t="s">
        <v>74</v>
      </c>
      <c r="AR57" t="s">
        <v>820</v>
      </c>
      <c r="AS57" t="s">
        <v>821</v>
      </c>
      <c r="AT57" t="s">
        <v>98</v>
      </c>
      <c r="AU57">
        <v>2013</v>
      </c>
      <c r="AV57">
        <v>25</v>
      </c>
      <c r="AW57">
        <v>1</v>
      </c>
      <c r="AX57" t="s">
        <v>74</v>
      </c>
      <c r="AY57" t="s">
        <v>74</v>
      </c>
      <c r="AZ57" t="s">
        <v>74</v>
      </c>
      <c r="BA57" t="s">
        <v>74</v>
      </c>
      <c r="BB57">
        <v>24</v>
      </c>
      <c r="BC57">
        <v>30</v>
      </c>
      <c r="BD57" t="s">
        <v>74</v>
      </c>
      <c r="BE57" t="s">
        <v>1224</v>
      </c>
      <c r="BF57" t="str">
        <f>HYPERLINK("http://dx.doi.org/10.1017/S0954102012000582","http://dx.doi.org/10.1017/S0954102012000582")</f>
        <v>http://dx.doi.org/10.1017/S0954102012000582</v>
      </c>
      <c r="BG57" t="s">
        <v>74</v>
      </c>
      <c r="BH57" t="s">
        <v>74</v>
      </c>
      <c r="BI57">
        <v>7</v>
      </c>
      <c r="BJ57" t="s">
        <v>823</v>
      </c>
      <c r="BK57" t="s">
        <v>102</v>
      </c>
      <c r="BL57" t="s">
        <v>824</v>
      </c>
      <c r="BM57" t="s">
        <v>825</v>
      </c>
      <c r="BN57" t="s">
        <v>74</v>
      </c>
      <c r="BO57" t="s">
        <v>1207</v>
      </c>
      <c r="BP57" t="s">
        <v>74</v>
      </c>
      <c r="BQ57" t="s">
        <v>74</v>
      </c>
      <c r="BR57" t="s">
        <v>105</v>
      </c>
      <c r="BS57" t="s">
        <v>1225</v>
      </c>
      <c r="BT57" t="str">
        <f>HYPERLINK("https%3A%2F%2Fwww.webofscience.com%2Fwos%2Fwoscc%2Ffull-record%2FWOS:000314147700005","View Full Record in Web of Science")</f>
        <v>View Full Record in Web of Science</v>
      </c>
    </row>
    <row r="58" spans="1:72" x14ac:dyDescent="0.15">
      <c r="A58" t="s">
        <v>72</v>
      </c>
      <c r="B58" t="s">
        <v>1226</v>
      </c>
      <c r="C58" t="s">
        <v>74</v>
      </c>
      <c r="D58" t="s">
        <v>74</v>
      </c>
      <c r="E58" t="s">
        <v>74</v>
      </c>
      <c r="F58" t="s">
        <v>1227</v>
      </c>
      <c r="G58" t="s">
        <v>74</v>
      </c>
      <c r="H58" t="s">
        <v>74</v>
      </c>
      <c r="I58" t="s">
        <v>1228</v>
      </c>
      <c r="J58" t="s">
        <v>803</v>
      </c>
      <c r="K58" t="s">
        <v>74</v>
      </c>
      <c r="L58" t="s">
        <v>74</v>
      </c>
      <c r="M58" t="s">
        <v>78</v>
      </c>
      <c r="N58" t="s">
        <v>79</v>
      </c>
      <c r="O58" t="s">
        <v>74</v>
      </c>
      <c r="P58" t="s">
        <v>74</v>
      </c>
      <c r="Q58" t="s">
        <v>74</v>
      </c>
      <c r="R58" t="s">
        <v>74</v>
      </c>
      <c r="S58" t="s">
        <v>74</v>
      </c>
      <c r="T58" t="s">
        <v>1229</v>
      </c>
      <c r="U58" t="s">
        <v>1230</v>
      </c>
      <c r="V58" t="s">
        <v>1231</v>
      </c>
      <c r="W58" t="s">
        <v>1232</v>
      </c>
      <c r="X58" t="s">
        <v>1233</v>
      </c>
      <c r="Y58" t="s">
        <v>1234</v>
      </c>
      <c r="Z58" t="s">
        <v>1235</v>
      </c>
      <c r="AA58" t="s">
        <v>74</v>
      </c>
      <c r="AB58" t="s">
        <v>1236</v>
      </c>
      <c r="AC58" t="s">
        <v>1237</v>
      </c>
      <c r="AD58" t="s">
        <v>1238</v>
      </c>
      <c r="AE58" t="s">
        <v>1239</v>
      </c>
      <c r="AF58" t="s">
        <v>74</v>
      </c>
      <c r="AG58">
        <v>23</v>
      </c>
      <c r="AH58">
        <v>8</v>
      </c>
      <c r="AI58">
        <v>8</v>
      </c>
      <c r="AJ58">
        <v>0</v>
      </c>
      <c r="AK58">
        <v>16</v>
      </c>
      <c r="AL58" t="s">
        <v>816</v>
      </c>
      <c r="AM58" t="s">
        <v>296</v>
      </c>
      <c r="AN58" t="s">
        <v>817</v>
      </c>
      <c r="AO58" t="s">
        <v>818</v>
      </c>
      <c r="AP58" t="s">
        <v>819</v>
      </c>
      <c r="AQ58" t="s">
        <v>74</v>
      </c>
      <c r="AR58" t="s">
        <v>820</v>
      </c>
      <c r="AS58" t="s">
        <v>821</v>
      </c>
      <c r="AT58" t="s">
        <v>98</v>
      </c>
      <c r="AU58">
        <v>2013</v>
      </c>
      <c r="AV58">
        <v>25</v>
      </c>
      <c r="AW58">
        <v>1</v>
      </c>
      <c r="AX58" t="s">
        <v>74</v>
      </c>
      <c r="AY58" t="s">
        <v>74</v>
      </c>
      <c r="AZ58" t="s">
        <v>74</v>
      </c>
      <c r="BA58" t="s">
        <v>74</v>
      </c>
      <c r="BB58">
        <v>44</v>
      </c>
      <c r="BC58">
        <v>50</v>
      </c>
      <c r="BD58" t="s">
        <v>74</v>
      </c>
      <c r="BE58" t="s">
        <v>1240</v>
      </c>
      <c r="BF58" t="str">
        <f>HYPERLINK("http://dx.doi.org/10.1017/S0954102012000879","http://dx.doi.org/10.1017/S0954102012000879")</f>
        <v>http://dx.doi.org/10.1017/S0954102012000879</v>
      </c>
      <c r="BG58" t="s">
        <v>74</v>
      </c>
      <c r="BH58" t="s">
        <v>74</v>
      </c>
      <c r="BI58">
        <v>7</v>
      </c>
      <c r="BJ58" t="s">
        <v>823</v>
      </c>
      <c r="BK58" t="s">
        <v>102</v>
      </c>
      <c r="BL58" t="s">
        <v>824</v>
      </c>
      <c r="BM58" t="s">
        <v>825</v>
      </c>
      <c r="BN58" t="s">
        <v>74</v>
      </c>
      <c r="BO58" t="s">
        <v>74</v>
      </c>
      <c r="BP58" t="s">
        <v>74</v>
      </c>
      <c r="BQ58" t="s">
        <v>74</v>
      </c>
      <c r="BR58" t="s">
        <v>105</v>
      </c>
      <c r="BS58" t="s">
        <v>1241</v>
      </c>
      <c r="BT58" t="str">
        <f>HYPERLINK("https%3A%2F%2Fwww.webofscience.com%2Fwos%2Fwoscc%2Ffull-record%2FWOS:000314147700007","View Full Record in Web of Science")</f>
        <v>View Full Record in Web of Science</v>
      </c>
    </row>
    <row r="59" spans="1:72" x14ac:dyDescent="0.15">
      <c r="A59" t="s">
        <v>72</v>
      </c>
      <c r="B59" t="s">
        <v>1242</v>
      </c>
      <c r="C59" t="s">
        <v>74</v>
      </c>
      <c r="D59" t="s">
        <v>74</v>
      </c>
      <c r="E59" t="s">
        <v>74</v>
      </c>
      <c r="F59" t="s">
        <v>1243</v>
      </c>
      <c r="G59" t="s">
        <v>74</v>
      </c>
      <c r="H59" t="s">
        <v>74</v>
      </c>
      <c r="I59" t="s">
        <v>1244</v>
      </c>
      <c r="J59" t="s">
        <v>803</v>
      </c>
      <c r="K59" t="s">
        <v>74</v>
      </c>
      <c r="L59" t="s">
        <v>74</v>
      </c>
      <c r="M59" t="s">
        <v>78</v>
      </c>
      <c r="N59" t="s">
        <v>79</v>
      </c>
      <c r="O59" t="s">
        <v>74</v>
      </c>
      <c r="P59" t="s">
        <v>74</v>
      </c>
      <c r="Q59" t="s">
        <v>74</v>
      </c>
      <c r="R59" t="s">
        <v>74</v>
      </c>
      <c r="S59" t="s">
        <v>74</v>
      </c>
      <c r="T59" t="s">
        <v>1245</v>
      </c>
      <c r="U59" t="s">
        <v>1246</v>
      </c>
      <c r="V59" t="s">
        <v>1247</v>
      </c>
      <c r="W59" t="s">
        <v>1248</v>
      </c>
      <c r="X59" t="s">
        <v>1249</v>
      </c>
      <c r="Y59" t="s">
        <v>1250</v>
      </c>
      <c r="Z59" t="s">
        <v>1251</v>
      </c>
      <c r="AA59" t="s">
        <v>74</v>
      </c>
      <c r="AB59" t="s">
        <v>1252</v>
      </c>
      <c r="AC59" t="s">
        <v>1253</v>
      </c>
      <c r="AD59" t="s">
        <v>1254</v>
      </c>
      <c r="AE59" t="s">
        <v>1255</v>
      </c>
      <c r="AF59" t="s">
        <v>74</v>
      </c>
      <c r="AG59">
        <v>22</v>
      </c>
      <c r="AH59">
        <v>10</v>
      </c>
      <c r="AI59">
        <v>10</v>
      </c>
      <c r="AJ59">
        <v>1</v>
      </c>
      <c r="AK59">
        <v>49</v>
      </c>
      <c r="AL59" t="s">
        <v>816</v>
      </c>
      <c r="AM59" t="s">
        <v>296</v>
      </c>
      <c r="AN59" t="s">
        <v>817</v>
      </c>
      <c r="AO59" t="s">
        <v>818</v>
      </c>
      <c r="AP59" t="s">
        <v>819</v>
      </c>
      <c r="AQ59" t="s">
        <v>74</v>
      </c>
      <c r="AR59" t="s">
        <v>820</v>
      </c>
      <c r="AS59" t="s">
        <v>821</v>
      </c>
      <c r="AT59" t="s">
        <v>98</v>
      </c>
      <c r="AU59">
        <v>2013</v>
      </c>
      <c r="AV59">
        <v>25</v>
      </c>
      <c r="AW59">
        <v>1</v>
      </c>
      <c r="AX59" t="s">
        <v>74</v>
      </c>
      <c r="AY59" t="s">
        <v>74</v>
      </c>
      <c r="AZ59" t="s">
        <v>74</v>
      </c>
      <c r="BA59" t="s">
        <v>74</v>
      </c>
      <c r="BB59">
        <v>62</v>
      </c>
      <c r="BC59">
        <v>68</v>
      </c>
      <c r="BD59" t="s">
        <v>74</v>
      </c>
      <c r="BE59" t="s">
        <v>1256</v>
      </c>
      <c r="BF59" t="str">
        <f>HYPERLINK("http://dx.doi.org/10.1017/S0954102012000867","http://dx.doi.org/10.1017/S0954102012000867")</f>
        <v>http://dx.doi.org/10.1017/S0954102012000867</v>
      </c>
      <c r="BG59" t="s">
        <v>74</v>
      </c>
      <c r="BH59" t="s">
        <v>74</v>
      </c>
      <c r="BI59">
        <v>7</v>
      </c>
      <c r="BJ59" t="s">
        <v>823</v>
      </c>
      <c r="BK59" t="s">
        <v>102</v>
      </c>
      <c r="BL59" t="s">
        <v>824</v>
      </c>
      <c r="BM59" t="s">
        <v>825</v>
      </c>
      <c r="BN59" t="s">
        <v>74</v>
      </c>
      <c r="BO59" t="s">
        <v>1207</v>
      </c>
      <c r="BP59" t="s">
        <v>74</v>
      </c>
      <c r="BQ59" t="s">
        <v>74</v>
      </c>
      <c r="BR59" t="s">
        <v>105</v>
      </c>
      <c r="BS59" t="s">
        <v>1257</v>
      </c>
      <c r="BT59" t="str">
        <f>HYPERLINK("https%3A%2F%2Fwww.webofscience.com%2Fwos%2Fwoscc%2Ffull-record%2FWOS:000314147700010","View Full Record in Web of Science")</f>
        <v>View Full Record in Web of Science</v>
      </c>
    </row>
    <row r="60" spans="1:72" x14ac:dyDescent="0.15">
      <c r="A60" t="s">
        <v>72</v>
      </c>
      <c r="B60" t="s">
        <v>1258</v>
      </c>
      <c r="C60" t="s">
        <v>74</v>
      </c>
      <c r="D60" t="s">
        <v>74</v>
      </c>
      <c r="E60" t="s">
        <v>74</v>
      </c>
      <c r="F60" t="s">
        <v>1259</v>
      </c>
      <c r="G60" t="s">
        <v>74</v>
      </c>
      <c r="H60" t="s">
        <v>74</v>
      </c>
      <c r="I60" t="s">
        <v>1260</v>
      </c>
      <c r="J60" t="s">
        <v>803</v>
      </c>
      <c r="K60" t="s">
        <v>74</v>
      </c>
      <c r="L60" t="s">
        <v>74</v>
      </c>
      <c r="M60" t="s">
        <v>78</v>
      </c>
      <c r="N60" t="s">
        <v>79</v>
      </c>
      <c r="O60" t="s">
        <v>74</v>
      </c>
      <c r="P60" t="s">
        <v>74</v>
      </c>
      <c r="Q60" t="s">
        <v>74</v>
      </c>
      <c r="R60" t="s">
        <v>74</v>
      </c>
      <c r="S60" t="s">
        <v>74</v>
      </c>
      <c r="T60" t="s">
        <v>1261</v>
      </c>
      <c r="U60" t="s">
        <v>1262</v>
      </c>
      <c r="V60" t="s">
        <v>1263</v>
      </c>
      <c r="W60" t="s">
        <v>1264</v>
      </c>
      <c r="X60" t="s">
        <v>1265</v>
      </c>
      <c r="Y60" t="s">
        <v>1266</v>
      </c>
      <c r="Z60" t="s">
        <v>1267</v>
      </c>
      <c r="AA60" t="s">
        <v>1268</v>
      </c>
      <c r="AB60" t="s">
        <v>1269</v>
      </c>
      <c r="AC60" t="s">
        <v>1270</v>
      </c>
      <c r="AD60" t="s">
        <v>1271</v>
      </c>
      <c r="AE60" t="s">
        <v>1272</v>
      </c>
      <c r="AF60" t="s">
        <v>74</v>
      </c>
      <c r="AG60">
        <v>31</v>
      </c>
      <c r="AH60">
        <v>5</v>
      </c>
      <c r="AI60">
        <v>5</v>
      </c>
      <c r="AJ60">
        <v>0</v>
      </c>
      <c r="AK60">
        <v>40</v>
      </c>
      <c r="AL60" t="s">
        <v>816</v>
      </c>
      <c r="AM60" t="s">
        <v>296</v>
      </c>
      <c r="AN60" t="s">
        <v>817</v>
      </c>
      <c r="AO60" t="s">
        <v>818</v>
      </c>
      <c r="AP60" t="s">
        <v>819</v>
      </c>
      <c r="AQ60" t="s">
        <v>74</v>
      </c>
      <c r="AR60" t="s">
        <v>820</v>
      </c>
      <c r="AS60" t="s">
        <v>821</v>
      </c>
      <c r="AT60" t="s">
        <v>98</v>
      </c>
      <c r="AU60">
        <v>2013</v>
      </c>
      <c r="AV60">
        <v>25</v>
      </c>
      <c r="AW60">
        <v>1</v>
      </c>
      <c r="AX60" t="s">
        <v>74</v>
      </c>
      <c r="AY60" t="s">
        <v>74</v>
      </c>
      <c r="AZ60" t="s">
        <v>74</v>
      </c>
      <c r="BA60" t="s">
        <v>74</v>
      </c>
      <c r="BB60">
        <v>107</v>
      </c>
      <c r="BC60">
        <v>118</v>
      </c>
      <c r="BD60" t="s">
        <v>74</v>
      </c>
      <c r="BE60" t="s">
        <v>1273</v>
      </c>
      <c r="BF60" t="str">
        <f>HYPERLINK("http://dx.doi.org/10.1017/S0954102012000442","http://dx.doi.org/10.1017/S0954102012000442")</f>
        <v>http://dx.doi.org/10.1017/S0954102012000442</v>
      </c>
      <c r="BG60" t="s">
        <v>74</v>
      </c>
      <c r="BH60" t="s">
        <v>74</v>
      </c>
      <c r="BI60">
        <v>12</v>
      </c>
      <c r="BJ60" t="s">
        <v>823</v>
      </c>
      <c r="BK60" t="s">
        <v>102</v>
      </c>
      <c r="BL60" t="s">
        <v>824</v>
      </c>
      <c r="BM60" t="s">
        <v>825</v>
      </c>
      <c r="BN60" t="s">
        <v>74</v>
      </c>
      <c r="BO60" t="s">
        <v>74</v>
      </c>
      <c r="BP60" t="s">
        <v>74</v>
      </c>
      <c r="BQ60" t="s">
        <v>74</v>
      </c>
      <c r="BR60" t="s">
        <v>105</v>
      </c>
      <c r="BS60" t="s">
        <v>1274</v>
      </c>
      <c r="BT60" t="str">
        <f>HYPERLINK("https%3A%2F%2Fwww.webofscience.com%2Fwos%2Fwoscc%2Ffull-record%2FWOS:000314147700015","View Full Record in Web of Science")</f>
        <v>View Full Record in Web of Science</v>
      </c>
    </row>
    <row r="61" spans="1:72" x14ac:dyDescent="0.15">
      <c r="A61" t="s">
        <v>72</v>
      </c>
      <c r="B61" t="s">
        <v>1275</v>
      </c>
      <c r="C61" t="s">
        <v>74</v>
      </c>
      <c r="D61" t="s">
        <v>74</v>
      </c>
      <c r="E61" t="s">
        <v>74</v>
      </c>
      <c r="F61" t="s">
        <v>1276</v>
      </c>
      <c r="G61" t="s">
        <v>74</v>
      </c>
      <c r="H61" t="s">
        <v>74</v>
      </c>
      <c r="I61" t="s">
        <v>1277</v>
      </c>
      <c r="J61" t="s">
        <v>803</v>
      </c>
      <c r="K61" t="s">
        <v>74</v>
      </c>
      <c r="L61" t="s">
        <v>74</v>
      </c>
      <c r="M61" t="s">
        <v>78</v>
      </c>
      <c r="N61" t="s">
        <v>79</v>
      </c>
      <c r="O61" t="s">
        <v>74</v>
      </c>
      <c r="P61" t="s">
        <v>74</v>
      </c>
      <c r="Q61" t="s">
        <v>74</v>
      </c>
      <c r="R61" t="s">
        <v>74</v>
      </c>
      <c r="S61" t="s">
        <v>74</v>
      </c>
      <c r="T61" t="s">
        <v>74</v>
      </c>
      <c r="U61" t="s">
        <v>74</v>
      </c>
      <c r="V61" t="s">
        <v>74</v>
      </c>
      <c r="W61" t="s">
        <v>1278</v>
      </c>
      <c r="X61" t="s">
        <v>1279</v>
      </c>
      <c r="Y61" t="s">
        <v>1280</v>
      </c>
      <c r="Z61" t="s">
        <v>1281</v>
      </c>
      <c r="AA61" t="s">
        <v>74</v>
      </c>
      <c r="AB61" t="s">
        <v>1282</v>
      </c>
      <c r="AC61" t="s">
        <v>1283</v>
      </c>
      <c r="AD61" t="s">
        <v>1284</v>
      </c>
      <c r="AE61" t="s">
        <v>1285</v>
      </c>
      <c r="AF61" t="s">
        <v>74</v>
      </c>
      <c r="AG61">
        <v>13</v>
      </c>
      <c r="AH61">
        <v>79</v>
      </c>
      <c r="AI61">
        <v>100</v>
      </c>
      <c r="AJ61">
        <v>0</v>
      </c>
      <c r="AK61">
        <v>33</v>
      </c>
      <c r="AL61" t="s">
        <v>816</v>
      </c>
      <c r="AM61" t="s">
        <v>296</v>
      </c>
      <c r="AN61" t="s">
        <v>817</v>
      </c>
      <c r="AO61" t="s">
        <v>818</v>
      </c>
      <c r="AP61" t="s">
        <v>819</v>
      </c>
      <c r="AQ61" t="s">
        <v>74</v>
      </c>
      <c r="AR61" t="s">
        <v>820</v>
      </c>
      <c r="AS61" t="s">
        <v>821</v>
      </c>
      <c r="AT61" t="s">
        <v>98</v>
      </c>
      <c r="AU61">
        <v>2013</v>
      </c>
      <c r="AV61">
        <v>25</v>
      </c>
      <c r="AW61">
        <v>1</v>
      </c>
      <c r="AX61" t="s">
        <v>74</v>
      </c>
      <c r="AY61" t="s">
        <v>74</v>
      </c>
      <c r="AZ61" t="s">
        <v>74</v>
      </c>
      <c r="BA61" t="s">
        <v>74</v>
      </c>
      <c r="BB61">
        <v>119</v>
      </c>
      <c r="BC61">
        <v>120</v>
      </c>
      <c r="BD61" t="s">
        <v>74</v>
      </c>
      <c r="BE61" t="s">
        <v>1286</v>
      </c>
      <c r="BF61" t="str">
        <f>HYPERLINK("http://dx.doi.org/10.1017/S0954102012000727","http://dx.doi.org/10.1017/S0954102012000727")</f>
        <v>http://dx.doi.org/10.1017/S0954102012000727</v>
      </c>
      <c r="BG61" t="s">
        <v>74</v>
      </c>
      <c r="BH61" t="s">
        <v>74</v>
      </c>
      <c r="BI61">
        <v>2</v>
      </c>
      <c r="BJ61" t="s">
        <v>823</v>
      </c>
      <c r="BK61" t="s">
        <v>102</v>
      </c>
      <c r="BL61" t="s">
        <v>824</v>
      </c>
      <c r="BM61" t="s">
        <v>825</v>
      </c>
      <c r="BN61" t="s">
        <v>74</v>
      </c>
      <c r="BO61" t="s">
        <v>74</v>
      </c>
      <c r="BP61" t="s">
        <v>74</v>
      </c>
      <c r="BQ61" t="s">
        <v>74</v>
      </c>
      <c r="BR61" t="s">
        <v>105</v>
      </c>
      <c r="BS61" t="s">
        <v>1287</v>
      </c>
      <c r="BT61" t="str">
        <f>HYPERLINK("https%3A%2F%2Fwww.webofscience.com%2Fwos%2Fwoscc%2Ffull-record%2FWOS:000314147700016","View Full Record in Web of Science")</f>
        <v>View Full Record in Web of Science</v>
      </c>
    </row>
    <row r="62" spans="1:72" x14ac:dyDescent="0.15">
      <c r="A62" t="s">
        <v>72</v>
      </c>
      <c r="B62" t="s">
        <v>1288</v>
      </c>
      <c r="C62" t="s">
        <v>74</v>
      </c>
      <c r="D62" t="s">
        <v>74</v>
      </c>
      <c r="E62" t="s">
        <v>74</v>
      </c>
      <c r="F62" t="s">
        <v>1289</v>
      </c>
      <c r="G62" t="s">
        <v>74</v>
      </c>
      <c r="H62" t="s">
        <v>74</v>
      </c>
      <c r="I62" t="s">
        <v>1290</v>
      </c>
      <c r="J62" t="s">
        <v>1291</v>
      </c>
      <c r="K62" t="s">
        <v>74</v>
      </c>
      <c r="L62" t="s">
        <v>74</v>
      </c>
      <c r="M62" t="s">
        <v>78</v>
      </c>
      <c r="N62" t="s">
        <v>79</v>
      </c>
      <c r="O62" t="s">
        <v>74</v>
      </c>
      <c r="P62" t="s">
        <v>74</v>
      </c>
      <c r="Q62" t="s">
        <v>74</v>
      </c>
      <c r="R62" t="s">
        <v>74</v>
      </c>
      <c r="S62" t="s">
        <v>74</v>
      </c>
      <c r="T62" t="s">
        <v>1292</v>
      </c>
      <c r="U62" t="s">
        <v>1293</v>
      </c>
      <c r="V62" t="s">
        <v>1294</v>
      </c>
      <c r="W62" t="s">
        <v>1295</v>
      </c>
      <c r="X62" t="s">
        <v>1296</v>
      </c>
      <c r="Y62" t="s">
        <v>1297</v>
      </c>
      <c r="Z62" t="s">
        <v>1298</v>
      </c>
      <c r="AA62" t="s">
        <v>1299</v>
      </c>
      <c r="AB62" t="s">
        <v>1300</v>
      </c>
      <c r="AC62" t="s">
        <v>1301</v>
      </c>
      <c r="AD62" t="s">
        <v>1302</v>
      </c>
      <c r="AE62" t="s">
        <v>1303</v>
      </c>
      <c r="AF62" t="s">
        <v>74</v>
      </c>
      <c r="AG62">
        <v>44</v>
      </c>
      <c r="AH62">
        <v>5</v>
      </c>
      <c r="AI62">
        <v>6</v>
      </c>
      <c r="AJ62">
        <v>0</v>
      </c>
      <c r="AK62">
        <v>43</v>
      </c>
      <c r="AL62" t="s">
        <v>257</v>
      </c>
      <c r="AM62" t="s">
        <v>215</v>
      </c>
      <c r="AN62" t="s">
        <v>216</v>
      </c>
      <c r="AO62" t="s">
        <v>1304</v>
      </c>
      <c r="AP62" t="s">
        <v>1305</v>
      </c>
      <c r="AQ62" t="s">
        <v>74</v>
      </c>
      <c r="AR62" t="s">
        <v>1306</v>
      </c>
      <c r="AS62" t="s">
        <v>1307</v>
      </c>
      <c r="AT62" t="s">
        <v>98</v>
      </c>
      <c r="AU62">
        <v>2013</v>
      </c>
      <c r="AV62">
        <v>82</v>
      </c>
      <c r="AW62">
        <v>2</v>
      </c>
      <c r="AX62" t="s">
        <v>74</v>
      </c>
      <c r="AY62" t="s">
        <v>74</v>
      </c>
      <c r="AZ62" t="s">
        <v>74</v>
      </c>
      <c r="BA62" t="s">
        <v>74</v>
      </c>
      <c r="BB62">
        <v>59</v>
      </c>
      <c r="BC62">
        <v>70</v>
      </c>
      <c r="BD62" t="s">
        <v>74</v>
      </c>
      <c r="BE62" t="s">
        <v>1308</v>
      </c>
      <c r="BF62" t="str">
        <f>HYPERLINK("http://dx.doi.org/10.1002/arch.21073","http://dx.doi.org/10.1002/arch.21073")</f>
        <v>http://dx.doi.org/10.1002/arch.21073</v>
      </c>
      <c r="BG62" t="s">
        <v>74</v>
      </c>
      <c r="BH62" t="s">
        <v>74</v>
      </c>
      <c r="BI62">
        <v>12</v>
      </c>
      <c r="BJ62" t="s">
        <v>1309</v>
      </c>
      <c r="BK62" t="s">
        <v>102</v>
      </c>
      <c r="BL62" t="s">
        <v>1309</v>
      </c>
      <c r="BM62" t="s">
        <v>1310</v>
      </c>
      <c r="BN62">
        <v>23143920</v>
      </c>
      <c r="BO62" t="s">
        <v>74</v>
      </c>
      <c r="BP62" t="s">
        <v>74</v>
      </c>
      <c r="BQ62" t="s">
        <v>74</v>
      </c>
      <c r="BR62" t="s">
        <v>105</v>
      </c>
      <c r="BS62" t="s">
        <v>1311</v>
      </c>
      <c r="BT62" t="str">
        <f>HYPERLINK("https%3A%2F%2Fwww.webofscience.com%2Fwos%2Fwoscc%2Ffull-record%2FWOS:000313244200002","View Full Record in Web of Science")</f>
        <v>View Full Record in Web of Science</v>
      </c>
    </row>
    <row r="63" spans="1:72" x14ac:dyDescent="0.15">
      <c r="A63" t="s">
        <v>72</v>
      </c>
      <c r="B63" t="s">
        <v>1312</v>
      </c>
      <c r="C63" t="s">
        <v>74</v>
      </c>
      <c r="D63" t="s">
        <v>74</v>
      </c>
      <c r="E63" t="s">
        <v>74</v>
      </c>
      <c r="F63" t="s">
        <v>1313</v>
      </c>
      <c r="G63" t="s">
        <v>74</v>
      </c>
      <c r="H63" t="s">
        <v>74</v>
      </c>
      <c r="I63" t="s">
        <v>1314</v>
      </c>
      <c r="J63" t="s">
        <v>1315</v>
      </c>
      <c r="K63" t="s">
        <v>74</v>
      </c>
      <c r="L63" t="s">
        <v>74</v>
      </c>
      <c r="M63" t="s">
        <v>78</v>
      </c>
      <c r="N63" t="s">
        <v>1316</v>
      </c>
      <c r="O63" t="s">
        <v>74</v>
      </c>
      <c r="P63" t="s">
        <v>74</v>
      </c>
      <c r="Q63" t="s">
        <v>74</v>
      </c>
      <c r="R63" t="s">
        <v>74</v>
      </c>
      <c r="S63" t="s">
        <v>74</v>
      </c>
      <c r="T63" t="s">
        <v>74</v>
      </c>
      <c r="U63" t="s">
        <v>74</v>
      </c>
      <c r="V63" t="s">
        <v>74</v>
      </c>
      <c r="W63" t="s">
        <v>1317</v>
      </c>
      <c r="X63" t="s">
        <v>1318</v>
      </c>
      <c r="Y63" t="s">
        <v>1319</v>
      </c>
      <c r="Z63" t="s">
        <v>74</v>
      </c>
      <c r="AA63" t="s">
        <v>74</v>
      </c>
      <c r="AB63" t="s">
        <v>74</v>
      </c>
      <c r="AC63" t="s">
        <v>74</v>
      </c>
      <c r="AD63" t="s">
        <v>74</v>
      </c>
      <c r="AE63" t="s">
        <v>74</v>
      </c>
      <c r="AF63" t="s">
        <v>74</v>
      </c>
      <c r="AG63">
        <v>1</v>
      </c>
      <c r="AH63">
        <v>0</v>
      </c>
      <c r="AI63">
        <v>0</v>
      </c>
      <c r="AJ63">
        <v>0</v>
      </c>
      <c r="AK63">
        <v>2</v>
      </c>
      <c r="AL63" t="s">
        <v>1320</v>
      </c>
      <c r="AM63" t="s">
        <v>1321</v>
      </c>
      <c r="AN63" t="s">
        <v>1322</v>
      </c>
      <c r="AO63" t="s">
        <v>1323</v>
      </c>
      <c r="AP63" t="s">
        <v>1324</v>
      </c>
      <c r="AQ63" t="s">
        <v>74</v>
      </c>
      <c r="AR63" t="s">
        <v>1325</v>
      </c>
      <c r="AS63" t="s">
        <v>1326</v>
      </c>
      <c r="AT63" t="s">
        <v>98</v>
      </c>
      <c r="AU63">
        <v>2013</v>
      </c>
      <c r="AV63">
        <v>45</v>
      </c>
      <c r="AW63">
        <v>1</v>
      </c>
      <c r="AX63" t="s">
        <v>74</v>
      </c>
      <c r="AY63" t="s">
        <v>74</v>
      </c>
      <c r="AZ63" t="s">
        <v>74</v>
      </c>
      <c r="BA63" t="s">
        <v>74</v>
      </c>
      <c r="BB63">
        <v>1</v>
      </c>
      <c r="BC63">
        <v>5</v>
      </c>
      <c r="BD63" t="s">
        <v>74</v>
      </c>
      <c r="BE63" t="s">
        <v>1327</v>
      </c>
      <c r="BF63" t="str">
        <f>HYPERLINK("http://dx.doi.org/10.1657/1938-4246-45.1.1","http://dx.doi.org/10.1657/1938-4246-45.1.1")</f>
        <v>http://dx.doi.org/10.1657/1938-4246-45.1.1</v>
      </c>
      <c r="BG63" t="s">
        <v>74</v>
      </c>
      <c r="BH63" t="s">
        <v>74</v>
      </c>
      <c r="BI63">
        <v>5</v>
      </c>
      <c r="BJ63" t="s">
        <v>1328</v>
      </c>
      <c r="BK63" t="s">
        <v>102</v>
      </c>
      <c r="BL63" t="s">
        <v>1164</v>
      </c>
      <c r="BM63" t="s">
        <v>1329</v>
      </c>
      <c r="BN63" t="s">
        <v>74</v>
      </c>
      <c r="BO63" t="s">
        <v>74</v>
      </c>
      <c r="BP63" t="s">
        <v>74</v>
      </c>
      <c r="BQ63" t="s">
        <v>74</v>
      </c>
      <c r="BR63" t="s">
        <v>105</v>
      </c>
      <c r="BS63" t="s">
        <v>1330</v>
      </c>
      <c r="BT63" t="str">
        <f>HYPERLINK("https%3A%2F%2Fwww.webofscience.com%2Fwos%2Fwoscc%2Ffull-record%2FWOS:000329533000001","View Full Record in Web of Science")</f>
        <v>View Full Record in Web of Science</v>
      </c>
    </row>
    <row r="64" spans="1:72" x14ac:dyDescent="0.15">
      <c r="A64" t="s">
        <v>72</v>
      </c>
      <c r="B64" t="s">
        <v>1331</v>
      </c>
      <c r="C64" t="s">
        <v>74</v>
      </c>
      <c r="D64" t="s">
        <v>74</v>
      </c>
      <c r="E64" t="s">
        <v>74</v>
      </c>
      <c r="F64" t="s">
        <v>1332</v>
      </c>
      <c r="G64" t="s">
        <v>74</v>
      </c>
      <c r="H64" t="s">
        <v>74</v>
      </c>
      <c r="I64" t="s">
        <v>1333</v>
      </c>
      <c r="J64" t="s">
        <v>1315</v>
      </c>
      <c r="K64" t="s">
        <v>74</v>
      </c>
      <c r="L64" t="s">
        <v>74</v>
      </c>
      <c r="M64" t="s">
        <v>78</v>
      </c>
      <c r="N64" t="s">
        <v>79</v>
      </c>
      <c r="O64" t="s">
        <v>74</v>
      </c>
      <c r="P64" t="s">
        <v>74</v>
      </c>
      <c r="Q64" t="s">
        <v>74</v>
      </c>
      <c r="R64" t="s">
        <v>74</v>
      </c>
      <c r="S64" t="s">
        <v>74</v>
      </c>
      <c r="T64" t="s">
        <v>74</v>
      </c>
      <c r="U64" t="s">
        <v>1334</v>
      </c>
      <c r="V64" t="s">
        <v>1335</v>
      </c>
      <c r="W64" t="s">
        <v>1336</v>
      </c>
      <c r="X64" t="s">
        <v>1337</v>
      </c>
      <c r="Y64" t="s">
        <v>1338</v>
      </c>
      <c r="Z64" t="s">
        <v>1339</v>
      </c>
      <c r="AA64" t="s">
        <v>74</v>
      </c>
      <c r="AB64" t="s">
        <v>1340</v>
      </c>
      <c r="AC64" t="s">
        <v>1341</v>
      </c>
      <c r="AD64" t="s">
        <v>1341</v>
      </c>
      <c r="AE64" t="s">
        <v>1342</v>
      </c>
      <c r="AF64" t="s">
        <v>74</v>
      </c>
      <c r="AG64">
        <v>35</v>
      </c>
      <c r="AH64">
        <v>37</v>
      </c>
      <c r="AI64">
        <v>39</v>
      </c>
      <c r="AJ64">
        <v>0</v>
      </c>
      <c r="AK64">
        <v>22</v>
      </c>
      <c r="AL64" t="s">
        <v>1343</v>
      </c>
      <c r="AM64" t="s">
        <v>1344</v>
      </c>
      <c r="AN64" t="s">
        <v>1345</v>
      </c>
      <c r="AO64" t="s">
        <v>1323</v>
      </c>
      <c r="AP64" t="s">
        <v>1324</v>
      </c>
      <c r="AQ64" t="s">
        <v>74</v>
      </c>
      <c r="AR64" t="s">
        <v>1325</v>
      </c>
      <c r="AS64" t="s">
        <v>1326</v>
      </c>
      <c r="AT64" t="s">
        <v>98</v>
      </c>
      <c r="AU64">
        <v>2013</v>
      </c>
      <c r="AV64">
        <v>45</v>
      </c>
      <c r="AW64">
        <v>1</v>
      </c>
      <c r="AX64" t="s">
        <v>74</v>
      </c>
      <c r="AY64" t="s">
        <v>74</v>
      </c>
      <c r="AZ64" t="s">
        <v>74</v>
      </c>
      <c r="BA64" t="s">
        <v>74</v>
      </c>
      <c r="BB64">
        <v>6</v>
      </c>
      <c r="BC64">
        <v>18</v>
      </c>
      <c r="BD64" t="s">
        <v>74</v>
      </c>
      <c r="BE64" t="s">
        <v>1346</v>
      </c>
      <c r="BF64" t="str">
        <f>HYPERLINK("http://dx.doi.org/10.1657/1938-4246-45.16","http://dx.doi.org/10.1657/1938-4246-45.16")</f>
        <v>http://dx.doi.org/10.1657/1938-4246-45.16</v>
      </c>
      <c r="BG64" t="s">
        <v>74</v>
      </c>
      <c r="BH64" t="s">
        <v>74</v>
      </c>
      <c r="BI64">
        <v>13</v>
      </c>
      <c r="BJ64" t="s">
        <v>1328</v>
      </c>
      <c r="BK64" t="s">
        <v>102</v>
      </c>
      <c r="BL64" t="s">
        <v>1164</v>
      </c>
      <c r="BM64" t="s">
        <v>1329</v>
      </c>
      <c r="BN64" t="s">
        <v>74</v>
      </c>
      <c r="BO64" t="s">
        <v>128</v>
      </c>
      <c r="BP64" t="s">
        <v>74</v>
      </c>
      <c r="BQ64" t="s">
        <v>74</v>
      </c>
      <c r="BR64" t="s">
        <v>105</v>
      </c>
      <c r="BS64" t="s">
        <v>1347</v>
      </c>
      <c r="BT64" t="str">
        <f>HYPERLINK("https%3A%2F%2Fwww.webofscience.com%2Fwos%2Fwoscc%2Ffull-record%2FWOS:000329533000002","View Full Record in Web of Science")</f>
        <v>View Full Record in Web of Science</v>
      </c>
    </row>
    <row r="65" spans="1:72" x14ac:dyDescent="0.15">
      <c r="A65" t="s">
        <v>72</v>
      </c>
      <c r="B65" t="s">
        <v>1348</v>
      </c>
      <c r="C65" t="s">
        <v>74</v>
      </c>
      <c r="D65" t="s">
        <v>74</v>
      </c>
      <c r="E65" t="s">
        <v>74</v>
      </c>
      <c r="F65" t="s">
        <v>1349</v>
      </c>
      <c r="G65" t="s">
        <v>74</v>
      </c>
      <c r="H65" t="s">
        <v>74</v>
      </c>
      <c r="I65" t="s">
        <v>1350</v>
      </c>
      <c r="J65" t="s">
        <v>1315</v>
      </c>
      <c r="K65" t="s">
        <v>74</v>
      </c>
      <c r="L65" t="s">
        <v>74</v>
      </c>
      <c r="M65" t="s">
        <v>78</v>
      </c>
      <c r="N65" t="s">
        <v>79</v>
      </c>
      <c r="O65" t="s">
        <v>74</v>
      </c>
      <c r="P65" t="s">
        <v>74</v>
      </c>
      <c r="Q65" t="s">
        <v>74</v>
      </c>
      <c r="R65" t="s">
        <v>74</v>
      </c>
      <c r="S65" t="s">
        <v>74</v>
      </c>
      <c r="T65" t="s">
        <v>74</v>
      </c>
      <c r="U65" t="s">
        <v>1351</v>
      </c>
      <c r="V65" t="s">
        <v>1352</v>
      </c>
      <c r="W65" t="s">
        <v>1353</v>
      </c>
      <c r="X65" t="s">
        <v>1354</v>
      </c>
      <c r="Y65" t="s">
        <v>1355</v>
      </c>
      <c r="Z65" t="s">
        <v>1356</v>
      </c>
      <c r="AA65" t="s">
        <v>1357</v>
      </c>
      <c r="AB65" t="s">
        <v>1358</v>
      </c>
      <c r="AC65" t="s">
        <v>1359</v>
      </c>
      <c r="AD65" t="s">
        <v>1360</v>
      </c>
      <c r="AE65" t="s">
        <v>1361</v>
      </c>
      <c r="AF65" t="s">
        <v>74</v>
      </c>
      <c r="AG65">
        <v>35</v>
      </c>
      <c r="AH65">
        <v>35</v>
      </c>
      <c r="AI65">
        <v>39</v>
      </c>
      <c r="AJ65">
        <v>0</v>
      </c>
      <c r="AK65">
        <v>10</v>
      </c>
      <c r="AL65" t="s">
        <v>1320</v>
      </c>
      <c r="AM65" t="s">
        <v>1321</v>
      </c>
      <c r="AN65" t="s">
        <v>1322</v>
      </c>
      <c r="AO65" t="s">
        <v>1323</v>
      </c>
      <c r="AP65" t="s">
        <v>1324</v>
      </c>
      <c r="AQ65" t="s">
        <v>74</v>
      </c>
      <c r="AR65" t="s">
        <v>1325</v>
      </c>
      <c r="AS65" t="s">
        <v>1326</v>
      </c>
      <c r="AT65" t="s">
        <v>98</v>
      </c>
      <c r="AU65">
        <v>2013</v>
      </c>
      <c r="AV65">
        <v>45</v>
      </c>
      <c r="AW65">
        <v>1</v>
      </c>
      <c r="AX65" t="s">
        <v>74</v>
      </c>
      <c r="AY65" t="s">
        <v>74</v>
      </c>
      <c r="AZ65" t="s">
        <v>74</v>
      </c>
      <c r="BA65" t="s">
        <v>74</v>
      </c>
      <c r="BB65">
        <v>19</v>
      </c>
      <c r="BC65">
        <v>28</v>
      </c>
      <c r="BD65" t="s">
        <v>74</v>
      </c>
      <c r="BE65" t="s">
        <v>1362</v>
      </c>
      <c r="BF65" t="str">
        <f>HYPERLINK("http://dx.doi.org/10.1657/1938-4246-45.1.19","http://dx.doi.org/10.1657/1938-4246-45.1.19")</f>
        <v>http://dx.doi.org/10.1657/1938-4246-45.1.19</v>
      </c>
      <c r="BG65" t="s">
        <v>74</v>
      </c>
      <c r="BH65" t="s">
        <v>74</v>
      </c>
      <c r="BI65">
        <v>10</v>
      </c>
      <c r="BJ65" t="s">
        <v>1328</v>
      </c>
      <c r="BK65" t="s">
        <v>102</v>
      </c>
      <c r="BL65" t="s">
        <v>1164</v>
      </c>
      <c r="BM65" t="s">
        <v>1329</v>
      </c>
      <c r="BN65" t="s">
        <v>74</v>
      </c>
      <c r="BO65" t="s">
        <v>155</v>
      </c>
      <c r="BP65" t="s">
        <v>74</v>
      </c>
      <c r="BQ65" t="s">
        <v>74</v>
      </c>
      <c r="BR65" t="s">
        <v>105</v>
      </c>
      <c r="BS65" t="s">
        <v>1363</v>
      </c>
      <c r="BT65" t="str">
        <f>HYPERLINK("https%3A%2F%2Fwww.webofscience.com%2Fwos%2Fwoscc%2Ffull-record%2FWOS:000329533000003","View Full Record in Web of Science")</f>
        <v>View Full Record in Web of Science</v>
      </c>
    </row>
    <row r="66" spans="1:72" x14ac:dyDescent="0.15">
      <c r="A66" t="s">
        <v>72</v>
      </c>
      <c r="B66" t="s">
        <v>1364</v>
      </c>
      <c r="C66" t="s">
        <v>74</v>
      </c>
      <c r="D66" t="s">
        <v>74</v>
      </c>
      <c r="E66" t="s">
        <v>74</v>
      </c>
      <c r="F66" t="s">
        <v>1365</v>
      </c>
      <c r="G66" t="s">
        <v>74</v>
      </c>
      <c r="H66" t="s">
        <v>74</v>
      </c>
      <c r="I66" t="s">
        <v>1366</v>
      </c>
      <c r="J66" t="s">
        <v>1315</v>
      </c>
      <c r="K66" t="s">
        <v>74</v>
      </c>
      <c r="L66" t="s">
        <v>74</v>
      </c>
      <c r="M66" t="s">
        <v>78</v>
      </c>
      <c r="N66" t="s">
        <v>79</v>
      </c>
      <c r="O66" t="s">
        <v>74</v>
      </c>
      <c r="P66" t="s">
        <v>74</v>
      </c>
      <c r="Q66" t="s">
        <v>74</v>
      </c>
      <c r="R66" t="s">
        <v>74</v>
      </c>
      <c r="S66" t="s">
        <v>74</v>
      </c>
      <c r="T66" t="s">
        <v>74</v>
      </c>
      <c r="U66" t="s">
        <v>1367</v>
      </c>
      <c r="V66" t="s">
        <v>1368</v>
      </c>
      <c r="W66" t="s">
        <v>1369</v>
      </c>
      <c r="X66" t="s">
        <v>1370</v>
      </c>
      <c r="Y66" t="s">
        <v>1371</v>
      </c>
      <c r="Z66" t="s">
        <v>1372</v>
      </c>
      <c r="AA66" t="s">
        <v>1373</v>
      </c>
      <c r="AB66" t="s">
        <v>1374</v>
      </c>
      <c r="AC66" t="s">
        <v>1375</v>
      </c>
      <c r="AD66" t="s">
        <v>1376</v>
      </c>
      <c r="AE66" t="s">
        <v>1377</v>
      </c>
      <c r="AF66" t="s">
        <v>74</v>
      </c>
      <c r="AG66">
        <v>35</v>
      </c>
      <c r="AH66">
        <v>6</v>
      </c>
      <c r="AI66">
        <v>9</v>
      </c>
      <c r="AJ66">
        <v>1</v>
      </c>
      <c r="AK66">
        <v>13</v>
      </c>
      <c r="AL66" t="s">
        <v>1343</v>
      </c>
      <c r="AM66" t="s">
        <v>1344</v>
      </c>
      <c r="AN66" t="s">
        <v>1345</v>
      </c>
      <c r="AO66" t="s">
        <v>1323</v>
      </c>
      <c r="AP66" t="s">
        <v>1324</v>
      </c>
      <c r="AQ66" t="s">
        <v>74</v>
      </c>
      <c r="AR66" t="s">
        <v>1325</v>
      </c>
      <c r="AS66" t="s">
        <v>1326</v>
      </c>
      <c r="AT66" t="s">
        <v>98</v>
      </c>
      <c r="AU66">
        <v>2013</v>
      </c>
      <c r="AV66">
        <v>45</v>
      </c>
      <c r="AW66">
        <v>1</v>
      </c>
      <c r="AX66" t="s">
        <v>74</v>
      </c>
      <c r="AY66" t="s">
        <v>74</v>
      </c>
      <c r="AZ66" t="s">
        <v>74</v>
      </c>
      <c r="BA66" t="s">
        <v>74</v>
      </c>
      <c r="BB66">
        <v>29</v>
      </c>
      <c r="BC66">
        <v>38</v>
      </c>
      <c r="BD66" t="s">
        <v>74</v>
      </c>
      <c r="BE66" t="s">
        <v>1378</v>
      </c>
      <c r="BF66" t="str">
        <f>HYPERLINK("http://dx.doi.org/10.1657/1938-4246-45.1.29","http://dx.doi.org/10.1657/1938-4246-45.1.29")</f>
        <v>http://dx.doi.org/10.1657/1938-4246-45.1.29</v>
      </c>
      <c r="BG66" t="s">
        <v>74</v>
      </c>
      <c r="BH66" t="s">
        <v>74</v>
      </c>
      <c r="BI66">
        <v>10</v>
      </c>
      <c r="BJ66" t="s">
        <v>1328</v>
      </c>
      <c r="BK66" t="s">
        <v>102</v>
      </c>
      <c r="BL66" t="s">
        <v>1164</v>
      </c>
      <c r="BM66" t="s">
        <v>1329</v>
      </c>
      <c r="BN66" t="s">
        <v>74</v>
      </c>
      <c r="BO66" t="s">
        <v>1379</v>
      </c>
      <c r="BP66" t="s">
        <v>74</v>
      </c>
      <c r="BQ66" t="s">
        <v>74</v>
      </c>
      <c r="BR66" t="s">
        <v>105</v>
      </c>
      <c r="BS66" t="s">
        <v>1380</v>
      </c>
      <c r="BT66" t="str">
        <f>HYPERLINK("https%3A%2F%2Fwww.webofscience.com%2Fwos%2Fwoscc%2Ffull-record%2FWOS:000329533000004","View Full Record in Web of Science")</f>
        <v>View Full Record in Web of Science</v>
      </c>
    </row>
    <row r="67" spans="1:72" x14ac:dyDescent="0.15">
      <c r="A67" t="s">
        <v>72</v>
      </c>
      <c r="B67" t="s">
        <v>1381</v>
      </c>
      <c r="C67" t="s">
        <v>74</v>
      </c>
      <c r="D67" t="s">
        <v>74</v>
      </c>
      <c r="E67" t="s">
        <v>74</v>
      </c>
      <c r="F67" t="s">
        <v>1382</v>
      </c>
      <c r="G67" t="s">
        <v>74</v>
      </c>
      <c r="H67" t="s">
        <v>74</v>
      </c>
      <c r="I67" t="s">
        <v>1383</v>
      </c>
      <c r="J67" t="s">
        <v>1315</v>
      </c>
      <c r="K67" t="s">
        <v>74</v>
      </c>
      <c r="L67" t="s">
        <v>74</v>
      </c>
      <c r="M67" t="s">
        <v>78</v>
      </c>
      <c r="N67" t="s">
        <v>79</v>
      </c>
      <c r="O67" t="s">
        <v>74</v>
      </c>
      <c r="P67" t="s">
        <v>74</v>
      </c>
      <c r="Q67" t="s">
        <v>74</v>
      </c>
      <c r="R67" t="s">
        <v>74</v>
      </c>
      <c r="S67" t="s">
        <v>74</v>
      </c>
      <c r="T67" t="s">
        <v>74</v>
      </c>
      <c r="U67" t="s">
        <v>1384</v>
      </c>
      <c r="V67" t="s">
        <v>1385</v>
      </c>
      <c r="W67" t="s">
        <v>1386</v>
      </c>
      <c r="X67" t="s">
        <v>1387</v>
      </c>
      <c r="Y67" t="s">
        <v>1388</v>
      </c>
      <c r="Z67" t="s">
        <v>1389</v>
      </c>
      <c r="AA67" t="s">
        <v>1390</v>
      </c>
      <c r="AB67" t="s">
        <v>1391</v>
      </c>
      <c r="AC67" t="s">
        <v>1392</v>
      </c>
      <c r="AD67" t="s">
        <v>1393</v>
      </c>
      <c r="AE67" t="s">
        <v>1394</v>
      </c>
      <c r="AF67" t="s">
        <v>74</v>
      </c>
      <c r="AG67">
        <v>69</v>
      </c>
      <c r="AH67">
        <v>4</v>
      </c>
      <c r="AI67">
        <v>5</v>
      </c>
      <c r="AJ67">
        <v>1</v>
      </c>
      <c r="AK67">
        <v>23</v>
      </c>
      <c r="AL67" t="s">
        <v>1320</v>
      </c>
      <c r="AM67" t="s">
        <v>1321</v>
      </c>
      <c r="AN67" t="s">
        <v>1322</v>
      </c>
      <c r="AO67" t="s">
        <v>1323</v>
      </c>
      <c r="AP67" t="s">
        <v>1324</v>
      </c>
      <c r="AQ67" t="s">
        <v>74</v>
      </c>
      <c r="AR67" t="s">
        <v>1325</v>
      </c>
      <c r="AS67" t="s">
        <v>1326</v>
      </c>
      <c r="AT67" t="s">
        <v>98</v>
      </c>
      <c r="AU67">
        <v>2013</v>
      </c>
      <c r="AV67">
        <v>45</v>
      </c>
      <c r="AW67">
        <v>1</v>
      </c>
      <c r="AX67" t="s">
        <v>74</v>
      </c>
      <c r="AY67" t="s">
        <v>74</v>
      </c>
      <c r="AZ67" t="s">
        <v>74</v>
      </c>
      <c r="BA67" t="s">
        <v>74</v>
      </c>
      <c r="BB67">
        <v>39</v>
      </c>
      <c r="BC67">
        <v>49</v>
      </c>
      <c r="BD67" t="s">
        <v>74</v>
      </c>
      <c r="BE67" t="s">
        <v>1395</v>
      </c>
      <c r="BF67" t="str">
        <f>HYPERLINK("http://dx.doi.org/10.1657/1938-4246-45.1.39","http://dx.doi.org/10.1657/1938-4246-45.1.39")</f>
        <v>http://dx.doi.org/10.1657/1938-4246-45.1.39</v>
      </c>
      <c r="BG67" t="s">
        <v>74</v>
      </c>
      <c r="BH67" t="s">
        <v>74</v>
      </c>
      <c r="BI67">
        <v>11</v>
      </c>
      <c r="BJ67" t="s">
        <v>1328</v>
      </c>
      <c r="BK67" t="s">
        <v>102</v>
      </c>
      <c r="BL67" t="s">
        <v>1164</v>
      </c>
      <c r="BM67" t="s">
        <v>1329</v>
      </c>
      <c r="BN67" t="s">
        <v>74</v>
      </c>
      <c r="BO67" t="s">
        <v>1396</v>
      </c>
      <c r="BP67" t="s">
        <v>74</v>
      </c>
      <c r="BQ67" t="s">
        <v>74</v>
      </c>
      <c r="BR67" t="s">
        <v>105</v>
      </c>
      <c r="BS67" t="s">
        <v>1397</v>
      </c>
      <c r="BT67" t="str">
        <f>HYPERLINK("https%3A%2F%2Fwww.webofscience.com%2Fwos%2Fwoscc%2Ffull-record%2FWOS:000329533000005","View Full Record in Web of Science")</f>
        <v>View Full Record in Web of Science</v>
      </c>
    </row>
    <row r="68" spans="1:72" x14ac:dyDescent="0.15">
      <c r="A68" t="s">
        <v>72</v>
      </c>
      <c r="B68" t="s">
        <v>1398</v>
      </c>
      <c r="C68" t="s">
        <v>74</v>
      </c>
      <c r="D68" t="s">
        <v>74</v>
      </c>
      <c r="E68" t="s">
        <v>74</v>
      </c>
      <c r="F68" t="s">
        <v>1399</v>
      </c>
      <c r="G68" t="s">
        <v>74</v>
      </c>
      <c r="H68" t="s">
        <v>74</v>
      </c>
      <c r="I68" t="s">
        <v>1400</v>
      </c>
      <c r="J68" t="s">
        <v>1315</v>
      </c>
      <c r="K68" t="s">
        <v>74</v>
      </c>
      <c r="L68" t="s">
        <v>74</v>
      </c>
      <c r="M68" t="s">
        <v>78</v>
      </c>
      <c r="N68" t="s">
        <v>79</v>
      </c>
      <c r="O68" t="s">
        <v>74</v>
      </c>
      <c r="P68" t="s">
        <v>74</v>
      </c>
      <c r="Q68" t="s">
        <v>74</v>
      </c>
      <c r="R68" t="s">
        <v>74</v>
      </c>
      <c r="S68" t="s">
        <v>74</v>
      </c>
      <c r="T68" t="s">
        <v>74</v>
      </c>
      <c r="U68" t="s">
        <v>1401</v>
      </c>
      <c r="V68" t="s">
        <v>1402</v>
      </c>
      <c r="W68" t="s">
        <v>1403</v>
      </c>
      <c r="X68" t="s">
        <v>1404</v>
      </c>
      <c r="Y68" t="s">
        <v>1405</v>
      </c>
      <c r="Z68" t="s">
        <v>1406</v>
      </c>
      <c r="AA68" t="s">
        <v>1407</v>
      </c>
      <c r="AB68" t="s">
        <v>1408</v>
      </c>
      <c r="AC68" t="s">
        <v>1409</v>
      </c>
      <c r="AD68" t="s">
        <v>1410</v>
      </c>
      <c r="AE68" t="s">
        <v>1411</v>
      </c>
      <c r="AF68" t="s">
        <v>74</v>
      </c>
      <c r="AG68">
        <v>75</v>
      </c>
      <c r="AH68">
        <v>3</v>
      </c>
      <c r="AI68">
        <v>3</v>
      </c>
      <c r="AJ68">
        <v>0</v>
      </c>
      <c r="AK68">
        <v>22</v>
      </c>
      <c r="AL68" t="s">
        <v>1343</v>
      </c>
      <c r="AM68" t="s">
        <v>1344</v>
      </c>
      <c r="AN68" t="s">
        <v>1345</v>
      </c>
      <c r="AO68" t="s">
        <v>1323</v>
      </c>
      <c r="AP68" t="s">
        <v>1324</v>
      </c>
      <c r="AQ68" t="s">
        <v>74</v>
      </c>
      <c r="AR68" t="s">
        <v>1325</v>
      </c>
      <c r="AS68" t="s">
        <v>1326</v>
      </c>
      <c r="AT68" t="s">
        <v>98</v>
      </c>
      <c r="AU68">
        <v>2013</v>
      </c>
      <c r="AV68">
        <v>45</v>
      </c>
      <c r="AW68">
        <v>1</v>
      </c>
      <c r="AX68" t="s">
        <v>74</v>
      </c>
      <c r="AY68" t="s">
        <v>74</v>
      </c>
      <c r="AZ68" t="s">
        <v>74</v>
      </c>
      <c r="BA68" t="s">
        <v>74</v>
      </c>
      <c r="BB68">
        <v>50</v>
      </c>
      <c r="BC68">
        <v>63</v>
      </c>
      <c r="BD68" t="s">
        <v>74</v>
      </c>
      <c r="BE68" t="s">
        <v>1412</v>
      </c>
      <c r="BF68" t="str">
        <f>HYPERLINK("http://dx.doi.org/10.1657/1938-4246-45.1.50","http://dx.doi.org/10.1657/1938-4246-45.1.50")</f>
        <v>http://dx.doi.org/10.1657/1938-4246-45.1.50</v>
      </c>
      <c r="BG68" t="s">
        <v>74</v>
      </c>
      <c r="BH68" t="s">
        <v>74</v>
      </c>
      <c r="BI68">
        <v>14</v>
      </c>
      <c r="BJ68" t="s">
        <v>1328</v>
      </c>
      <c r="BK68" t="s">
        <v>102</v>
      </c>
      <c r="BL68" t="s">
        <v>1164</v>
      </c>
      <c r="BM68" t="s">
        <v>1329</v>
      </c>
      <c r="BN68" t="s">
        <v>74</v>
      </c>
      <c r="BO68" t="s">
        <v>1396</v>
      </c>
      <c r="BP68" t="s">
        <v>74</v>
      </c>
      <c r="BQ68" t="s">
        <v>74</v>
      </c>
      <c r="BR68" t="s">
        <v>105</v>
      </c>
      <c r="BS68" t="s">
        <v>1413</v>
      </c>
      <c r="BT68" t="str">
        <f>HYPERLINK("https%3A%2F%2Fwww.webofscience.com%2Fwos%2Fwoscc%2Ffull-record%2FWOS:000329533000006","View Full Record in Web of Science")</f>
        <v>View Full Record in Web of Science</v>
      </c>
    </row>
    <row r="69" spans="1:72" x14ac:dyDescent="0.15">
      <c r="A69" t="s">
        <v>72</v>
      </c>
      <c r="B69" t="s">
        <v>1414</v>
      </c>
      <c r="C69" t="s">
        <v>74</v>
      </c>
      <c r="D69" t="s">
        <v>74</v>
      </c>
      <c r="E69" t="s">
        <v>74</v>
      </c>
      <c r="F69" t="s">
        <v>1415</v>
      </c>
      <c r="G69" t="s">
        <v>74</v>
      </c>
      <c r="H69" t="s">
        <v>74</v>
      </c>
      <c r="I69" t="s">
        <v>1416</v>
      </c>
      <c r="J69" t="s">
        <v>1315</v>
      </c>
      <c r="K69" t="s">
        <v>74</v>
      </c>
      <c r="L69" t="s">
        <v>74</v>
      </c>
      <c r="M69" t="s">
        <v>78</v>
      </c>
      <c r="N69" t="s">
        <v>79</v>
      </c>
      <c r="O69" t="s">
        <v>74</v>
      </c>
      <c r="P69" t="s">
        <v>74</v>
      </c>
      <c r="Q69" t="s">
        <v>74</v>
      </c>
      <c r="R69" t="s">
        <v>74</v>
      </c>
      <c r="S69" t="s">
        <v>74</v>
      </c>
      <c r="T69" t="s">
        <v>74</v>
      </c>
      <c r="U69" t="s">
        <v>1417</v>
      </c>
      <c r="V69" t="s">
        <v>1418</v>
      </c>
      <c r="W69" t="s">
        <v>1419</v>
      </c>
      <c r="X69" t="s">
        <v>1420</v>
      </c>
      <c r="Y69" t="s">
        <v>1421</v>
      </c>
      <c r="Z69" t="s">
        <v>1422</v>
      </c>
      <c r="AA69" t="s">
        <v>74</v>
      </c>
      <c r="AB69" t="s">
        <v>74</v>
      </c>
      <c r="AC69" t="s">
        <v>1423</v>
      </c>
      <c r="AD69" t="s">
        <v>1424</v>
      </c>
      <c r="AE69" t="s">
        <v>1425</v>
      </c>
      <c r="AF69" t="s">
        <v>74</v>
      </c>
      <c r="AG69">
        <v>74</v>
      </c>
      <c r="AH69">
        <v>24</v>
      </c>
      <c r="AI69">
        <v>27</v>
      </c>
      <c r="AJ69">
        <v>0</v>
      </c>
      <c r="AK69">
        <v>32</v>
      </c>
      <c r="AL69" t="s">
        <v>1343</v>
      </c>
      <c r="AM69" t="s">
        <v>1344</v>
      </c>
      <c r="AN69" t="s">
        <v>1345</v>
      </c>
      <c r="AO69" t="s">
        <v>1323</v>
      </c>
      <c r="AP69" t="s">
        <v>1324</v>
      </c>
      <c r="AQ69" t="s">
        <v>74</v>
      </c>
      <c r="AR69" t="s">
        <v>1325</v>
      </c>
      <c r="AS69" t="s">
        <v>1326</v>
      </c>
      <c r="AT69" t="s">
        <v>98</v>
      </c>
      <c r="AU69">
        <v>2013</v>
      </c>
      <c r="AV69">
        <v>45</v>
      </c>
      <c r="AW69">
        <v>1</v>
      </c>
      <c r="AX69" t="s">
        <v>74</v>
      </c>
      <c r="AY69" t="s">
        <v>74</v>
      </c>
      <c r="AZ69" t="s">
        <v>74</v>
      </c>
      <c r="BA69" t="s">
        <v>74</v>
      </c>
      <c r="BB69">
        <v>64</v>
      </c>
      <c r="BC69">
        <v>76</v>
      </c>
      <c r="BD69" t="s">
        <v>74</v>
      </c>
      <c r="BE69" t="s">
        <v>1426</v>
      </c>
      <c r="BF69" t="str">
        <f>HYPERLINK("http://dx.doi.org/10.1657/1938-4246-45.1.64","http://dx.doi.org/10.1657/1938-4246-45.1.64")</f>
        <v>http://dx.doi.org/10.1657/1938-4246-45.1.64</v>
      </c>
      <c r="BG69" t="s">
        <v>74</v>
      </c>
      <c r="BH69" t="s">
        <v>74</v>
      </c>
      <c r="BI69">
        <v>13</v>
      </c>
      <c r="BJ69" t="s">
        <v>1328</v>
      </c>
      <c r="BK69" t="s">
        <v>102</v>
      </c>
      <c r="BL69" t="s">
        <v>1164</v>
      </c>
      <c r="BM69" t="s">
        <v>1329</v>
      </c>
      <c r="BN69" t="s">
        <v>74</v>
      </c>
      <c r="BO69" t="s">
        <v>1427</v>
      </c>
      <c r="BP69" t="s">
        <v>74</v>
      </c>
      <c r="BQ69" t="s">
        <v>74</v>
      </c>
      <c r="BR69" t="s">
        <v>105</v>
      </c>
      <c r="BS69" t="s">
        <v>1428</v>
      </c>
      <c r="BT69" t="str">
        <f>HYPERLINK("https%3A%2F%2Fwww.webofscience.com%2Fwos%2Fwoscc%2Ffull-record%2FWOS:000329533000007","View Full Record in Web of Science")</f>
        <v>View Full Record in Web of Science</v>
      </c>
    </row>
    <row r="70" spans="1:72" x14ac:dyDescent="0.15">
      <c r="A70" t="s">
        <v>72</v>
      </c>
      <c r="B70" t="s">
        <v>1429</v>
      </c>
      <c r="C70" t="s">
        <v>74</v>
      </c>
      <c r="D70" t="s">
        <v>74</v>
      </c>
      <c r="E70" t="s">
        <v>74</v>
      </c>
      <c r="F70" t="s">
        <v>1430</v>
      </c>
      <c r="G70" t="s">
        <v>74</v>
      </c>
      <c r="H70" t="s">
        <v>74</v>
      </c>
      <c r="I70" t="s">
        <v>1431</v>
      </c>
      <c r="J70" t="s">
        <v>1315</v>
      </c>
      <c r="K70" t="s">
        <v>74</v>
      </c>
      <c r="L70" t="s">
        <v>74</v>
      </c>
      <c r="M70" t="s">
        <v>78</v>
      </c>
      <c r="N70" t="s">
        <v>79</v>
      </c>
      <c r="O70" t="s">
        <v>74</v>
      </c>
      <c r="P70" t="s">
        <v>74</v>
      </c>
      <c r="Q70" t="s">
        <v>74</v>
      </c>
      <c r="R70" t="s">
        <v>74</v>
      </c>
      <c r="S70" t="s">
        <v>74</v>
      </c>
      <c r="T70" t="s">
        <v>74</v>
      </c>
      <c r="U70" t="s">
        <v>1432</v>
      </c>
      <c r="V70" t="s">
        <v>1433</v>
      </c>
      <c r="W70" t="s">
        <v>1434</v>
      </c>
      <c r="X70" t="s">
        <v>1435</v>
      </c>
      <c r="Y70" t="s">
        <v>1436</v>
      </c>
      <c r="Z70" t="s">
        <v>1437</v>
      </c>
      <c r="AA70" t="s">
        <v>1438</v>
      </c>
      <c r="AB70" t="s">
        <v>1439</v>
      </c>
      <c r="AC70" t="s">
        <v>1440</v>
      </c>
      <c r="AD70" t="s">
        <v>1441</v>
      </c>
      <c r="AE70" t="s">
        <v>1442</v>
      </c>
      <c r="AF70" t="s">
        <v>74</v>
      </c>
      <c r="AG70">
        <v>52</v>
      </c>
      <c r="AH70">
        <v>35</v>
      </c>
      <c r="AI70">
        <v>38</v>
      </c>
      <c r="AJ70">
        <v>1</v>
      </c>
      <c r="AK70">
        <v>34</v>
      </c>
      <c r="AL70" t="s">
        <v>1320</v>
      </c>
      <c r="AM70" t="s">
        <v>1321</v>
      </c>
      <c r="AN70" t="s">
        <v>1322</v>
      </c>
      <c r="AO70" t="s">
        <v>1323</v>
      </c>
      <c r="AP70" t="s">
        <v>1324</v>
      </c>
      <c r="AQ70" t="s">
        <v>74</v>
      </c>
      <c r="AR70" t="s">
        <v>1325</v>
      </c>
      <c r="AS70" t="s">
        <v>1326</v>
      </c>
      <c r="AT70" t="s">
        <v>98</v>
      </c>
      <c r="AU70">
        <v>2013</v>
      </c>
      <c r="AV70">
        <v>45</v>
      </c>
      <c r="AW70">
        <v>1</v>
      </c>
      <c r="AX70" t="s">
        <v>74</v>
      </c>
      <c r="AY70" t="s">
        <v>74</v>
      </c>
      <c r="AZ70" t="s">
        <v>74</v>
      </c>
      <c r="BA70" t="s">
        <v>74</v>
      </c>
      <c r="BB70">
        <v>77</v>
      </c>
      <c r="BC70">
        <v>87</v>
      </c>
      <c r="BD70" t="s">
        <v>74</v>
      </c>
      <c r="BE70" t="s">
        <v>1443</v>
      </c>
      <c r="BF70" t="str">
        <f>HYPERLINK("http://dx.doi.org/10.1657/1938-4246-45.1.77","http://dx.doi.org/10.1657/1938-4246-45.1.77")</f>
        <v>http://dx.doi.org/10.1657/1938-4246-45.1.77</v>
      </c>
      <c r="BG70" t="s">
        <v>74</v>
      </c>
      <c r="BH70" t="s">
        <v>74</v>
      </c>
      <c r="BI70">
        <v>11</v>
      </c>
      <c r="BJ70" t="s">
        <v>1328</v>
      </c>
      <c r="BK70" t="s">
        <v>102</v>
      </c>
      <c r="BL70" t="s">
        <v>1164</v>
      </c>
      <c r="BM70" t="s">
        <v>1329</v>
      </c>
      <c r="BN70" t="s">
        <v>74</v>
      </c>
      <c r="BO70" t="s">
        <v>155</v>
      </c>
      <c r="BP70" t="s">
        <v>74</v>
      </c>
      <c r="BQ70" t="s">
        <v>74</v>
      </c>
      <c r="BR70" t="s">
        <v>105</v>
      </c>
      <c r="BS70" t="s">
        <v>1444</v>
      </c>
      <c r="BT70" t="str">
        <f>HYPERLINK("https%3A%2F%2Fwww.webofscience.com%2Fwos%2Fwoscc%2Ffull-record%2FWOS:000329533000008","View Full Record in Web of Science")</f>
        <v>View Full Record in Web of Science</v>
      </c>
    </row>
    <row r="71" spans="1:72" x14ac:dyDescent="0.15">
      <c r="A71" t="s">
        <v>72</v>
      </c>
      <c r="B71" t="s">
        <v>1445</v>
      </c>
      <c r="C71" t="s">
        <v>74</v>
      </c>
      <c r="D71" t="s">
        <v>74</v>
      </c>
      <c r="E71" t="s">
        <v>74</v>
      </c>
      <c r="F71" t="s">
        <v>1446</v>
      </c>
      <c r="G71" t="s">
        <v>74</v>
      </c>
      <c r="H71" t="s">
        <v>74</v>
      </c>
      <c r="I71" t="s">
        <v>1447</v>
      </c>
      <c r="J71" t="s">
        <v>1315</v>
      </c>
      <c r="K71" t="s">
        <v>74</v>
      </c>
      <c r="L71" t="s">
        <v>74</v>
      </c>
      <c r="M71" t="s">
        <v>78</v>
      </c>
      <c r="N71" t="s">
        <v>79</v>
      </c>
      <c r="O71" t="s">
        <v>74</v>
      </c>
      <c r="P71" t="s">
        <v>74</v>
      </c>
      <c r="Q71" t="s">
        <v>74</v>
      </c>
      <c r="R71" t="s">
        <v>74</v>
      </c>
      <c r="S71" t="s">
        <v>74</v>
      </c>
      <c r="T71" t="s">
        <v>74</v>
      </c>
      <c r="U71" t="s">
        <v>1448</v>
      </c>
      <c r="V71" t="s">
        <v>1449</v>
      </c>
      <c r="W71" t="s">
        <v>1450</v>
      </c>
      <c r="X71" t="s">
        <v>1451</v>
      </c>
      <c r="Y71" t="s">
        <v>1452</v>
      </c>
      <c r="Z71" t="s">
        <v>1453</v>
      </c>
      <c r="AA71" t="s">
        <v>74</v>
      </c>
      <c r="AB71" t="s">
        <v>1454</v>
      </c>
      <c r="AC71" t="s">
        <v>1455</v>
      </c>
      <c r="AD71" t="s">
        <v>1455</v>
      </c>
      <c r="AE71" t="s">
        <v>1456</v>
      </c>
      <c r="AF71" t="s">
        <v>74</v>
      </c>
      <c r="AG71">
        <v>98</v>
      </c>
      <c r="AH71">
        <v>16</v>
      </c>
      <c r="AI71">
        <v>21</v>
      </c>
      <c r="AJ71">
        <v>0</v>
      </c>
      <c r="AK71">
        <v>35</v>
      </c>
      <c r="AL71" t="s">
        <v>1343</v>
      </c>
      <c r="AM71" t="s">
        <v>1344</v>
      </c>
      <c r="AN71" t="s">
        <v>1345</v>
      </c>
      <c r="AO71" t="s">
        <v>1323</v>
      </c>
      <c r="AP71" t="s">
        <v>1324</v>
      </c>
      <c r="AQ71" t="s">
        <v>74</v>
      </c>
      <c r="AR71" t="s">
        <v>1325</v>
      </c>
      <c r="AS71" t="s">
        <v>1326</v>
      </c>
      <c r="AT71" t="s">
        <v>98</v>
      </c>
      <c r="AU71">
        <v>2013</v>
      </c>
      <c r="AV71">
        <v>45</v>
      </c>
      <c r="AW71">
        <v>1</v>
      </c>
      <c r="AX71" t="s">
        <v>74</v>
      </c>
      <c r="AY71" t="s">
        <v>74</v>
      </c>
      <c r="AZ71" t="s">
        <v>74</v>
      </c>
      <c r="BA71" t="s">
        <v>74</v>
      </c>
      <c r="BB71">
        <v>88</v>
      </c>
      <c r="BC71">
        <v>98</v>
      </c>
      <c r="BD71" t="s">
        <v>74</v>
      </c>
      <c r="BE71" t="s">
        <v>1457</v>
      </c>
      <c r="BF71" t="str">
        <f>HYPERLINK("http://dx.doi.org/10.1657/1938-4246-45.1.88","http://dx.doi.org/10.1657/1938-4246-45.1.88")</f>
        <v>http://dx.doi.org/10.1657/1938-4246-45.1.88</v>
      </c>
      <c r="BG71" t="s">
        <v>74</v>
      </c>
      <c r="BH71" t="s">
        <v>74</v>
      </c>
      <c r="BI71">
        <v>11</v>
      </c>
      <c r="BJ71" t="s">
        <v>1328</v>
      </c>
      <c r="BK71" t="s">
        <v>102</v>
      </c>
      <c r="BL71" t="s">
        <v>1164</v>
      </c>
      <c r="BM71" t="s">
        <v>1329</v>
      </c>
      <c r="BN71" t="s">
        <v>74</v>
      </c>
      <c r="BO71" t="s">
        <v>155</v>
      </c>
      <c r="BP71" t="s">
        <v>74</v>
      </c>
      <c r="BQ71" t="s">
        <v>74</v>
      </c>
      <c r="BR71" t="s">
        <v>105</v>
      </c>
      <c r="BS71" t="s">
        <v>1458</v>
      </c>
      <c r="BT71" t="str">
        <f>HYPERLINK("https%3A%2F%2Fwww.webofscience.com%2Fwos%2Fwoscc%2Ffull-record%2FWOS:000329533000009","View Full Record in Web of Science")</f>
        <v>View Full Record in Web of Science</v>
      </c>
    </row>
    <row r="72" spans="1:72" x14ac:dyDescent="0.15">
      <c r="A72" t="s">
        <v>72</v>
      </c>
      <c r="B72" t="s">
        <v>1459</v>
      </c>
      <c r="C72" t="s">
        <v>74</v>
      </c>
      <c r="D72" t="s">
        <v>74</v>
      </c>
      <c r="E72" t="s">
        <v>74</v>
      </c>
      <c r="F72" t="s">
        <v>1460</v>
      </c>
      <c r="G72" t="s">
        <v>74</v>
      </c>
      <c r="H72" t="s">
        <v>74</v>
      </c>
      <c r="I72" t="s">
        <v>1461</v>
      </c>
      <c r="J72" t="s">
        <v>1315</v>
      </c>
      <c r="K72" t="s">
        <v>74</v>
      </c>
      <c r="L72" t="s">
        <v>74</v>
      </c>
      <c r="M72" t="s">
        <v>78</v>
      </c>
      <c r="N72" t="s">
        <v>79</v>
      </c>
      <c r="O72" t="s">
        <v>74</v>
      </c>
      <c r="P72" t="s">
        <v>74</v>
      </c>
      <c r="Q72" t="s">
        <v>74</v>
      </c>
      <c r="R72" t="s">
        <v>74</v>
      </c>
      <c r="S72" t="s">
        <v>74</v>
      </c>
      <c r="T72" t="s">
        <v>74</v>
      </c>
      <c r="U72" t="s">
        <v>1462</v>
      </c>
      <c r="V72" t="s">
        <v>1463</v>
      </c>
      <c r="W72" t="s">
        <v>1464</v>
      </c>
      <c r="X72" t="s">
        <v>1465</v>
      </c>
      <c r="Y72" t="s">
        <v>1466</v>
      </c>
      <c r="Z72" t="s">
        <v>1467</v>
      </c>
      <c r="AA72" t="s">
        <v>1468</v>
      </c>
      <c r="AB72" t="s">
        <v>1469</v>
      </c>
      <c r="AC72" t="s">
        <v>1470</v>
      </c>
      <c r="AD72" t="s">
        <v>1471</v>
      </c>
      <c r="AE72" t="s">
        <v>1472</v>
      </c>
      <c r="AF72" t="s">
        <v>74</v>
      </c>
      <c r="AG72">
        <v>41</v>
      </c>
      <c r="AH72">
        <v>9</v>
      </c>
      <c r="AI72">
        <v>11</v>
      </c>
      <c r="AJ72">
        <v>0</v>
      </c>
      <c r="AK72">
        <v>30</v>
      </c>
      <c r="AL72" t="s">
        <v>1343</v>
      </c>
      <c r="AM72" t="s">
        <v>1344</v>
      </c>
      <c r="AN72" t="s">
        <v>1345</v>
      </c>
      <c r="AO72" t="s">
        <v>1323</v>
      </c>
      <c r="AP72" t="s">
        <v>1324</v>
      </c>
      <c r="AQ72" t="s">
        <v>74</v>
      </c>
      <c r="AR72" t="s">
        <v>1325</v>
      </c>
      <c r="AS72" t="s">
        <v>1326</v>
      </c>
      <c r="AT72" t="s">
        <v>98</v>
      </c>
      <c r="AU72">
        <v>2013</v>
      </c>
      <c r="AV72">
        <v>45</v>
      </c>
      <c r="AW72">
        <v>1</v>
      </c>
      <c r="AX72" t="s">
        <v>74</v>
      </c>
      <c r="AY72" t="s">
        <v>74</v>
      </c>
      <c r="AZ72" t="s">
        <v>74</v>
      </c>
      <c r="BA72" t="s">
        <v>74</v>
      </c>
      <c r="BB72">
        <v>99</v>
      </c>
      <c r="BC72">
        <v>106</v>
      </c>
      <c r="BD72" t="s">
        <v>74</v>
      </c>
      <c r="BE72" t="s">
        <v>1473</v>
      </c>
      <c r="BF72" t="str">
        <f>HYPERLINK("http://dx.doi.org/10.1657/1938-4246-45.1.99","http://dx.doi.org/10.1657/1938-4246-45.1.99")</f>
        <v>http://dx.doi.org/10.1657/1938-4246-45.1.99</v>
      </c>
      <c r="BG72" t="s">
        <v>74</v>
      </c>
      <c r="BH72" t="s">
        <v>74</v>
      </c>
      <c r="BI72">
        <v>8</v>
      </c>
      <c r="BJ72" t="s">
        <v>1328</v>
      </c>
      <c r="BK72" t="s">
        <v>102</v>
      </c>
      <c r="BL72" t="s">
        <v>1164</v>
      </c>
      <c r="BM72" t="s">
        <v>1329</v>
      </c>
      <c r="BN72" t="s">
        <v>74</v>
      </c>
      <c r="BO72" t="s">
        <v>155</v>
      </c>
      <c r="BP72" t="s">
        <v>74</v>
      </c>
      <c r="BQ72" t="s">
        <v>74</v>
      </c>
      <c r="BR72" t="s">
        <v>105</v>
      </c>
      <c r="BS72" t="s">
        <v>1474</v>
      </c>
      <c r="BT72" t="str">
        <f>HYPERLINK("https%3A%2F%2Fwww.webofscience.com%2Fwos%2Fwoscc%2Ffull-record%2FWOS:000329533000010","View Full Record in Web of Science")</f>
        <v>View Full Record in Web of Science</v>
      </c>
    </row>
    <row r="73" spans="1:72" x14ac:dyDescent="0.15">
      <c r="A73" t="s">
        <v>72</v>
      </c>
      <c r="B73" t="s">
        <v>1475</v>
      </c>
      <c r="C73" t="s">
        <v>74</v>
      </c>
      <c r="D73" t="s">
        <v>74</v>
      </c>
      <c r="E73" t="s">
        <v>74</v>
      </c>
      <c r="F73" t="s">
        <v>1476</v>
      </c>
      <c r="G73" t="s">
        <v>74</v>
      </c>
      <c r="H73" t="s">
        <v>74</v>
      </c>
      <c r="I73" t="s">
        <v>1477</v>
      </c>
      <c r="J73" t="s">
        <v>1315</v>
      </c>
      <c r="K73" t="s">
        <v>74</v>
      </c>
      <c r="L73" t="s">
        <v>74</v>
      </c>
      <c r="M73" t="s">
        <v>78</v>
      </c>
      <c r="N73" t="s">
        <v>79</v>
      </c>
      <c r="O73" t="s">
        <v>74</v>
      </c>
      <c r="P73" t="s">
        <v>74</v>
      </c>
      <c r="Q73" t="s">
        <v>74</v>
      </c>
      <c r="R73" t="s">
        <v>74</v>
      </c>
      <c r="S73" t="s">
        <v>74</v>
      </c>
      <c r="T73" t="s">
        <v>74</v>
      </c>
      <c r="U73" t="s">
        <v>1478</v>
      </c>
      <c r="V73" t="s">
        <v>1479</v>
      </c>
      <c r="W73" t="s">
        <v>1480</v>
      </c>
      <c r="X73" t="s">
        <v>1481</v>
      </c>
      <c r="Y73" t="s">
        <v>1482</v>
      </c>
      <c r="Z73" t="s">
        <v>1483</v>
      </c>
      <c r="AA73" t="s">
        <v>1484</v>
      </c>
      <c r="AB73" t="s">
        <v>1485</v>
      </c>
      <c r="AC73" t="s">
        <v>74</v>
      </c>
      <c r="AD73" t="s">
        <v>74</v>
      </c>
      <c r="AE73" t="s">
        <v>74</v>
      </c>
      <c r="AF73" t="s">
        <v>74</v>
      </c>
      <c r="AG73">
        <v>47</v>
      </c>
      <c r="AH73">
        <v>30</v>
      </c>
      <c r="AI73">
        <v>31</v>
      </c>
      <c r="AJ73">
        <v>0</v>
      </c>
      <c r="AK73">
        <v>17</v>
      </c>
      <c r="AL73" t="s">
        <v>1343</v>
      </c>
      <c r="AM73" t="s">
        <v>1344</v>
      </c>
      <c r="AN73" t="s">
        <v>1345</v>
      </c>
      <c r="AO73" t="s">
        <v>1323</v>
      </c>
      <c r="AP73" t="s">
        <v>1324</v>
      </c>
      <c r="AQ73" t="s">
        <v>74</v>
      </c>
      <c r="AR73" t="s">
        <v>1325</v>
      </c>
      <c r="AS73" t="s">
        <v>1326</v>
      </c>
      <c r="AT73" t="s">
        <v>98</v>
      </c>
      <c r="AU73">
        <v>2013</v>
      </c>
      <c r="AV73">
        <v>45</v>
      </c>
      <c r="AW73">
        <v>1</v>
      </c>
      <c r="AX73" t="s">
        <v>74</v>
      </c>
      <c r="AY73" t="s">
        <v>74</v>
      </c>
      <c r="AZ73" t="s">
        <v>74</v>
      </c>
      <c r="BA73" t="s">
        <v>74</v>
      </c>
      <c r="BB73">
        <v>107</v>
      </c>
      <c r="BC73">
        <v>118</v>
      </c>
      <c r="BD73" t="s">
        <v>74</v>
      </c>
      <c r="BE73" t="s">
        <v>1486</v>
      </c>
      <c r="BF73" t="str">
        <f>HYPERLINK("http://dx.doi.org/10.1657/1938-4246-45.1.107","http://dx.doi.org/10.1657/1938-4246-45.1.107")</f>
        <v>http://dx.doi.org/10.1657/1938-4246-45.1.107</v>
      </c>
      <c r="BG73" t="s">
        <v>74</v>
      </c>
      <c r="BH73" t="s">
        <v>74</v>
      </c>
      <c r="BI73">
        <v>12</v>
      </c>
      <c r="BJ73" t="s">
        <v>1328</v>
      </c>
      <c r="BK73" t="s">
        <v>102</v>
      </c>
      <c r="BL73" t="s">
        <v>1164</v>
      </c>
      <c r="BM73" t="s">
        <v>1329</v>
      </c>
      <c r="BN73" t="s">
        <v>74</v>
      </c>
      <c r="BO73" t="s">
        <v>1487</v>
      </c>
      <c r="BP73" t="s">
        <v>74</v>
      </c>
      <c r="BQ73" t="s">
        <v>74</v>
      </c>
      <c r="BR73" t="s">
        <v>105</v>
      </c>
      <c r="BS73" t="s">
        <v>1488</v>
      </c>
      <c r="BT73" t="str">
        <f>HYPERLINK("https%3A%2F%2Fwww.webofscience.com%2Fwos%2Fwoscc%2Ffull-record%2FWOS:000329533000011","View Full Record in Web of Science")</f>
        <v>View Full Record in Web of Science</v>
      </c>
    </row>
    <row r="74" spans="1:72" x14ac:dyDescent="0.15">
      <c r="A74" t="s">
        <v>72</v>
      </c>
      <c r="B74" t="s">
        <v>1489</v>
      </c>
      <c r="C74" t="s">
        <v>74</v>
      </c>
      <c r="D74" t="s">
        <v>74</v>
      </c>
      <c r="E74" t="s">
        <v>74</v>
      </c>
      <c r="F74" t="s">
        <v>1490</v>
      </c>
      <c r="G74" t="s">
        <v>74</v>
      </c>
      <c r="H74" t="s">
        <v>74</v>
      </c>
      <c r="I74" t="s">
        <v>1491</v>
      </c>
      <c r="J74" t="s">
        <v>1315</v>
      </c>
      <c r="K74" t="s">
        <v>74</v>
      </c>
      <c r="L74" t="s">
        <v>74</v>
      </c>
      <c r="M74" t="s">
        <v>78</v>
      </c>
      <c r="N74" t="s">
        <v>79</v>
      </c>
      <c r="O74" t="s">
        <v>74</v>
      </c>
      <c r="P74" t="s">
        <v>74</v>
      </c>
      <c r="Q74" t="s">
        <v>74</v>
      </c>
      <c r="R74" t="s">
        <v>74</v>
      </c>
      <c r="S74" t="s">
        <v>74</v>
      </c>
      <c r="T74" t="s">
        <v>74</v>
      </c>
      <c r="U74" t="s">
        <v>1492</v>
      </c>
      <c r="V74" t="s">
        <v>1493</v>
      </c>
      <c r="W74" t="s">
        <v>1494</v>
      </c>
      <c r="X74" t="s">
        <v>1495</v>
      </c>
      <c r="Y74" t="s">
        <v>1496</v>
      </c>
      <c r="Z74" t="s">
        <v>1497</v>
      </c>
      <c r="AA74" t="s">
        <v>1498</v>
      </c>
      <c r="AB74" t="s">
        <v>1499</v>
      </c>
      <c r="AC74" t="s">
        <v>1500</v>
      </c>
      <c r="AD74" t="s">
        <v>1501</v>
      </c>
      <c r="AE74" t="s">
        <v>1502</v>
      </c>
      <c r="AF74" t="s">
        <v>74</v>
      </c>
      <c r="AG74">
        <v>56</v>
      </c>
      <c r="AH74">
        <v>3</v>
      </c>
      <c r="AI74">
        <v>3</v>
      </c>
      <c r="AJ74">
        <v>0</v>
      </c>
      <c r="AK74">
        <v>12</v>
      </c>
      <c r="AL74" t="s">
        <v>1320</v>
      </c>
      <c r="AM74" t="s">
        <v>1321</v>
      </c>
      <c r="AN74" t="s">
        <v>1322</v>
      </c>
      <c r="AO74" t="s">
        <v>1323</v>
      </c>
      <c r="AP74" t="s">
        <v>1324</v>
      </c>
      <c r="AQ74" t="s">
        <v>74</v>
      </c>
      <c r="AR74" t="s">
        <v>1325</v>
      </c>
      <c r="AS74" t="s">
        <v>1326</v>
      </c>
      <c r="AT74" t="s">
        <v>98</v>
      </c>
      <c r="AU74">
        <v>2013</v>
      </c>
      <c r="AV74">
        <v>45</v>
      </c>
      <c r="AW74">
        <v>1</v>
      </c>
      <c r="AX74" t="s">
        <v>74</v>
      </c>
      <c r="AY74" t="s">
        <v>74</v>
      </c>
      <c r="AZ74" t="s">
        <v>74</v>
      </c>
      <c r="BA74" t="s">
        <v>74</v>
      </c>
      <c r="BB74">
        <v>119</v>
      </c>
      <c r="BC74">
        <v>131</v>
      </c>
      <c r="BD74" t="s">
        <v>74</v>
      </c>
      <c r="BE74" t="s">
        <v>1503</v>
      </c>
      <c r="BF74" t="str">
        <f>HYPERLINK("http://dx.doi.org/10.1657/1938-4246-45.1.119","http://dx.doi.org/10.1657/1938-4246-45.1.119")</f>
        <v>http://dx.doi.org/10.1657/1938-4246-45.1.119</v>
      </c>
      <c r="BG74" t="s">
        <v>74</v>
      </c>
      <c r="BH74" t="s">
        <v>74</v>
      </c>
      <c r="BI74">
        <v>13</v>
      </c>
      <c r="BJ74" t="s">
        <v>1328</v>
      </c>
      <c r="BK74" t="s">
        <v>102</v>
      </c>
      <c r="BL74" t="s">
        <v>1164</v>
      </c>
      <c r="BM74" t="s">
        <v>1329</v>
      </c>
      <c r="BN74" t="s">
        <v>74</v>
      </c>
      <c r="BO74" t="s">
        <v>74</v>
      </c>
      <c r="BP74" t="s">
        <v>74</v>
      </c>
      <c r="BQ74" t="s">
        <v>74</v>
      </c>
      <c r="BR74" t="s">
        <v>105</v>
      </c>
      <c r="BS74" t="s">
        <v>1504</v>
      </c>
      <c r="BT74" t="str">
        <f>HYPERLINK("https%3A%2F%2Fwww.webofscience.com%2Fwos%2Fwoscc%2Ffull-record%2FWOS:000329533000012","View Full Record in Web of Science")</f>
        <v>View Full Record in Web of Science</v>
      </c>
    </row>
    <row r="75" spans="1:72" x14ac:dyDescent="0.15">
      <c r="A75" t="s">
        <v>72</v>
      </c>
      <c r="B75" t="s">
        <v>1505</v>
      </c>
      <c r="C75" t="s">
        <v>74</v>
      </c>
      <c r="D75" t="s">
        <v>74</v>
      </c>
      <c r="E75" t="s">
        <v>74</v>
      </c>
      <c r="F75" t="s">
        <v>1506</v>
      </c>
      <c r="G75" t="s">
        <v>74</v>
      </c>
      <c r="H75" t="s">
        <v>74</v>
      </c>
      <c r="I75" t="s">
        <v>1507</v>
      </c>
      <c r="J75" t="s">
        <v>1315</v>
      </c>
      <c r="K75" t="s">
        <v>74</v>
      </c>
      <c r="L75" t="s">
        <v>74</v>
      </c>
      <c r="M75" t="s">
        <v>78</v>
      </c>
      <c r="N75" t="s">
        <v>79</v>
      </c>
      <c r="O75" t="s">
        <v>74</v>
      </c>
      <c r="P75" t="s">
        <v>74</v>
      </c>
      <c r="Q75" t="s">
        <v>74</v>
      </c>
      <c r="R75" t="s">
        <v>74</v>
      </c>
      <c r="S75" t="s">
        <v>74</v>
      </c>
      <c r="T75" t="s">
        <v>74</v>
      </c>
      <c r="U75" t="s">
        <v>1508</v>
      </c>
      <c r="V75" t="s">
        <v>1509</v>
      </c>
      <c r="W75" t="s">
        <v>1510</v>
      </c>
      <c r="X75" t="s">
        <v>1511</v>
      </c>
      <c r="Y75" t="s">
        <v>1512</v>
      </c>
      <c r="Z75" t="s">
        <v>1513</v>
      </c>
      <c r="AA75" t="s">
        <v>1514</v>
      </c>
      <c r="AB75" t="s">
        <v>1515</v>
      </c>
      <c r="AC75" t="s">
        <v>1516</v>
      </c>
      <c r="AD75" t="s">
        <v>1517</v>
      </c>
      <c r="AE75" t="s">
        <v>1518</v>
      </c>
      <c r="AF75" t="s">
        <v>74</v>
      </c>
      <c r="AG75">
        <v>45</v>
      </c>
      <c r="AH75">
        <v>9</v>
      </c>
      <c r="AI75">
        <v>8</v>
      </c>
      <c r="AJ75">
        <v>1</v>
      </c>
      <c r="AK75">
        <v>15</v>
      </c>
      <c r="AL75" t="s">
        <v>1343</v>
      </c>
      <c r="AM75" t="s">
        <v>1344</v>
      </c>
      <c r="AN75" t="s">
        <v>1345</v>
      </c>
      <c r="AO75" t="s">
        <v>1323</v>
      </c>
      <c r="AP75" t="s">
        <v>1324</v>
      </c>
      <c r="AQ75" t="s">
        <v>74</v>
      </c>
      <c r="AR75" t="s">
        <v>1325</v>
      </c>
      <c r="AS75" t="s">
        <v>1326</v>
      </c>
      <c r="AT75" t="s">
        <v>98</v>
      </c>
      <c r="AU75">
        <v>2013</v>
      </c>
      <c r="AV75">
        <v>45</v>
      </c>
      <c r="AW75">
        <v>1</v>
      </c>
      <c r="AX75" t="s">
        <v>74</v>
      </c>
      <c r="AY75" t="s">
        <v>74</v>
      </c>
      <c r="AZ75" t="s">
        <v>74</v>
      </c>
      <c r="BA75" t="s">
        <v>74</v>
      </c>
      <c r="BB75">
        <v>132</v>
      </c>
      <c r="BC75">
        <v>142</v>
      </c>
      <c r="BD75" t="s">
        <v>74</v>
      </c>
      <c r="BE75" t="s">
        <v>1519</v>
      </c>
      <c r="BF75" t="str">
        <f>HYPERLINK("http://dx.doi.org/10.1657/1938-4246-45.1.132","http://dx.doi.org/10.1657/1938-4246-45.1.132")</f>
        <v>http://dx.doi.org/10.1657/1938-4246-45.1.132</v>
      </c>
      <c r="BG75" t="s">
        <v>74</v>
      </c>
      <c r="BH75" t="s">
        <v>74</v>
      </c>
      <c r="BI75">
        <v>11</v>
      </c>
      <c r="BJ75" t="s">
        <v>1328</v>
      </c>
      <c r="BK75" t="s">
        <v>102</v>
      </c>
      <c r="BL75" t="s">
        <v>1164</v>
      </c>
      <c r="BM75" t="s">
        <v>1329</v>
      </c>
      <c r="BN75" t="s">
        <v>74</v>
      </c>
      <c r="BO75" t="s">
        <v>128</v>
      </c>
      <c r="BP75" t="s">
        <v>74</v>
      </c>
      <c r="BQ75" t="s">
        <v>74</v>
      </c>
      <c r="BR75" t="s">
        <v>105</v>
      </c>
      <c r="BS75" t="s">
        <v>1520</v>
      </c>
      <c r="BT75" t="str">
        <f>HYPERLINK("https%3A%2F%2Fwww.webofscience.com%2Fwos%2Fwoscc%2Ffull-record%2FWOS:000329533000013","View Full Record in Web of Science")</f>
        <v>View Full Record in Web of Science</v>
      </c>
    </row>
    <row r="76" spans="1:72" x14ac:dyDescent="0.15">
      <c r="A76" t="s">
        <v>72</v>
      </c>
      <c r="B76" t="s">
        <v>1521</v>
      </c>
      <c r="C76" t="s">
        <v>74</v>
      </c>
      <c r="D76" t="s">
        <v>74</v>
      </c>
      <c r="E76" t="s">
        <v>74</v>
      </c>
      <c r="F76" t="s">
        <v>1522</v>
      </c>
      <c r="G76" t="s">
        <v>74</v>
      </c>
      <c r="H76" t="s">
        <v>74</v>
      </c>
      <c r="I76" t="s">
        <v>1523</v>
      </c>
      <c r="J76" t="s">
        <v>1315</v>
      </c>
      <c r="K76" t="s">
        <v>74</v>
      </c>
      <c r="L76" t="s">
        <v>74</v>
      </c>
      <c r="M76" t="s">
        <v>78</v>
      </c>
      <c r="N76" t="s">
        <v>79</v>
      </c>
      <c r="O76" t="s">
        <v>74</v>
      </c>
      <c r="P76" t="s">
        <v>74</v>
      </c>
      <c r="Q76" t="s">
        <v>74</v>
      </c>
      <c r="R76" t="s">
        <v>74</v>
      </c>
      <c r="S76" t="s">
        <v>74</v>
      </c>
      <c r="T76" t="s">
        <v>74</v>
      </c>
      <c r="U76" t="s">
        <v>1524</v>
      </c>
      <c r="V76" t="s">
        <v>1525</v>
      </c>
      <c r="W76" t="s">
        <v>1526</v>
      </c>
      <c r="X76" t="s">
        <v>1527</v>
      </c>
      <c r="Y76" t="s">
        <v>1528</v>
      </c>
      <c r="Z76" t="s">
        <v>1529</v>
      </c>
      <c r="AA76" t="s">
        <v>1530</v>
      </c>
      <c r="AB76" t="s">
        <v>1531</v>
      </c>
      <c r="AC76" t="s">
        <v>1532</v>
      </c>
      <c r="AD76" t="s">
        <v>1533</v>
      </c>
      <c r="AE76" t="s">
        <v>1534</v>
      </c>
      <c r="AF76" t="s">
        <v>74</v>
      </c>
      <c r="AG76">
        <v>42</v>
      </c>
      <c r="AH76">
        <v>4</v>
      </c>
      <c r="AI76">
        <v>5</v>
      </c>
      <c r="AJ76">
        <v>0</v>
      </c>
      <c r="AK76">
        <v>19</v>
      </c>
      <c r="AL76" t="s">
        <v>1320</v>
      </c>
      <c r="AM76" t="s">
        <v>1321</v>
      </c>
      <c r="AN76" t="s">
        <v>1322</v>
      </c>
      <c r="AO76" t="s">
        <v>1323</v>
      </c>
      <c r="AP76" t="s">
        <v>1324</v>
      </c>
      <c r="AQ76" t="s">
        <v>74</v>
      </c>
      <c r="AR76" t="s">
        <v>1325</v>
      </c>
      <c r="AS76" t="s">
        <v>1326</v>
      </c>
      <c r="AT76" t="s">
        <v>98</v>
      </c>
      <c r="AU76">
        <v>2013</v>
      </c>
      <c r="AV76">
        <v>45</v>
      </c>
      <c r="AW76">
        <v>1</v>
      </c>
      <c r="AX76" t="s">
        <v>74</v>
      </c>
      <c r="AY76" t="s">
        <v>74</v>
      </c>
      <c r="AZ76" t="s">
        <v>74</v>
      </c>
      <c r="BA76" t="s">
        <v>74</v>
      </c>
      <c r="BB76">
        <v>143</v>
      </c>
      <c r="BC76">
        <v>152</v>
      </c>
      <c r="BD76" t="s">
        <v>74</v>
      </c>
      <c r="BE76" t="s">
        <v>1535</v>
      </c>
      <c r="BF76" t="str">
        <f>HYPERLINK("http://dx.doi.org/10.1657/1938-4246-45.1.143","http://dx.doi.org/10.1657/1938-4246-45.1.143")</f>
        <v>http://dx.doi.org/10.1657/1938-4246-45.1.143</v>
      </c>
      <c r="BG76" t="s">
        <v>74</v>
      </c>
      <c r="BH76" t="s">
        <v>74</v>
      </c>
      <c r="BI76">
        <v>10</v>
      </c>
      <c r="BJ76" t="s">
        <v>1328</v>
      </c>
      <c r="BK76" t="s">
        <v>102</v>
      </c>
      <c r="BL76" t="s">
        <v>1164</v>
      </c>
      <c r="BM76" t="s">
        <v>1329</v>
      </c>
      <c r="BN76" t="s">
        <v>74</v>
      </c>
      <c r="BO76" t="s">
        <v>1396</v>
      </c>
      <c r="BP76" t="s">
        <v>74</v>
      </c>
      <c r="BQ76" t="s">
        <v>74</v>
      </c>
      <c r="BR76" t="s">
        <v>105</v>
      </c>
      <c r="BS76" t="s">
        <v>1536</v>
      </c>
      <c r="BT76" t="str">
        <f>HYPERLINK("https%3A%2F%2Fwww.webofscience.com%2Fwos%2Fwoscc%2Ffull-record%2FWOS:000329533000014","View Full Record in Web of Science")</f>
        <v>View Full Record in Web of Science</v>
      </c>
    </row>
    <row r="77" spans="1:72" x14ac:dyDescent="0.15">
      <c r="A77" t="s">
        <v>72</v>
      </c>
      <c r="B77" t="s">
        <v>1537</v>
      </c>
      <c r="C77" t="s">
        <v>74</v>
      </c>
      <c r="D77" t="s">
        <v>74</v>
      </c>
      <c r="E77" t="s">
        <v>74</v>
      </c>
      <c r="F77" t="s">
        <v>1538</v>
      </c>
      <c r="G77" t="s">
        <v>74</v>
      </c>
      <c r="H77" t="s">
        <v>74</v>
      </c>
      <c r="I77" t="s">
        <v>1539</v>
      </c>
      <c r="J77" t="s">
        <v>1540</v>
      </c>
      <c r="K77" t="s">
        <v>74</v>
      </c>
      <c r="L77" t="s">
        <v>74</v>
      </c>
      <c r="M77" t="s">
        <v>78</v>
      </c>
      <c r="N77" t="s">
        <v>79</v>
      </c>
      <c r="O77" t="s">
        <v>74</v>
      </c>
      <c r="P77" t="s">
        <v>74</v>
      </c>
      <c r="Q77" t="s">
        <v>74</v>
      </c>
      <c r="R77" t="s">
        <v>74</v>
      </c>
      <c r="S77" t="s">
        <v>74</v>
      </c>
      <c r="T77" t="s">
        <v>1541</v>
      </c>
      <c r="U77" t="s">
        <v>1542</v>
      </c>
      <c r="V77" t="s">
        <v>1543</v>
      </c>
      <c r="W77" t="s">
        <v>1544</v>
      </c>
      <c r="X77" t="s">
        <v>1249</v>
      </c>
      <c r="Y77" t="s">
        <v>1545</v>
      </c>
      <c r="Z77" t="s">
        <v>1546</v>
      </c>
      <c r="AA77" t="s">
        <v>1547</v>
      </c>
      <c r="AB77" t="s">
        <v>1548</v>
      </c>
      <c r="AC77" t="s">
        <v>1549</v>
      </c>
      <c r="AD77" t="s">
        <v>1550</v>
      </c>
      <c r="AE77" t="s">
        <v>74</v>
      </c>
      <c r="AF77" t="s">
        <v>74</v>
      </c>
      <c r="AG77">
        <v>64</v>
      </c>
      <c r="AH77">
        <v>48</v>
      </c>
      <c r="AI77">
        <v>49</v>
      </c>
      <c r="AJ77">
        <v>0</v>
      </c>
      <c r="AK77">
        <v>100</v>
      </c>
      <c r="AL77" t="s">
        <v>500</v>
      </c>
      <c r="AM77" t="s">
        <v>950</v>
      </c>
      <c r="AN77" t="s">
        <v>951</v>
      </c>
      <c r="AO77" t="s">
        <v>1551</v>
      </c>
      <c r="AP77" t="s">
        <v>1552</v>
      </c>
      <c r="AQ77" t="s">
        <v>74</v>
      </c>
      <c r="AR77" t="s">
        <v>1553</v>
      </c>
      <c r="AS77" t="s">
        <v>1554</v>
      </c>
      <c r="AT77" t="s">
        <v>98</v>
      </c>
      <c r="AU77">
        <v>2013</v>
      </c>
      <c r="AV77">
        <v>15</v>
      </c>
      <c r="AW77">
        <v>2</v>
      </c>
      <c r="AX77" t="s">
        <v>74</v>
      </c>
      <c r="AY77" t="s">
        <v>74</v>
      </c>
      <c r="AZ77" t="s">
        <v>74</v>
      </c>
      <c r="BA77" t="s">
        <v>74</v>
      </c>
      <c r="BB77">
        <v>269</v>
      </c>
      <c r="BC77">
        <v>281</v>
      </c>
      <c r="BD77" t="s">
        <v>74</v>
      </c>
      <c r="BE77" t="s">
        <v>1555</v>
      </c>
      <c r="BF77" t="str">
        <f>HYPERLINK("http://dx.doi.org/10.1007/s10530-012-0282-1","http://dx.doi.org/10.1007/s10530-012-0282-1")</f>
        <v>http://dx.doi.org/10.1007/s10530-012-0282-1</v>
      </c>
      <c r="BG77" t="s">
        <v>74</v>
      </c>
      <c r="BH77" t="s">
        <v>74</v>
      </c>
      <c r="BI77">
        <v>13</v>
      </c>
      <c r="BJ77" t="s">
        <v>981</v>
      </c>
      <c r="BK77" t="s">
        <v>102</v>
      </c>
      <c r="BL77" t="s">
        <v>958</v>
      </c>
      <c r="BM77" t="s">
        <v>1556</v>
      </c>
      <c r="BN77" t="s">
        <v>74</v>
      </c>
      <c r="BO77" t="s">
        <v>74</v>
      </c>
      <c r="BP77" t="s">
        <v>74</v>
      </c>
      <c r="BQ77" t="s">
        <v>74</v>
      </c>
      <c r="BR77" t="s">
        <v>105</v>
      </c>
      <c r="BS77" t="s">
        <v>1557</v>
      </c>
      <c r="BT77" t="str">
        <f>HYPERLINK("https%3A%2F%2Fwww.webofscience.com%2Fwos%2Fwoscc%2Ffull-record%2FWOS:000313030500005","View Full Record in Web of Science")</f>
        <v>View Full Record in Web of Science</v>
      </c>
    </row>
    <row r="78" spans="1:72" x14ac:dyDescent="0.15">
      <c r="A78" t="s">
        <v>72</v>
      </c>
      <c r="B78" t="s">
        <v>1558</v>
      </c>
      <c r="C78" t="s">
        <v>74</v>
      </c>
      <c r="D78" t="s">
        <v>74</v>
      </c>
      <c r="E78" t="s">
        <v>74</v>
      </c>
      <c r="F78" t="s">
        <v>1559</v>
      </c>
      <c r="G78" t="s">
        <v>74</v>
      </c>
      <c r="H78" t="s">
        <v>74</v>
      </c>
      <c r="I78" t="s">
        <v>1560</v>
      </c>
      <c r="J78" t="s">
        <v>1561</v>
      </c>
      <c r="K78" t="s">
        <v>74</v>
      </c>
      <c r="L78" t="s">
        <v>74</v>
      </c>
      <c r="M78" t="s">
        <v>78</v>
      </c>
      <c r="N78" t="s">
        <v>79</v>
      </c>
      <c r="O78" t="s">
        <v>74</v>
      </c>
      <c r="P78" t="s">
        <v>74</v>
      </c>
      <c r="Q78" t="s">
        <v>74</v>
      </c>
      <c r="R78" t="s">
        <v>74</v>
      </c>
      <c r="S78" t="s">
        <v>74</v>
      </c>
      <c r="T78" t="s">
        <v>1562</v>
      </c>
      <c r="U78" t="s">
        <v>1563</v>
      </c>
      <c r="V78" t="s">
        <v>1564</v>
      </c>
      <c r="W78" t="s">
        <v>1565</v>
      </c>
      <c r="X78" t="s">
        <v>1566</v>
      </c>
      <c r="Y78" t="s">
        <v>1567</v>
      </c>
      <c r="Z78" t="s">
        <v>1568</v>
      </c>
      <c r="AA78" t="s">
        <v>1569</v>
      </c>
      <c r="AB78" t="s">
        <v>1570</v>
      </c>
      <c r="AC78" t="s">
        <v>1571</v>
      </c>
      <c r="AD78" t="s">
        <v>1572</v>
      </c>
      <c r="AE78" t="s">
        <v>1573</v>
      </c>
      <c r="AF78" t="s">
        <v>74</v>
      </c>
      <c r="AG78">
        <v>147</v>
      </c>
      <c r="AH78">
        <v>81</v>
      </c>
      <c r="AI78">
        <v>93</v>
      </c>
      <c r="AJ78">
        <v>13</v>
      </c>
      <c r="AK78">
        <v>281</v>
      </c>
      <c r="AL78" t="s">
        <v>257</v>
      </c>
      <c r="AM78" t="s">
        <v>215</v>
      </c>
      <c r="AN78" t="s">
        <v>216</v>
      </c>
      <c r="AO78" t="s">
        <v>1574</v>
      </c>
      <c r="AP78" t="s">
        <v>1575</v>
      </c>
      <c r="AQ78" t="s">
        <v>74</v>
      </c>
      <c r="AR78" t="s">
        <v>1576</v>
      </c>
      <c r="AS78" t="s">
        <v>1577</v>
      </c>
      <c r="AT78" t="s">
        <v>98</v>
      </c>
      <c r="AU78">
        <v>2013</v>
      </c>
      <c r="AV78">
        <v>88</v>
      </c>
      <c r="AW78">
        <v>1</v>
      </c>
      <c r="AX78" t="s">
        <v>74</v>
      </c>
      <c r="AY78" t="s">
        <v>74</v>
      </c>
      <c r="AZ78" t="s">
        <v>74</v>
      </c>
      <c r="BA78" t="s">
        <v>74</v>
      </c>
      <c r="BB78">
        <v>62</v>
      </c>
      <c r="BC78">
        <v>80</v>
      </c>
      <c r="BD78" t="s">
        <v>74</v>
      </c>
      <c r="BE78" t="s">
        <v>1578</v>
      </c>
      <c r="BF78" t="str">
        <f>HYPERLINK("http://dx.doi.org/10.1111/j.1469-185X.2012.00239.x","http://dx.doi.org/10.1111/j.1469-185X.2012.00239.x")</f>
        <v>http://dx.doi.org/10.1111/j.1469-185X.2012.00239.x</v>
      </c>
      <c r="BG78" t="s">
        <v>74</v>
      </c>
      <c r="BH78" t="s">
        <v>74</v>
      </c>
      <c r="BI78">
        <v>19</v>
      </c>
      <c r="BJ78" t="s">
        <v>1579</v>
      </c>
      <c r="BK78" t="s">
        <v>102</v>
      </c>
      <c r="BL78" t="s">
        <v>1580</v>
      </c>
      <c r="BM78" t="s">
        <v>1581</v>
      </c>
      <c r="BN78">
        <v>22882545</v>
      </c>
      <c r="BO78" t="s">
        <v>1396</v>
      </c>
      <c r="BP78" t="s">
        <v>74</v>
      </c>
      <c r="BQ78" t="s">
        <v>74</v>
      </c>
      <c r="BR78" t="s">
        <v>105</v>
      </c>
      <c r="BS78" t="s">
        <v>1582</v>
      </c>
      <c r="BT78" t="str">
        <f>HYPERLINK("https%3A%2F%2Fwww.webofscience.com%2Fwos%2Fwoscc%2Ffull-record%2FWOS:000317066700006","View Full Record in Web of Science")</f>
        <v>View Full Record in Web of Science</v>
      </c>
    </row>
    <row r="79" spans="1:72" x14ac:dyDescent="0.15">
      <c r="A79" t="s">
        <v>72</v>
      </c>
      <c r="B79" t="s">
        <v>1583</v>
      </c>
      <c r="C79" t="s">
        <v>74</v>
      </c>
      <c r="D79" t="s">
        <v>74</v>
      </c>
      <c r="E79" t="s">
        <v>74</v>
      </c>
      <c r="F79" t="s">
        <v>1584</v>
      </c>
      <c r="G79" t="s">
        <v>74</v>
      </c>
      <c r="H79" t="s">
        <v>74</v>
      </c>
      <c r="I79" t="s">
        <v>1585</v>
      </c>
      <c r="J79" t="s">
        <v>1586</v>
      </c>
      <c r="K79" t="s">
        <v>74</v>
      </c>
      <c r="L79" t="s">
        <v>74</v>
      </c>
      <c r="M79" t="s">
        <v>78</v>
      </c>
      <c r="N79" t="s">
        <v>79</v>
      </c>
      <c r="O79" t="s">
        <v>74</v>
      </c>
      <c r="P79" t="s">
        <v>74</v>
      </c>
      <c r="Q79" t="s">
        <v>74</v>
      </c>
      <c r="R79" t="s">
        <v>74</v>
      </c>
      <c r="S79" t="s">
        <v>74</v>
      </c>
      <c r="T79" t="s">
        <v>1587</v>
      </c>
      <c r="U79" t="s">
        <v>1588</v>
      </c>
      <c r="V79" t="s">
        <v>1589</v>
      </c>
      <c r="W79" t="s">
        <v>1590</v>
      </c>
      <c r="X79" t="s">
        <v>1591</v>
      </c>
      <c r="Y79" t="s">
        <v>1592</v>
      </c>
      <c r="Z79" t="s">
        <v>1593</v>
      </c>
      <c r="AA79" t="s">
        <v>1594</v>
      </c>
      <c r="AB79" t="s">
        <v>1595</v>
      </c>
      <c r="AC79" t="s">
        <v>1596</v>
      </c>
      <c r="AD79" t="s">
        <v>1597</v>
      </c>
      <c r="AE79" t="s">
        <v>1598</v>
      </c>
      <c r="AF79" t="s">
        <v>74</v>
      </c>
      <c r="AG79">
        <v>40</v>
      </c>
      <c r="AH79">
        <v>20</v>
      </c>
      <c r="AI79">
        <v>20</v>
      </c>
      <c r="AJ79">
        <v>0</v>
      </c>
      <c r="AK79">
        <v>7</v>
      </c>
      <c r="AL79" t="s">
        <v>500</v>
      </c>
      <c r="AM79" t="s">
        <v>296</v>
      </c>
      <c r="AN79" t="s">
        <v>525</v>
      </c>
      <c r="AO79" t="s">
        <v>1599</v>
      </c>
      <c r="AP79" t="s">
        <v>1600</v>
      </c>
      <c r="AQ79" t="s">
        <v>74</v>
      </c>
      <c r="AR79" t="s">
        <v>1601</v>
      </c>
      <c r="AS79" t="s">
        <v>1602</v>
      </c>
      <c r="AT79" t="s">
        <v>98</v>
      </c>
      <c r="AU79">
        <v>2013</v>
      </c>
      <c r="AV79">
        <v>75</v>
      </c>
      <c r="AW79">
        <v>2</v>
      </c>
      <c r="AX79" t="s">
        <v>74</v>
      </c>
      <c r="AY79" t="s">
        <v>74</v>
      </c>
      <c r="AZ79" t="s">
        <v>74</v>
      </c>
      <c r="BA79" t="s">
        <v>74</v>
      </c>
      <c r="BB79" t="s">
        <v>74</v>
      </c>
      <c r="BC79" t="s">
        <v>74</v>
      </c>
      <c r="BD79">
        <v>688</v>
      </c>
      <c r="BE79" t="s">
        <v>1603</v>
      </c>
      <c r="BF79" t="str">
        <f>HYPERLINK("http://dx.doi.org/10.1007/s00445-013-0688-3","http://dx.doi.org/10.1007/s00445-013-0688-3")</f>
        <v>http://dx.doi.org/10.1007/s00445-013-0688-3</v>
      </c>
      <c r="BG79" t="s">
        <v>74</v>
      </c>
      <c r="BH79" t="s">
        <v>74</v>
      </c>
      <c r="BI79">
        <v>10</v>
      </c>
      <c r="BJ79" t="s">
        <v>1604</v>
      </c>
      <c r="BK79" t="s">
        <v>102</v>
      </c>
      <c r="BL79" t="s">
        <v>1605</v>
      </c>
      <c r="BM79" t="s">
        <v>1606</v>
      </c>
      <c r="BN79" t="s">
        <v>74</v>
      </c>
      <c r="BO79" t="s">
        <v>74</v>
      </c>
      <c r="BP79" t="s">
        <v>74</v>
      </c>
      <c r="BQ79" t="s">
        <v>74</v>
      </c>
      <c r="BR79" t="s">
        <v>105</v>
      </c>
      <c r="BS79" t="s">
        <v>1607</v>
      </c>
      <c r="BT79" t="str">
        <f>HYPERLINK("https%3A%2F%2Fwww.webofscience.com%2Fwos%2Fwoscc%2Ffull-record%2FWOS:000318676400002","View Full Record in Web of Science")</f>
        <v>View Full Record in Web of Science</v>
      </c>
    </row>
    <row r="80" spans="1:72" x14ac:dyDescent="0.15">
      <c r="A80" t="s">
        <v>72</v>
      </c>
      <c r="B80" t="s">
        <v>1608</v>
      </c>
      <c r="C80" t="s">
        <v>74</v>
      </c>
      <c r="D80" t="s">
        <v>74</v>
      </c>
      <c r="E80" t="s">
        <v>74</v>
      </c>
      <c r="F80" t="s">
        <v>1609</v>
      </c>
      <c r="G80" t="s">
        <v>74</v>
      </c>
      <c r="H80" t="s">
        <v>74</v>
      </c>
      <c r="I80" t="s">
        <v>1610</v>
      </c>
      <c r="J80" t="s">
        <v>1611</v>
      </c>
      <c r="K80" t="s">
        <v>74</v>
      </c>
      <c r="L80" t="s">
        <v>74</v>
      </c>
      <c r="M80" t="s">
        <v>78</v>
      </c>
      <c r="N80" t="s">
        <v>79</v>
      </c>
      <c r="O80" t="s">
        <v>74</v>
      </c>
      <c r="P80" t="s">
        <v>74</v>
      </c>
      <c r="Q80" t="s">
        <v>74</v>
      </c>
      <c r="R80" t="s">
        <v>74</v>
      </c>
      <c r="S80" t="s">
        <v>74</v>
      </c>
      <c r="T80" t="s">
        <v>74</v>
      </c>
      <c r="U80" t="s">
        <v>1612</v>
      </c>
      <c r="V80" t="s">
        <v>1613</v>
      </c>
      <c r="W80" t="s">
        <v>1614</v>
      </c>
      <c r="X80" t="s">
        <v>1615</v>
      </c>
      <c r="Y80" t="s">
        <v>1616</v>
      </c>
      <c r="Z80" t="s">
        <v>1617</v>
      </c>
      <c r="AA80" t="s">
        <v>1618</v>
      </c>
      <c r="AB80" t="s">
        <v>1619</v>
      </c>
      <c r="AC80" t="s">
        <v>1620</v>
      </c>
      <c r="AD80" t="s">
        <v>1621</v>
      </c>
      <c r="AE80" t="s">
        <v>1622</v>
      </c>
      <c r="AF80" t="s">
        <v>74</v>
      </c>
      <c r="AG80">
        <v>50</v>
      </c>
      <c r="AH80">
        <v>43</v>
      </c>
      <c r="AI80">
        <v>44</v>
      </c>
      <c r="AJ80">
        <v>0</v>
      </c>
      <c r="AK80">
        <v>47</v>
      </c>
      <c r="AL80" t="s">
        <v>500</v>
      </c>
      <c r="AM80" t="s">
        <v>950</v>
      </c>
      <c r="AN80" t="s">
        <v>951</v>
      </c>
      <c r="AO80" t="s">
        <v>1623</v>
      </c>
      <c r="AP80" t="s">
        <v>1624</v>
      </c>
      <c r="AQ80" t="s">
        <v>74</v>
      </c>
      <c r="AR80" t="s">
        <v>1611</v>
      </c>
      <c r="AS80" t="s">
        <v>1625</v>
      </c>
      <c r="AT80" t="s">
        <v>98</v>
      </c>
      <c r="AU80">
        <v>2013</v>
      </c>
      <c r="AV80">
        <v>116</v>
      </c>
      <c r="AW80" t="s">
        <v>506</v>
      </c>
      <c r="AX80" t="s">
        <v>74</v>
      </c>
      <c r="AY80" t="s">
        <v>74</v>
      </c>
      <c r="AZ80" t="s">
        <v>74</v>
      </c>
      <c r="BA80" t="s">
        <v>74</v>
      </c>
      <c r="BB80">
        <v>789</v>
      </c>
      <c r="BC80">
        <v>803</v>
      </c>
      <c r="BD80" t="s">
        <v>74</v>
      </c>
      <c r="BE80" t="s">
        <v>1626</v>
      </c>
      <c r="BF80" t="str">
        <f>HYPERLINK("http://dx.doi.org/10.1007/s10584-012-0523-4","http://dx.doi.org/10.1007/s10584-012-0523-4")</f>
        <v>http://dx.doi.org/10.1007/s10584-012-0523-4</v>
      </c>
      <c r="BG80" t="s">
        <v>74</v>
      </c>
      <c r="BH80" t="s">
        <v>74</v>
      </c>
      <c r="BI80">
        <v>15</v>
      </c>
      <c r="BJ80" t="s">
        <v>1627</v>
      </c>
      <c r="BK80" t="s">
        <v>102</v>
      </c>
      <c r="BL80" t="s">
        <v>1628</v>
      </c>
      <c r="BM80" t="s">
        <v>1629</v>
      </c>
      <c r="BN80" t="s">
        <v>74</v>
      </c>
      <c r="BO80" t="s">
        <v>155</v>
      </c>
      <c r="BP80" t="s">
        <v>74</v>
      </c>
      <c r="BQ80" t="s">
        <v>74</v>
      </c>
      <c r="BR80" t="s">
        <v>105</v>
      </c>
      <c r="BS80" t="s">
        <v>1630</v>
      </c>
      <c r="BT80" t="str">
        <f>HYPERLINK("https%3A%2F%2Fwww.webofscience.com%2Fwos%2Fwoscc%2Ffull-record%2FWOS:000313737100019","View Full Record in Web of Science")</f>
        <v>View Full Record in Web of Science</v>
      </c>
    </row>
    <row r="81" spans="1:72" x14ac:dyDescent="0.15">
      <c r="A81" t="s">
        <v>72</v>
      </c>
      <c r="B81" t="s">
        <v>1631</v>
      </c>
      <c r="C81" t="s">
        <v>74</v>
      </c>
      <c r="D81" t="s">
        <v>74</v>
      </c>
      <c r="E81" t="s">
        <v>74</v>
      </c>
      <c r="F81" t="s">
        <v>1632</v>
      </c>
      <c r="G81" t="s">
        <v>74</v>
      </c>
      <c r="H81" t="s">
        <v>74</v>
      </c>
      <c r="I81" t="s">
        <v>1633</v>
      </c>
      <c r="J81" t="s">
        <v>1634</v>
      </c>
      <c r="K81" t="s">
        <v>74</v>
      </c>
      <c r="L81" t="s">
        <v>74</v>
      </c>
      <c r="M81" t="s">
        <v>78</v>
      </c>
      <c r="N81" t="s">
        <v>79</v>
      </c>
      <c r="O81" t="s">
        <v>74</v>
      </c>
      <c r="P81" t="s">
        <v>74</v>
      </c>
      <c r="Q81" t="s">
        <v>74</v>
      </c>
      <c r="R81" t="s">
        <v>74</v>
      </c>
      <c r="S81" t="s">
        <v>74</v>
      </c>
      <c r="T81" t="s">
        <v>1635</v>
      </c>
      <c r="U81" t="s">
        <v>1636</v>
      </c>
      <c r="V81" t="s">
        <v>1637</v>
      </c>
      <c r="W81" t="s">
        <v>1638</v>
      </c>
      <c r="X81" t="s">
        <v>1639</v>
      </c>
      <c r="Y81" t="s">
        <v>1640</v>
      </c>
      <c r="Z81" t="s">
        <v>1641</v>
      </c>
      <c r="AA81" t="s">
        <v>74</v>
      </c>
      <c r="AB81" t="s">
        <v>74</v>
      </c>
      <c r="AC81" t="s">
        <v>1642</v>
      </c>
      <c r="AD81" t="s">
        <v>1643</v>
      </c>
      <c r="AE81" t="s">
        <v>1644</v>
      </c>
      <c r="AF81" t="s">
        <v>74</v>
      </c>
      <c r="AG81">
        <v>38</v>
      </c>
      <c r="AH81">
        <v>18</v>
      </c>
      <c r="AI81">
        <v>19</v>
      </c>
      <c r="AJ81">
        <v>0</v>
      </c>
      <c r="AK81">
        <v>9</v>
      </c>
      <c r="AL81" t="s">
        <v>1645</v>
      </c>
      <c r="AM81" t="s">
        <v>1646</v>
      </c>
      <c r="AN81" t="s">
        <v>1647</v>
      </c>
      <c r="AO81" t="s">
        <v>1648</v>
      </c>
      <c r="AP81" t="s">
        <v>1649</v>
      </c>
      <c r="AQ81" t="s">
        <v>74</v>
      </c>
      <c r="AR81" t="s">
        <v>1650</v>
      </c>
      <c r="AS81" t="s">
        <v>1651</v>
      </c>
      <c r="AT81" t="s">
        <v>98</v>
      </c>
      <c r="AU81">
        <v>2013</v>
      </c>
      <c r="AV81">
        <v>34</v>
      </c>
      <c r="AW81">
        <v>1</v>
      </c>
      <c r="AX81" t="s">
        <v>74</v>
      </c>
      <c r="AY81" t="s">
        <v>74</v>
      </c>
      <c r="AZ81" t="s">
        <v>74</v>
      </c>
      <c r="BA81" t="s">
        <v>74</v>
      </c>
      <c r="BB81">
        <v>37</v>
      </c>
      <c r="BC81">
        <v>47</v>
      </c>
      <c r="BD81" t="s">
        <v>74</v>
      </c>
      <c r="BE81" t="s">
        <v>1652</v>
      </c>
      <c r="BF81" t="str">
        <f>HYPERLINK("http://dx.doi.org/10.7872/crya.v34.iss1.2013.37","http://dx.doi.org/10.7872/crya.v34.iss1.2013.37")</f>
        <v>http://dx.doi.org/10.7872/crya.v34.iss1.2013.37</v>
      </c>
      <c r="BG81" t="s">
        <v>74</v>
      </c>
      <c r="BH81" t="s">
        <v>74</v>
      </c>
      <c r="BI81">
        <v>11</v>
      </c>
      <c r="BJ81" t="s">
        <v>378</v>
      </c>
      <c r="BK81" t="s">
        <v>102</v>
      </c>
      <c r="BL81" t="s">
        <v>378</v>
      </c>
      <c r="BM81" t="s">
        <v>1653</v>
      </c>
      <c r="BN81" t="s">
        <v>74</v>
      </c>
      <c r="BO81" t="s">
        <v>74</v>
      </c>
      <c r="BP81" t="s">
        <v>74</v>
      </c>
      <c r="BQ81" t="s">
        <v>74</v>
      </c>
      <c r="BR81" t="s">
        <v>105</v>
      </c>
      <c r="BS81" t="s">
        <v>1654</v>
      </c>
      <c r="BT81" t="str">
        <f>HYPERLINK("https%3A%2F%2Fwww.webofscience.com%2Fwos%2Fwoscc%2Ffull-record%2FWOS:000338714500002","View Full Record in Web of Science")</f>
        <v>View Full Record in Web of Science</v>
      </c>
    </row>
    <row r="82" spans="1:72" x14ac:dyDescent="0.15">
      <c r="A82" t="s">
        <v>72</v>
      </c>
      <c r="B82" t="s">
        <v>1655</v>
      </c>
      <c r="C82" t="s">
        <v>74</v>
      </c>
      <c r="D82" t="s">
        <v>74</v>
      </c>
      <c r="E82" t="s">
        <v>74</v>
      </c>
      <c r="F82" t="s">
        <v>1656</v>
      </c>
      <c r="G82" t="s">
        <v>74</v>
      </c>
      <c r="H82" t="s">
        <v>74</v>
      </c>
      <c r="I82" t="s">
        <v>1657</v>
      </c>
      <c r="J82" t="s">
        <v>1658</v>
      </c>
      <c r="K82" t="s">
        <v>74</v>
      </c>
      <c r="L82" t="s">
        <v>74</v>
      </c>
      <c r="M82" t="s">
        <v>78</v>
      </c>
      <c r="N82" t="s">
        <v>79</v>
      </c>
      <c r="O82" t="s">
        <v>74</v>
      </c>
      <c r="P82" t="s">
        <v>74</v>
      </c>
      <c r="Q82" t="s">
        <v>74</v>
      </c>
      <c r="R82" t="s">
        <v>74</v>
      </c>
      <c r="S82" t="s">
        <v>74</v>
      </c>
      <c r="T82" t="s">
        <v>74</v>
      </c>
      <c r="U82" t="s">
        <v>1659</v>
      </c>
      <c r="V82" t="s">
        <v>1660</v>
      </c>
      <c r="W82" t="s">
        <v>1661</v>
      </c>
      <c r="X82" t="s">
        <v>1662</v>
      </c>
      <c r="Y82" t="s">
        <v>1663</v>
      </c>
      <c r="Z82" t="s">
        <v>1664</v>
      </c>
      <c r="AA82" t="s">
        <v>1665</v>
      </c>
      <c r="AB82" t="s">
        <v>1666</v>
      </c>
      <c r="AC82" t="s">
        <v>1667</v>
      </c>
      <c r="AD82" t="s">
        <v>1668</v>
      </c>
      <c r="AE82" t="s">
        <v>1669</v>
      </c>
      <c r="AF82" t="s">
        <v>74</v>
      </c>
      <c r="AG82">
        <v>83</v>
      </c>
      <c r="AH82">
        <v>11</v>
      </c>
      <c r="AI82">
        <v>11</v>
      </c>
      <c r="AJ82">
        <v>1</v>
      </c>
      <c r="AK82">
        <v>59</v>
      </c>
      <c r="AL82" t="s">
        <v>257</v>
      </c>
      <c r="AM82" t="s">
        <v>215</v>
      </c>
      <c r="AN82" t="s">
        <v>216</v>
      </c>
      <c r="AO82" t="s">
        <v>1670</v>
      </c>
      <c r="AP82" t="s">
        <v>1671</v>
      </c>
      <c r="AQ82" t="s">
        <v>74</v>
      </c>
      <c r="AR82" t="s">
        <v>1658</v>
      </c>
      <c r="AS82" t="s">
        <v>1672</v>
      </c>
      <c r="AT82" t="s">
        <v>98</v>
      </c>
      <c r="AU82">
        <v>2013</v>
      </c>
      <c r="AV82">
        <v>36</v>
      </c>
      <c r="AW82">
        <v>2</v>
      </c>
      <c r="AX82" t="s">
        <v>74</v>
      </c>
      <c r="AY82" t="s">
        <v>74</v>
      </c>
      <c r="AZ82" t="s">
        <v>74</v>
      </c>
      <c r="BA82" t="s">
        <v>74</v>
      </c>
      <c r="BB82">
        <v>146</v>
      </c>
      <c r="BC82">
        <v>156</v>
      </c>
      <c r="BD82" t="s">
        <v>74</v>
      </c>
      <c r="BE82" t="s">
        <v>1673</v>
      </c>
      <c r="BF82" t="str">
        <f>HYPERLINK("http://dx.doi.org/10.1111/j.1600-0587.2012.07458.x","http://dx.doi.org/10.1111/j.1600-0587.2012.07458.x")</f>
        <v>http://dx.doi.org/10.1111/j.1600-0587.2012.07458.x</v>
      </c>
      <c r="BG82" t="s">
        <v>74</v>
      </c>
      <c r="BH82" t="s">
        <v>74</v>
      </c>
      <c r="BI82">
        <v>11</v>
      </c>
      <c r="BJ82" t="s">
        <v>981</v>
      </c>
      <c r="BK82" t="s">
        <v>102</v>
      </c>
      <c r="BL82" t="s">
        <v>958</v>
      </c>
      <c r="BM82" t="s">
        <v>1674</v>
      </c>
      <c r="BN82" t="s">
        <v>74</v>
      </c>
      <c r="BO82" t="s">
        <v>74</v>
      </c>
      <c r="BP82" t="s">
        <v>74</v>
      </c>
      <c r="BQ82" t="s">
        <v>74</v>
      </c>
      <c r="BR82" t="s">
        <v>105</v>
      </c>
      <c r="BS82" t="s">
        <v>1675</v>
      </c>
      <c r="BT82" t="str">
        <f>HYPERLINK("https%3A%2F%2Fwww.webofscience.com%2Fwos%2Fwoscc%2Ffull-record%2FWOS:000316330100005","View Full Record in Web of Science")</f>
        <v>View Full Record in Web of Science</v>
      </c>
    </row>
    <row r="83" spans="1:72" x14ac:dyDescent="0.15">
      <c r="A83" t="s">
        <v>72</v>
      </c>
      <c r="B83" t="s">
        <v>1676</v>
      </c>
      <c r="C83" t="s">
        <v>74</v>
      </c>
      <c r="D83" t="s">
        <v>74</v>
      </c>
      <c r="E83" t="s">
        <v>74</v>
      </c>
      <c r="F83" t="s">
        <v>1677</v>
      </c>
      <c r="G83" t="s">
        <v>74</v>
      </c>
      <c r="H83" t="s">
        <v>74</v>
      </c>
      <c r="I83" t="s">
        <v>1678</v>
      </c>
      <c r="J83" t="s">
        <v>1679</v>
      </c>
      <c r="K83" t="s">
        <v>74</v>
      </c>
      <c r="L83" t="s">
        <v>74</v>
      </c>
      <c r="M83" t="s">
        <v>78</v>
      </c>
      <c r="N83" t="s">
        <v>79</v>
      </c>
      <c r="O83" t="s">
        <v>74</v>
      </c>
      <c r="P83" t="s">
        <v>74</v>
      </c>
      <c r="Q83" t="s">
        <v>74</v>
      </c>
      <c r="R83" t="s">
        <v>74</v>
      </c>
      <c r="S83" t="s">
        <v>74</v>
      </c>
      <c r="T83" t="s">
        <v>74</v>
      </c>
      <c r="U83" t="s">
        <v>1680</v>
      </c>
      <c r="V83" t="s">
        <v>1681</v>
      </c>
      <c r="W83" t="s">
        <v>1682</v>
      </c>
      <c r="X83" t="s">
        <v>1683</v>
      </c>
      <c r="Y83" t="s">
        <v>1684</v>
      </c>
      <c r="Z83" t="s">
        <v>1685</v>
      </c>
      <c r="AA83" t="s">
        <v>1686</v>
      </c>
      <c r="AB83" t="s">
        <v>1687</v>
      </c>
      <c r="AC83" t="s">
        <v>1688</v>
      </c>
      <c r="AD83" t="s">
        <v>1689</v>
      </c>
      <c r="AE83" t="s">
        <v>1690</v>
      </c>
      <c r="AF83" t="s">
        <v>74</v>
      </c>
      <c r="AG83">
        <v>50</v>
      </c>
      <c r="AH83">
        <v>151</v>
      </c>
      <c r="AI83">
        <v>174</v>
      </c>
      <c r="AJ83">
        <v>12</v>
      </c>
      <c r="AK83">
        <v>195</v>
      </c>
      <c r="AL83" t="s">
        <v>257</v>
      </c>
      <c r="AM83" t="s">
        <v>215</v>
      </c>
      <c r="AN83" t="s">
        <v>216</v>
      </c>
      <c r="AO83" t="s">
        <v>1691</v>
      </c>
      <c r="AP83" t="s">
        <v>74</v>
      </c>
      <c r="AQ83" t="s">
        <v>74</v>
      </c>
      <c r="AR83" t="s">
        <v>1692</v>
      </c>
      <c r="AS83" t="s">
        <v>1693</v>
      </c>
      <c r="AT83" t="s">
        <v>98</v>
      </c>
      <c r="AU83">
        <v>2013</v>
      </c>
      <c r="AV83">
        <v>5</v>
      </c>
      <c r="AW83">
        <v>1</v>
      </c>
      <c r="AX83" t="s">
        <v>74</v>
      </c>
      <c r="AY83" t="s">
        <v>74</v>
      </c>
      <c r="AZ83" t="s">
        <v>221</v>
      </c>
      <c r="BA83" t="s">
        <v>74</v>
      </c>
      <c r="BB83">
        <v>127</v>
      </c>
      <c r="BC83">
        <v>134</v>
      </c>
      <c r="BD83" t="s">
        <v>74</v>
      </c>
      <c r="BE83" t="s">
        <v>1694</v>
      </c>
      <c r="BF83" t="str">
        <f>HYPERLINK("http://dx.doi.org/10.1111/1758-2229.12011","http://dx.doi.org/10.1111/1758-2229.12011")</f>
        <v>http://dx.doi.org/10.1111/1758-2229.12011</v>
      </c>
      <c r="BG83" t="s">
        <v>74</v>
      </c>
      <c r="BH83" t="s">
        <v>74</v>
      </c>
      <c r="BI83">
        <v>8</v>
      </c>
      <c r="BJ83" t="s">
        <v>1695</v>
      </c>
      <c r="BK83" t="s">
        <v>102</v>
      </c>
      <c r="BL83" t="s">
        <v>1696</v>
      </c>
      <c r="BM83" t="s">
        <v>1697</v>
      </c>
      <c r="BN83">
        <v>23757141</v>
      </c>
      <c r="BO83" t="s">
        <v>74</v>
      </c>
      <c r="BP83" t="s">
        <v>74</v>
      </c>
      <c r="BQ83" t="s">
        <v>74</v>
      </c>
      <c r="BR83" t="s">
        <v>105</v>
      </c>
      <c r="BS83" t="s">
        <v>1698</v>
      </c>
      <c r="BT83" t="str">
        <f>HYPERLINK("https%3A%2F%2Fwww.webofscience.com%2Fwos%2Fwoscc%2Ffull-record%2FWOS:000314474500015","View Full Record in Web of Science")</f>
        <v>View Full Record in Web of Science</v>
      </c>
    </row>
    <row r="84" spans="1:72" x14ac:dyDescent="0.15">
      <c r="A84" t="s">
        <v>72</v>
      </c>
      <c r="B84" t="s">
        <v>1699</v>
      </c>
      <c r="C84" t="s">
        <v>74</v>
      </c>
      <c r="D84" t="s">
        <v>74</v>
      </c>
      <c r="E84" t="s">
        <v>74</v>
      </c>
      <c r="F84" t="s">
        <v>1700</v>
      </c>
      <c r="G84" t="s">
        <v>74</v>
      </c>
      <c r="H84" t="s">
        <v>74</v>
      </c>
      <c r="I84" t="s">
        <v>1701</v>
      </c>
      <c r="J84" t="s">
        <v>1702</v>
      </c>
      <c r="K84" t="s">
        <v>74</v>
      </c>
      <c r="L84" t="s">
        <v>74</v>
      </c>
      <c r="M84" t="s">
        <v>78</v>
      </c>
      <c r="N84" t="s">
        <v>79</v>
      </c>
      <c r="O84" t="s">
        <v>74</v>
      </c>
      <c r="P84" t="s">
        <v>74</v>
      </c>
      <c r="Q84" t="s">
        <v>74</v>
      </c>
      <c r="R84" t="s">
        <v>74</v>
      </c>
      <c r="S84" t="s">
        <v>74</v>
      </c>
      <c r="T84" t="s">
        <v>1703</v>
      </c>
      <c r="U84" t="s">
        <v>74</v>
      </c>
      <c r="V84" t="s">
        <v>1704</v>
      </c>
      <c r="W84" t="s">
        <v>1705</v>
      </c>
      <c r="X84" t="s">
        <v>1706</v>
      </c>
      <c r="Y84" t="s">
        <v>1707</v>
      </c>
      <c r="Z84" t="s">
        <v>1708</v>
      </c>
      <c r="AA84" t="s">
        <v>74</v>
      </c>
      <c r="AB84" t="s">
        <v>74</v>
      </c>
      <c r="AC84" t="s">
        <v>1709</v>
      </c>
      <c r="AD84" t="s">
        <v>1710</v>
      </c>
      <c r="AE84" t="s">
        <v>1711</v>
      </c>
      <c r="AF84" t="s">
        <v>74</v>
      </c>
      <c r="AG84">
        <v>14</v>
      </c>
      <c r="AH84">
        <v>0</v>
      </c>
      <c r="AI84">
        <v>0</v>
      </c>
      <c r="AJ84">
        <v>1</v>
      </c>
      <c r="AK84">
        <v>3</v>
      </c>
      <c r="AL84" t="s">
        <v>321</v>
      </c>
      <c r="AM84" t="s">
        <v>322</v>
      </c>
      <c r="AN84" t="s">
        <v>1712</v>
      </c>
      <c r="AO84" t="s">
        <v>1713</v>
      </c>
      <c r="AP84" t="s">
        <v>74</v>
      </c>
      <c r="AQ84" t="s">
        <v>74</v>
      </c>
      <c r="AR84" t="s">
        <v>1714</v>
      </c>
      <c r="AS84" t="s">
        <v>1715</v>
      </c>
      <c r="AT84" t="s">
        <v>98</v>
      </c>
      <c r="AU84">
        <v>2013</v>
      </c>
      <c r="AV84">
        <v>4</v>
      </c>
      <c r="AW84">
        <v>1</v>
      </c>
      <c r="AX84" t="s">
        <v>74</v>
      </c>
      <c r="AY84" t="s">
        <v>74</v>
      </c>
      <c r="AZ84" t="s">
        <v>74</v>
      </c>
      <c r="BA84" t="s">
        <v>74</v>
      </c>
      <c r="BB84">
        <v>7</v>
      </c>
      <c r="BC84">
        <v>15</v>
      </c>
      <c r="BD84" t="s">
        <v>74</v>
      </c>
      <c r="BE84" t="s">
        <v>1716</v>
      </c>
      <c r="BF84" t="str">
        <f>HYPERLINK("http://dx.doi.org/10.3724/SP.J.1246.2013.01007","http://dx.doi.org/10.3724/SP.J.1246.2013.01007")</f>
        <v>http://dx.doi.org/10.3724/SP.J.1246.2013.01007</v>
      </c>
      <c r="BG84" t="s">
        <v>74</v>
      </c>
      <c r="BH84" t="s">
        <v>74</v>
      </c>
      <c r="BI84">
        <v>9</v>
      </c>
      <c r="BJ84" t="s">
        <v>263</v>
      </c>
      <c r="BK84" t="s">
        <v>1717</v>
      </c>
      <c r="BL84" t="s">
        <v>263</v>
      </c>
      <c r="BM84" t="s">
        <v>1718</v>
      </c>
      <c r="BN84" t="s">
        <v>74</v>
      </c>
      <c r="BO84" t="s">
        <v>1719</v>
      </c>
      <c r="BP84" t="s">
        <v>74</v>
      </c>
      <c r="BQ84" t="s">
        <v>74</v>
      </c>
      <c r="BR84" t="s">
        <v>105</v>
      </c>
      <c r="BS84" t="s">
        <v>1720</v>
      </c>
      <c r="BT84" t="str">
        <f>HYPERLINK("https%3A%2F%2Fwww.webofscience.com%2Fwos%2Fwoscc%2Ffull-record%2FWOS:000420957200002","View Full Record in Web of Science")</f>
        <v>View Full Record in Web of Science</v>
      </c>
    </row>
    <row r="85" spans="1:72" x14ac:dyDescent="0.15">
      <c r="A85" t="s">
        <v>72</v>
      </c>
      <c r="B85" t="s">
        <v>1721</v>
      </c>
      <c r="C85" t="s">
        <v>74</v>
      </c>
      <c r="D85" t="s">
        <v>74</v>
      </c>
      <c r="E85" t="s">
        <v>74</v>
      </c>
      <c r="F85" t="s">
        <v>1722</v>
      </c>
      <c r="G85" t="s">
        <v>74</v>
      </c>
      <c r="H85" t="s">
        <v>74</v>
      </c>
      <c r="I85" t="s">
        <v>1723</v>
      </c>
      <c r="J85" t="s">
        <v>1724</v>
      </c>
      <c r="K85" t="s">
        <v>74</v>
      </c>
      <c r="L85" t="s">
        <v>74</v>
      </c>
      <c r="M85" t="s">
        <v>78</v>
      </c>
      <c r="N85" t="s">
        <v>79</v>
      </c>
      <c r="O85" t="s">
        <v>74</v>
      </c>
      <c r="P85" t="s">
        <v>74</v>
      </c>
      <c r="Q85" t="s">
        <v>74</v>
      </c>
      <c r="R85" t="s">
        <v>74</v>
      </c>
      <c r="S85" t="s">
        <v>74</v>
      </c>
      <c r="T85" t="s">
        <v>74</v>
      </c>
      <c r="U85" t="s">
        <v>1725</v>
      </c>
      <c r="V85" t="s">
        <v>1726</v>
      </c>
      <c r="W85" t="s">
        <v>1727</v>
      </c>
      <c r="X85" t="s">
        <v>1728</v>
      </c>
      <c r="Y85" t="s">
        <v>1729</v>
      </c>
      <c r="Z85" t="s">
        <v>1730</v>
      </c>
      <c r="AA85" t="s">
        <v>74</v>
      </c>
      <c r="AB85" t="s">
        <v>1731</v>
      </c>
      <c r="AC85" t="s">
        <v>1732</v>
      </c>
      <c r="AD85" t="s">
        <v>1733</v>
      </c>
      <c r="AE85" t="s">
        <v>1734</v>
      </c>
      <c r="AF85" t="s">
        <v>74</v>
      </c>
      <c r="AG85">
        <v>34</v>
      </c>
      <c r="AH85">
        <v>15</v>
      </c>
      <c r="AI85">
        <v>15</v>
      </c>
      <c r="AJ85">
        <v>1</v>
      </c>
      <c r="AK85">
        <v>29</v>
      </c>
      <c r="AL85" t="s">
        <v>1735</v>
      </c>
      <c r="AM85" t="s">
        <v>1321</v>
      </c>
      <c r="AN85" t="s">
        <v>1736</v>
      </c>
      <c r="AO85" t="s">
        <v>1737</v>
      </c>
      <c r="AP85" t="s">
        <v>1738</v>
      </c>
      <c r="AQ85" t="s">
        <v>74</v>
      </c>
      <c r="AR85" t="s">
        <v>1724</v>
      </c>
      <c r="AS85" t="s">
        <v>1605</v>
      </c>
      <c r="AT85" t="s">
        <v>98</v>
      </c>
      <c r="AU85">
        <v>2013</v>
      </c>
      <c r="AV85">
        <v>41</v>
      </c>
      <c r="AW85">
        <v>2</v>
      </c>
      <c r="AX85" t="s">
        <v>74</v>
      </c>
      <c r="AY85" t="s">
        <v>74</v>
      </c>
      <c r="AZ85" t="s">
        <v>74</v>
      </c>
      <c r="BA85" t="s">
        <v>74</v>
      </c>
      <c r="BB85">
        <v>147</v>
      </c>
      <c r="BC85">
        <v>150</v>
      </c>
      <c r="BD85" t="s">
        <v>74</v>
      </c>
      <c r="BE85" t="s">
        <v>1739</v>
      </c>
      <c r="BF85" t="str">
        <f>HYPERLINK("http://dx.doi.org/10.1130/G33644.1","http://dx.doi.org/10.1130/G33644.1")</f>
        <v>http://dx.doi.org/10.1130/G33644.1</v>
      </c>
      <c r="BG85" t="s">
        <v>74</v>
      </c>
      <c r="BH85" t="s">
        <v>74</v>
      </c>
      <c r="BI85">
        <v>4</v>
      </c>
      <c r="BJ85" t="s">
        <v>1605</v>
      </c>
      <c r="BK85" t="s">
        <v>102</v>
      </c>
      <c r="BL85" t="s">
        <v>1605</v>
      </c>
      <c r="BM85" t="s">
        <v>1740</v>
      </c>
      <c r="BN85" t="s">
        <v>74</v>
      </c>
      <c r="BO85" t="s">
        <v>74</v>
      </c>
      <c r="BP85" t="s">
        <v>74</v>
      </c>
      <c r="BQ85" t="s">
        <v>74</v>
      </c>
      <c r="BR85" t="s">
        <v>105</v>
      </c>
      <c r="BS85" t="s">
        <v>1741</v>
      </c>
      <c r="BT85" t="str">
        <f>HYPERLINK("https%3A%2F%2Fwww.webofscience.com%2Fwos%2Fwoscc%2Ffull-record%2FWOS:000314327200013","View Full Record in Web of Science")</f>
        <v>View Full Record in Web of Science</v>
      </c>
    </row>
    <row r="86" spans="1:72" x14ac:dyDescent="0.15">
      <c r="A86" t="s">
        <v>72</v>
      </c>
      <c r="B86" t="s">
        <v>1742</v>
      </c>
      <c r="C86" t="s">
        <v>74</v>
      </c>
      <c r="D86" t="s">
        <v>74</v>
      </c>
      <c r="E86" t="s">
        <v>74</v>
      </c>
      <c r="F86" t="s">
        <v>1743</v>
      </c>
      <c r="G86" t="s">
        <v>74</v>
      </c>
      <c r="H86" t="s">
        <v>74</v>
      </c>
      <c r="I86" t="s">
        <v>1744</v>
      </c>
      <c r="J86" t="s">
        <v>1724</v>
      </c>
      <c r="K86" t="s">
        <v>74</v>
      </c>
      <c r="L86" t="s">
        <v>74</v>
      </c>
      <c r="M86" t="s">
        <v>78</v>
      </c>
      <c r="N86" t="s">
        <v>79</v>
      </c>
      <c r="O86" t="s">
        <v>74</v>
      </c>
      <c r="P86" t="s">
        <v>74</v>
      </c>
      <c r="Q86" t="s">
        <v>74</v>
      </c>
      <c r="R86" t="s">
        <v>74</v>
      </c>
      <c r="S86" t="s">
        <v>74</v>
      </c>
      <c r="T86" t="s">
        <v>74</v>
      </c>
      <c r="U86" t="s">
        <v>1745</v>
      </c>
      <c r="V86" t="s">
        <v>1746</v>
      </c>
      <c r="W86" t="s">
        <v>1747</v>
      </c>
      <c r="X86" t="s">
        <v>1748</v>
      </c>
      <c r="Y86" t="s">
        <v>1749</v>
      </c>
      <c r="Z86" t="s">
        <v>74</v>
      </c>
      <c r="AA86" t="s">
        <v>1750</v>
      </c>
      <c r="AB86" t="s">
        <v>1751</v>
      </c>
      <c r="AC86" t="s">
        <v>1752</v>
      </c>
      <c r="AD86" t="s">
        <v>1753</v>
      </c>
      <c r="AE86" t="s">
        <v>1754</v>
      </c>
      <c r="AF86" t="s">
        <v>74</v>
      </c>
      <c r="AG86">
        <v>36</v>
      </c>
      <c r="AH86">
        <v>58</v>
      </c>
      <c r="AI86">
        <v>68</v>
      </c>
      <c r="AJ86">
        <v>0</v>
      </c>
      <c r="AK86">
        <v>100</v>
      </c>
      <c r="AL86" t="s">
        <v>1735</v>
      </c>
      <c r="AM86" t="s">
        <v>1321</v>
      </c>
      <c r="AN86" t="s">
        <v>1736</v>
      </c>
      <c r="AO86" t="s">
        <v>1737</v>
      </c>
      <c r="AP86" t="s">
        <v>1738</v>
      </c>
      <c r="AQ86" t="s">
        <v>74</v>
      </c>
      <c r="AR86" t="s">
        <v>1724</v>
      </c>
      <c r="AS86" t="s">
        <v>1605</v>
      </c>
      <c r="AT86" t="s">
        <v>98</v>
      </c>
      <c r="AU86">
        <v>2013</v>
      </c>
      <c r="AV86">
        <v>41</v>
      </c>
      <c r="AW86">
        <v>2</v>
      </c>
      <c r="AX86" t="s">
        <v>74</v>
      </c>
      <c r="AY86" t="s">
        <v>74</v>
      </c>
      <c r="AZ86" t="s">
        <v>74</v>
      </c>
      <c r="BA86" t="s">
        <v>74</v>
      </c>
      <c r="BB86">
        <v>215</v>
      </c>
      <c r="BC86">
        <v>218</v>
      </c>
      <c r="BD86" t="s">
        <v>74</v>
      </c>
      <c r="BE86" t="s">
        <v>1755</v>
      </c>
      <c r="BF86" t="str">
        <f>HYPERLINK("http://dx.doi.org/10.1130/G33572.1","http://dx.doi.org/10.1130/G33572.1")</f>
        <v>http://dx.doi.org/10.1130/G33572.1</v>
      </c>
      <c r="BG86" t="s">
        <v>74</v>
      </c>
      <c r="BH86" t="s">
        <v>74</v>
      </c>
      <c r="BI86">
        <v>4</v>
      </c>
      <c r="BJ86" t="s">
        <v>1605</v>
      </c>
      <c r="BK86" t="s">
        <v>102</v>
      </c>
      <c r="BL86" t="s">
        <v>1605</v>
      </c>
      <c r="BM86" t="s">
        <v>1740</v>
      </c>
      <c r="BN86" t="s">
        <v>74</v>
      </c>
      <c r="BO86" t="s">
        <v>74</v>
      </c>
      <c r="BP86" t="s">
        <v>74</v>
      </c>
      <c r="BQ86" t="s">
        <v>74</v>
      </c>
      <c r="BR86" t="s">
        <v>105</v>
      </c>
      <c r="BS86" t="s">
        <v>1756</v>
      </c>
      <c r="BT86" t="str">
        <f>HYPERLINK("https%3A%2F%2Fwww.webofscience.com%2Fwos%2Fwoscc%2Ffull-record%2FWOS:000314327200030","View Full Record in Web of Science")</f>
        <v>View Full Record in Web of Science</v>
      </c>
    </row>
    <row r="87" spans="1:72" x14ac:dyDescent="0.15">
      <c r="A87" t="s">
        <v>72</v>
      </c>
      <c r="B87" t="s">
        <v>1757</v>
      </c>
      <c r="C87" t="s">
        <v>74</v>
      </c>
      <c r="D87" t="s">
        <v>74</v>
      </c>
      <c r="E87" t="s">
        <v>74</v>
      </c>
      <c r="F87" t="s">
        <v>1758</v>
      </c>
      <c r="G87" t="s">
        <v>74</v>
      </c>
      <c r="H87" t="s">
        <v>74</v>
      </c>
      <c r="I87" t="s">
        <v>1759</v>
      </c>
      <c r="J87" t="s">
        <v>1760</v>
      </c>
      <c r="K87" t="s">
        <v>74</v>
      </c>
      <c r="L87" t="s">
        <v>74</v>
      </c>
      <c r="M87" t="s">
        <v>78</v>
      </c>
      <c r="N87" t="s">
        <v>79</v>
      </c>
      <c r="O87" t="s">
        <v>74</v>
      </c>
      <c r="P87" t="s">
        <v>74</v>
      </c>
      <c r="Q87" t="s">
        <v>74</v>
      </c>
      <c r="R87" t="s">
        <v>74</v>
      </c>
      <c r="S87" t="s">
        <v>74</v>
      </c>
      <c r="T87" t="s">
        <v>1761</v>
      </c>
      <c r="U87" t="s">
        <v>1762</v>
      </c>
      <c r="V87" t="s">
        <v>1763</v>
      </c>
      <c r="W87" t="s">
        <v>1764</v>
      </c>
      <c r="X87" t="s">
        <v>1765</v>
      </c>
      <c r="Y87" t="s">
        <v>1766</v>
      </c>
      <c r="Z87" t="s">
        <v>1767</v>
      </c>
      <c r="AA87" t="s">
        <v>1768</v>
      </c>
      <c r="AB87" t="s">
        <v>1769</v>
      </c>
      <c r="AC87" t="s">
        <v>1770</v>
      </c>
      <c r="AD87" t="s">
        <v>1771</v>
      </c>
      <c r="AE87" t="s">
        <v>1772</v>
      </c>
      <c r="AF87" t="s">
        <v>74</v>
      </c>
      <c r="AG87">
        <v>42</v>
      </c>
      <c r="AH87">
        <v>449</v>
      </c>
      <c r="AI87">
        <v>498</v>
      </c>
      <c r="AJ87">
        <v>5</v>
      </c>
      <c r="AK87">
        <v>123</v>
      </c>
      <c r="AL87" t="s">
        <v>1132</v>
      </c>
      <c r="AM87" t="s">
        <v>147</v>
      </c>
      <c r="AN87" t="s">
        <v>1133</v>
      </c>
      <c r="AO87" t="s">
        <v>1773</v>
      </c>
      <c r="AP87" t="s">
        <v>1774</v>
      </c>
      <c r="AQ87" t="s">
        <v>74</v>
      </c>
      <c r="AR87" t="s">
        <v>1775</v>
      </c>
      <c r="AS87" t="s">
        <v>1776</v>
      </c>
      <c r="AT87" t="s">
        <v>98</v>
      </c>
      <c r="AU87">
        <v>2013</v>
      </c>
      <c r="AV87">
        <v>192</v>
      </c>
      <c r="AW87">
        <v>2</v>
      </c>
      <c r="AX87" t="s">
        <v>74</v>
      </c>
      <c r="AY87" t="s">
        <v>74</v>
      </c>
      <c r="AZ87" t="s">
        <v>74</v>
      </c>
      <c r="BA87" t="s">
        <v>74</v>
      </c>
      <c r="BB87">
        <v>557</v>
      </c>
      <c r="BC87">
        <v>572</v>
      </c>
      <c r="BD87" t="s">
        <v>74</v>
      </c>
      <c r="BE87" t="s">
        <v>1777</v>
      </c>
      <c r="BF87" t="str">
        <f>HYPERLINK("http://dx.doi.org/10.1093/gji/ggs030","http://dx.doi.org/10.1093/gji/ggs030")</f>
        <v>http://dx.doi.org/10.1093/gji/ggs030</v>
      </c>
      <c r="BG87" t="s">
        <v>74</v>
      </c>
      <c r="BH87" t="s">
        <v>74</v>
      </c>
      <c r="BI87">
        <v>16</v>
      </c>
      <c r="BJ87" t="s">
        <v>263</v>
      </c>
      <c r="BK87" t="s">
        <v>102</v>
      </c>
      <c r="BL87" t="s">
        <v>263</v>
      </c>
      <c r="BM87" t="s">
        <v>1778</v>
      </c>
      <c r="BN87" t="s">
        <v>74</v>
      </c>
      <c r="BO87" t="s">
        <v>128</v>
      </c>
      <c r="BP87" t="s">
        <v>1779</v>
      </c>
      <c r="BQ87" t="s">
        <v>1780</v>
      </c>
      <c r="BR87" t="s">
        <v>105</v>
      </c>
      <c r="BS87" t="s">
        <v>1781</v>
      </c>
      <c r="BT87" t="str">
        <f>HYPERLINK("https%3A%2F%2Fwww.webofscience.com%2Fwos%2Fwoscc%2Ffull-record%2FWOS:000313623100007","View Full Record in Web of Science")</f>
        <v>View Full Record in Web of Science</v>
      </c>
    </row>
    <row r="88" spans="1:72" x14ac:dyDescent="0.15">
      <c r="A88" t="s">
        <v>72</v>
      </c>
      <c r="B88" t="s">
        <v>1782</v>
      </c>
      <c r="C88" t="s">
        <v>74</v>
      </c>
      <c r="D88" t="s">
        <v>74</v>
      </c>
      <c r="E88" t="s">
        <v>74</v>
      </c>
      <c r="F88" t="s">
        <v>1783</v>
      </c>
      <c r="G88" t="s">
        <v>74</v>
      </c>
      <c r="H88" t="s">
        <v>74</v>
      </c>
      <c r="I88" t="s">
        <v>1784</v>
      </c>
      <c r="J88" t="s">
        <v>1785</v>
      </c>
      <c r="K88" t="s">
        <v>74</v>
      </c>
      <c r="L88" t="s">
        <v>74</v>
      </c>
      <c r="M88" t="s">
        <v>78</v>
      </c>
      <c r="N88" t="s">
        <v>79</v>
      </c>
      <c r="O88" t="s">
        <v>74</v>
      </c>
      <c r="P88" t="s">
        <v>74</v>
      </c>
      <c r="Q88" t="s">
        <v>74</v>
      </c>
      <c r="R88" t="s">
        <v>74</v>
      </c>
      <c r="S88" t="s">
        <v>74</v>
      </c>
      <c r="T88" t="s">
        <v>1786</v>
      </c>
      <c r="U88" t="s">
        <v>1787</v>
      </c>
      <c r="V88" t="s">
        <v>1788</v>
      </c>
      <c r="W88" t="s">
        <v>1789</v>
      </c>
      <c r="X88" t="s">
        <v>1790</v>
      </c>
      <c r="Y88" t="s">
        <v>1791</v>
      </c>
      <c r="Z88" t="s">
        <v>1792</v>
      </c>
      <c r="AA88" t="s">
        <v>74</v>
      </c>
      <c r="AB88" t="s">
        <v>1793</v>
      </c>
      <c r="AC88" t="s">
        <v>1794</v>
      </c>
      <c r="AD88" t="s">
        <v>1795</v>
      </c>
      <c r="AE88" t="s">
        <v>1796</v>
      </c>
      <c r="AF88" t="s">
        <v>74</v>
      </c>
      <c r="AG88">
        <v>112</v>
      </c>
      <c r="AH88">
        <v>198</v>
      </c>
      <c r="AI88">
        <v>219</v>
      </c>
      <c r="AJ88">
        <v>3</v>
      </c>
      <c r="AK88">
        <v>178</v>
      </c>
      <c r="AL88" t="s">
        <v>447</v>
      </c>
      <c r="AM88" t="s">
        <v>147</v>
      </c>
      <c r="AN88" t="s">
        <v>448</v>
      </c>
      <c r="AO88" t="s">
        <v>1797</v>
      </c>
      <c r="AP88" t="s">
        <v>1798</v>
      </c>
      <c r="AQ88" t="s">
        <v>74</v>
      </c>
      <c r="AR88" t="s">
        <v>1799</v>
      </c>
      <c r="AS88" t="s">
        <v>1800</v>
      </c>
      <c r="AT88" t="s">
        <v>98</v>
      </c>
      <c r="AU88">
        <v>2013</v>
      </c>
      <c r="AV88">
        <v>23</v>
      </c>
      <c r="AW88">
        <v>1</v>
      </c>
      <c r="AX88" t="s">
        <v>74</v>
      </c>
      <c r="AY88" t="s">
        <v>74</v>
      </c>
      <c r="AZ88" t="s">
        <v>74</v>
      </c>
      <c r="BA88" t="s">
        <v>74</v>
      </c>
      <c r="BB88">
        <v>327</v>
      </c>
      <c r="BC88">
        <v>337</v>
      </c>
      <c r="BD88" t="s">
        <v>74</v>
      </c>
      <c r="BE88" t="s">
        <v>1801</v>
      </c>
      <c r="BF88" t="str">
        <f>HYPERLINK("http://dx.doi.org/10.1016/j.gloenvcha.2012.10.008","http://dx.doi.org/10.1016/j.gloenvcha.2012.10.008")</f>
        <v>http://dx.doi.org/10.1016/j.gloenvcha.2012.10.008</v>
      </c>
      <c r="BG88" t="s">
        <v>74</v>
      </c>
      <c r="BH88" t="s">
        <v>74</v>
      </c>
      <c r="BI88">
        <v>11</v>
      </c>
      <c r="BJ88" t="s">
        <v>1802</v>
      </c>
      <c r="BK88" t="s">
        <v>1803</v>
      </c>
      <c r="BL88" t="s">
        <v>1804</v>
      </c>
      <c r="BM88" t="s">
        <v>1805</v>
      </c>
      <c r="BN88" t="s">
        <v>74</v>
      </c>
      <c r="BO88" t="s">
        <v>74</v>
      </c>
      <c r="BP88" t="s">
        <v>1779</v>
      </c>
      <c r="BQ88" t="s">
        <v>1780</v>
      </c>
      <c r="BR88" t="s">
        <v>105</v>
      </c>
      <c r="BS88" t="s">
        <v>1806</v>
      </c>
      <c r="BT88" t="str">
        <f>HYPERLINK("https%3A%2F%2Fwww.webofscience.com%2Fwos%2Fwoscc%2Ffull-record%2FWOS:000315617200029","View Full Record in Web of Science")</f>
        <v>View Full Record in Web of Science</v>
      </c>
    </row>
    <row r="89" spans="1:72" x14ac:dyDescent="0.15">
      <c r="A89" t="s">
        <v>72</v>
      </c>
      <c r="B89" t="s">
        <v>1807</v>
      </c>
      <c r="C89" t="s">
        <v>74</v>
      </c>
      <c r="D89" t="s">
        <v>74</v>
      </c>
      <c r="E89" t="s">
        <v>74</v>
      </c>
      <c r="F89" t="s">
        <v>1808</v>
      </c>
      <c r="G89" t="s">
        <v>74</v>
      </c>
      <c r="H89" t="s">
        <v>74</v>
      </c>
      <c r="I89" t="s">
        <v>1809</v>
      </c>
      <c r="J89" t="s">
        <v>1810</v>
      </c>
      <c r="K89" t="s">
        <v>74</v>
      </c>
      <c r="L89" t="s">
        <v>74</v>
      </c>
      <c r="M89" t="s">
        <v>78</v>
      </c>
      <c r="N89" t="s">
        <v>79</v>
      </c>
      <c r="O89" t="s">
        <v>74</v>
      </c>
      <c r="P89" t="s">
        <v>74</v>
      </c>
      <c r="Q89" t="s">
        <v>74</v>
      </c>
      <c r="R89" t="s">
        <v>74</v>
      </c>
      <c r="S89" t="s">
        <v>74</v>
      </c>
      <c r="T89" t="s">
        <v>1811</v>
      </c>
      <c r="U89" t="s">
        <v>1812</v>
      </c>
      <c r="V89" t="s">
        <v>1813</v>
      </c>
      <c r="W89" t="s">
        <v>1814</v>
      </c>
      <c r="X89" t="s">
        <v>1815</v>
      </c>
      <c r="Y89" t="s">
        <v>1816</v>
      </c>
      <c r="Z89" t="s">
        <v>1817</v>
      </c>
      <c r="AA89" t="s">
        <v>1818</v>
      </c>
      <c r="AB89" t="s">
        <v>1819</v>
      </c>
      <c r="AC89" t="s">
        <v>1820</v>
      </c>
      <c r="AD89" t="s">
        <v>1821</v>
      </c>
      <c r="AE89" t="s">
        <v>1822</v>
      </c>
      <c r="AF89" t="s">
        <v>74</v>
      </c>
      <c r="AG89">
        <v>69</v>
      </c>
      <c r="AH89">
        <v>38</v>
      </c>
      <c r="AI89">
        <v>51</v>
      </c>
      <c r="AJ89">
        <v>0</v>
      </c>
      <c r="AK89">
        <v>88</v>
      </c>
      <c r="AL89" t="s">
        <v>500</v>
      </c>
      <c r="AM89" t="s">
        <v>296</v>
      </c>
      <c r="AN89" t="s">
        <v>501</v>
      </c>
      <c r="AO89" t="s">
        <v>1823</v>
      </c>
      <c r="AP89" t="s">
        <v>1824</v>
      </c>
      <c r="AQ89" t="s">
        <v>74</v>
      </c>
      <c r="AR89" t="s">
        <v>1825</v>
      </c>
      <c r="AS89" t="s">
        <v>1826</v>
      </c>
      <c r="AT89" t="s">
        <v>98</v>
      </c>
      <c r="AU89">
        <v>2013</v>
      </c>
      <c r="AV89">
        <v>21</v>
      </c>
      <c r="AW89">
        <v>1</v>
      </c>
      <c r="AX89" t="s">
        <v>74</v>
      </c>
      <c r="AY89" t="s">
        <v>74</v>
      </c>
      <c r="AZ89" t="s">
        <v>74</v>
      </c>
      <c r="BA89" t="s">
        <v>74</v>
      </c>
      <c r="BB89">
        <v>171</v>
      </c>
      <c r="BC89">
        <v>183</v>
      </c>
      <c r="BD89" t="s">
        <v>74</v>
      </c>
      <c r="BE89" t="s">
        <v>1827</v>
      </c>
      <c r="BF89" t="str">
        <f>HYPERLINK("http://dx.doi.org/10.1007/s10040-012-0926-3","http://dx.doi.org/10.1007/s10040-012-0926-3")</f>
        <v>http://dx.doi.org/10.1007/s10040-012-0926-3</v>
      </c>
      <c r="BG89" t="s">
        <v>74</v>
      </c>
      <c r="BH89" t="s">
        <v>74</v>
      </c>
      <c r="BI89">
        <v>13</v>
      </c>
      <c r="BJ89" t="s">
        <v>1828</v>
      </c>
      <c r="BK89" t="s">
        <v>102</v>
      </c>
      <c r="BL89" t="s">
        <v>1829</v>
      </c>
      <c r="BM89" t="s">
        <v>1830</v>
      </c>
      <c r="BN89" t="s">
        <v>74</v>
      </c>
      <c r="BO89" t="s">
        <v>74</v>
      </c>
      <c r="BP89" t="s">
        <v>74</v>
      </c>
      <c r="BQ89" t="s">
        <v>74</v>
      </c>
      <c r="BR89" t="s">
        <v>105</v>
      </c>
      <c r="BS89" t="s">
        <v>1831</v>
      </c>
      <c r="BT89" t="str">
        <f>HYPERLINK("https%3A%2F%2Fwww.webofscience.com%2Fwos%2Fwoscc%2Ffull-record%2FWOS:000314333600013","View Full Record in Web of Science")</f>
        <v>View Full Record in Web of Science</v>
      </c>
    </row>
    <row r="90" spans="1:72" x14ac:dyDescent="0.15">
      <c r="A90" t="s">
        <v>72</v>
      </c>
      <c r="B90" t="s">
        <v>1832</v>
      </c>
      <c r="C90" t="s">
        <v>74</v>
      </c>
      <c r="D90" t="s">
        <v>74</v>
      </c>
      <c r="E90" t="s">
        <v>74</v>
      </c>
      <c r="F90" t="s">
        <v>1833</v>
      </c>
      <c r="G90" t="s">
        <v>74</v>
      </c>
      <c r="H90" t="s">
        <v>74</v>
      </c>
      <c r="I90" t="s">
        <v>1834</v>
      </c>
      <c r="J90" t="s">
        <v>1835</v>
      </c>
      <c r="K90" t="s">
        <v>74</v>
      </c>
      <c r="L90" t="s">
        <v>74</v>
      </c>
      <c r="M90" t="s">
        <v>78</v>
      </c>
      <c r="N90" t="s">
        <v>79</v>
      </c>
      <c r="O90" t="s">
        <v>74</v>
      </c>
      <c r="P90" t="s">
        <v>74</v>
      </c>
      <c r="Q90" t="s">
        <v>74</v>
      </c>
      <c r="R90" t="s">
        <v>74</v>
      </c>
      <c r="S90" t="s">
        <v>74</v>
      </c>
      <c r="T90" t="s">
        <v>1836</v>
      </c>
      <c r="U90" t="s">
        <v>1837</v>
      </c>
      <c r="V90" t="s">
        <v>1838</v>
      </c>
      <c r="W90" t="s">
        <v>1839</v>
      </c>
      <c r="X90" t="s">
        <v>1840</v>
      </c>
      <c r="Y90" t="s">
        <v>1841</v>
      </c>
      <c r="Z90" t="s">
        <v>1842</v>
      </c>
      <c r="AA90" t="s">
        <v>1843</v>
      </c>
      <c r="AB90" t="s">
        <v>1844</v>
      </c>
      <c r="AC90" t="s">
        <v>1845</v>
      </c>
      <c r="AD90" t="s">
        <v>1846</v>
      </c>
      <c r="AE90" t="s">
        <v>1847</v>
      </c>
      <c r="AF90" t="s">
        <v>74</v>
      </c>
      <c r="AG90">
        <v>36</v>
      </c>
      <c r="AH90">
        <v>46</v>
      </c>
      <c r="AI90">
        <v>49</v>
      </c>
      <c r="AJ90">
        <v>0</v>
      </c>
      <c r="AK90">
        <v>50</v>
      </c>
      <c r="AL90" t="s">
        <v>447</v>
      </c>
      <c r="AM90" t="s">
        <v>147</v>
      </c>
      <c r="AN90" t="s">
        <v>448</v>
      </c>
      <c r="AO90" t="s">
        <v>1848</v>
      </c>
      <c r="AP90" t="s">
        <v>1849</v>
      </c>
      <c r="AQ90" t="s">
        <v>74</v>
      </c>
      <c r="AR90" t="s">
        <v>1850</v>
      </c>
      <c r="AS90" t="s">
        <v>1851</v>
      </c>
      <c r="AT90" t="s">
        <v>98</v>
      </c>
      <c r="AU90">
        <v>2013</v>
      </c>
      <c r="AV90">
        <v>77</v>
      </c>
      <c r="AW90" t="s">
        <v>74</v>
      </c>
      <c r="AX90" t="s">
        <v>74</v>
      </c>
      <c r="AY90" t="s">
        <v>74</v>
      </c>
      <c r="AZ90" t="s">
        <v>74</v>
      </c>
      <c r="BA90" t="s">
        <v>74</v>
      </c>
      <c r="BB90">
        <v>22</v>
      </c>
      <c r="BC90">
        <v>30</v>
      </c>
      <c r="BD90" t="s">
        <v>74</v>
      </c>
      <c r="BE90" t="s">
        <v>1852</v>
      </c>
      <c r="BF90" t="str">
        <f>HYPERLINK("http://dx.doi.org/10.1016/j.ibiod.2012.11.002","http://dx.doi.org/10.1016/j.ibiod.2012.11.002")</f>
        <v>http://dx.doi.org/10.1016/j.ibiod.2012.11.002</v>
      </c>
      <c r="BG90" t="s">
        <v>74</v>
      </c>
      <c r="BH90" t="s">
        <v>74</v>
      </c>
      <c r="BI90">
        <v>9</v>
      </c>
      <c r="BJ90" t="s">
        <v>1853</v>
      </c>
      <c r="BK90" t="s">
        <v>102</v>
      </c>
      <c r="BL90" t="s">
        <v>1854</v>
      </c>
      <c r="BM90" t="s">
        <v>1855</v>
      </c>
      <c r="BN90" t="s">
        <v>74</v>
      </c>
      <c r="BO90" t="s">
        <v>74</v>
      </c>
      <c r="BP90" t="s">
        <v>74</v>
      </c>
      <c r="BQ90" t="s">
        <v>74</v>
      </c>
      <c r="BR90" t="s">
        <v>105</v>
      </c>
      <c r="BS90" t="s">
        <v>1856</v>
      </c>
      <c r="BT90" t="str">
        <f>HYPERLINK("https%3A%2F%2Fwww.webofscience.com%2Fwos%2Fwoscc%2Ffull-record%2FWOS:000316426700004","View Full Record in Web of Science")</f>
        <v>View Full Record in Web of Science</v>
      </c>
    </row>
    <row r="91" spans="1:72" x14ac:dyDescent="0.15">
      <c r="A91" t="s">
        <v>72</v>
      </c>
      <c r="B91" t="s">
        <v>1857</v>
      </c>
      <c r="C91" t="s">
        <v>74</v>
      </c>
      <c r="D91" t="s">
        <v>74</v>
      </c>
      <c r="E91" t="s">
        <v>74</v>
      </c>
      <c r="F91" t="s">
        <v>1858</v>
      </c>
      <c r="G91" t="s">
        <v>74</v>
      </c>
      <c r="H91" t="s">
        <v>74</v>
      </c>
      <c r="I91" t="s">
        <v>1859</v>
      </c>
      <c r="J91" t="s">
        <v>1860</v>
      </c>
      <c r="K91" t="s">
        <v>74</v>
      </c>
      <c r="L91" t="s">
        <v>74</v>
      </c>
      <c r="M91" t="s">
        <v>78</v>
      </c>
      <c r="N91" t="s">
        <v>79</v>
      </c>
      <c r="O91" t="s">
        <v>74</v>
      </c>
      <c r="P91" t="s">
        <v>74</v>
      </c>
      <c r="Q91" t="s">
        <v>74</v>
      </c>
      <c r="R91" t="s">
        <v>74</v>
      </c>
      <c r="S91" t="s">
        <v>74</v>
      </c>
      <c r="T91" t="s">
        <v>74</v>
      </c>
      <c r="U91" t="s">
        <v>1861</v>
      </c>
      <c r="V91" t="s">
        <v>1862</v>
      </c>
      <c r="W91" t="s">
        <v>1863</v>
      </c>
      <c r="X91" t="s">
        <v>1864</v>
      </c>
      <c r="Y91" t="s">
        <v>1865</v>
      </c>
      <c r="Z91" t="s">
        <v>1866</v>
      </c>
      <c r="AA91" t="s">
        <v>1867</v>
      </c>
      <c r="AB91" t="s">
        <v>1868</v>
      </c>
      <c r="AC91" t="s">
        <v>1869</v>
      </c>
      <c r="AD91" t="s">
        <v>1870</v>
      </c>
      <c r="AE91" t="s">
        <v>1871</v>
      </c>
      <c r="AF91" t="s">
        <v>74</v>
      </c>
      <c r="AG91">
        <v>25</v>
      </c>
      <c r="AH91">
        <v>18</v>
      </c>
      <c r="AI91">
        <v>18</v>
      </c>
      <c r="AJ91">
        <v>1</v>
      </c>
      <c r="AK91">
        <v>6</v>
      </c>
      <c r="AL91" t="s">
        <v>1872</v>
      </c>
      <c r="AM91" t="s">
        <v>474</v>
      </c>
      <c r="AN91" t="s">
        <v>1873</v>
      </c>
      <c r="AO91" t="s">
        <v>1874</v>
      </c>
      <c r="AP91" t="s">
        <v>1875</v>
      </c>
      <c r="AQ91" t="s">
        <v>74</v>
      </c>
      <c r="AR91" t="s">
        <v>1876</v>
      </c>
      <c r="AS91" t="s">
        <v>1877</v>
      </c>
      <c r="AT91" t="s">
        <v>98</v>
      </c>
      <c r="AU91">
        <v>2013</v>
      </c>
      <c r="AV91">
        <v>63</v>
      </c>
      <c r="AW91" t="s">
        <v>74</v>
      </c>
      <c r="AX91">
        <v>2</v>
      </c>
      <c r="AY91" t="s">
        <v>74</v>
      </c>
      <c r="AZ91" t="s">
        <v>74</v>
      </c>
      <c r="BA91" t="s">
        <v>74</v>
      </c>
      <c r="BB91">
        <v>729</v>
      </c>
      <c r="BC91">
        <v>734</v>
      </c>
      <c r="BD91" t="s">
        <v>74</v>
      </c>
      <c r="BE91" t="s">
        <v>1878</v>
      </c>
      <c r="BF91" t="str">
        <f>HYPERLINK("http://dx.doi.org/10.1099/ijs.0.040907-0","http://dx.doi.org/10.1099/ijs.0.040907-0")</f>
        <v>http://dx.doi.org/10.1099/ijs.0.040907-0</v>
      </c>
      <c r="BG91" t="s">
        <v>74</v>
      </c>
      <c r="BH91" t="s">
        <v>74</v>
      </c>
      <c r="BI91">
        <v>6</v>
      </c>
      <c r="BJ91" t="s">
        <v>1139</v>
      </c>
      <c r="BK91" t="s">
        <v>102</v>
      </c>
      <c r="BL91" t="s">
        <v>1139</v>
      </c>
      <c r="BM91" t="s">
        <v>1879</v>
      </c>
      <c r="BN91">
        <v>22561589</v>
      </c>
      <c r="BO91" t="s">
        <v>74</v>
      </c>
      <c r="BP91" t="s">
        <v>74</v>
      </c>
      <c r="BQ91" t="s">
        <v>74</v>
      </c>
      <c r="BR91" t="s">
        <v>105</v>
      </c>
      <c r="BS91" t="s">
        <v>1880</v>
      </c>
      <c r="BT91" t="str">
        <f>HYPERLINK("https%3A%2F%2Fwww.webofscience.com%2Fwos%2Fwoscc%2Ffull-record%2FWOS:000317170400053","View Full Record in Web of Science")</f>
        <v>View Full Record in Web of Science</v>
      </c>
    </row>
    <row r="92" spans="1:72" x14ac:dyDescent="0.15">
      <c r="A92" t="s">
        <v>72</v>
      </c>
      <c r="B92" t="s">
        <v>1881</v>
      </c>
      <c r="C92" t="s">
        <v>74</v>
      </c>
      <c r="D92" t="s">
        <v>74</v>
      </c>
      <c r="E92" t="s">
        <v>74</v>
      </c>
      <c r="F92" t="s">
        <v>1882</v>
      </c>
      <c r="G92" t="s">
        <v>74</v>
      </c>
      <c r="H92" t="s">
        <v>74</v>
      </c>
      <c r="I92" t="s">
        <v>1883</v>
      </c>
      <c r="J92" t="s">
        <v>1884</v>
      </c>
      <c r="K92" t="s">
        <v>74</v>
      </c>
      <c r="L92" t="s">
        <v>74</v>
      </c>
      <c r="M92" t="s">
        <v>78</v>
      </c>
      <c r="N92" t="s">
        <v>79</v>
      </c>
      <c r="O92" t="s">
        <v>74</v>
      </c>
      <c r="P92" t="s">
        <v>74</v>
      </c>
      <c r="Q92" t="s">
        <v>74</v>
      </c>
      <c r="R92" t="s">
        <v>74</v>
      </c>
      <c r="S92" t="s">
        <v>74</v>
      </c>
      <c r="T92" t="s">
        <v>1885</v>
      </c>
      <c r="U92" t="s">
        <v>1886</v>
      </c>
      <c r="V92" t="s">
        <v>1887</v>
      </c>
      <c r="W92" t="s">
        <v>1888</v>
      </c>
      <c r="X92" t="s">
        <v>1889</v>
      </c>
      <c r="Y92" t="s">
        <v>1890</v>
      </c>
      <c r="Z92" t="s">
        <v>1891</v>
      </c>
      <c r="AA92" t="s">
        <v>1892</v>
      </c>
      <c r="AB92" t="s">
        <v>1893</v>
      </c>
      <c r="AC92" t="s">
        <v>74</v>
      </c>
      <c r="AD92" t="s">
        <v>74</v>
      </c>
      <c r="AE92" t="s">
        <v>74</v>
      </c>
      <c r="AF92" t="s">
        <v>74</v>
      </c>
      <c r="AG92">
        <v>50</v>
      </c>
      <c r="AH92">
        <v>167</v>
      </c>
      <c r="AI92">
        <v>181</v>
      </c>
      <c r="AJ92">
        <v>7</v>
      </c>
      <c r="AK92">
        <v>118</v>
      </c>
      <c r="AL92" t="s">
        <v>257</v>
      </c>
      <c r="AM92" t="s">
        <v>215</v>
      </c>
      <c r="AN92" t="s">
        <v>216</v>
      </c>
      <c r="AO92" t="s">
        <v>1894</v>
      </c>
      <c r="AP92" t="s">
        <v>1895</v>
      </c>
      <c r="AQ92" t="s">
        <v>74</v>
      </c>
      <c r="AR92" t="s">
        <v>1896</v>
      </c>
      <c r="AS92" t="s">
        <v>1897</v>
      </c>
      <c r="AT92" t="s">
        <v>98</v>
      </c>
      <c r="AU92">
        <v>2013</v>
      </c>
      <c r="AV92">
        <v>50</v>
      </c>
      <c r="AW92">
        <v>1</v>
      </c>
      <c r="AX92" t="s">
        <v>74</v>
      </c>
      <c r="AY92" t="s">
        <v>74</v>
      </c>
      <c r="AZ92" t="s">
        <v>74</v>
      </c>
      <c r="BA92" t="s">
        <v>74</v>
      </c>
      <c r="BB92">
        <v>215</v>
      </c>
      <c r="BC92">
        <v>222</v>
      </c>
      <c r="BD92" t="s">
        <v>74</v>
      </c>
      <c r="BE92" t="s">
        <v>1898</v>
      </c>
      <c r="BF92" t="str">
        <f>HYPERLINK("http://dx.doi.org/10.1111/1365-2644.12017","http://dx.doi.org/10.1111/1365-2644.12017")</f>
        <v>http://dx.doi.org/10.1111/1365-2644.12017</v>
      </c>
      <c r="BG92" t="s">
        <v>74</v>
      </c>
      <c r="BH92" t="s">
        <v>74</v>
      </c>
      <c r="BI92">
        <v>8</v>
      </c>
      <c r="BJ92" t="s">
        <v>981</v>
      </c>
      <c r="BK92" t="s">
        <v>102</v>
      </c>
      <c r="BL92" t="s">
        <v>958</v>
      </c>
      <c r="BM92" t="s">
        <v>1899</v>
      </c>
      <c r="BN92" t="s">
        <v>74</v>
      </c>
      <c r="BO92" t="s">
        <v>128</v>
      </c>
      <c r="BP92" t="s">
        <v>74</v>
      </c>
      <c r="BQ92" t="s">
        <v>74</v>
      </c>
      <c r="BR92" t="s">
        <v>105</v>
      </c>
      <c r="BS92" t="s">
        <v>1900</v>
      </c>
      <c r="BT92" t="str">
        <f>HYPERLINK("https%3A%2F%2Fwww.webofscience.com%2Fwos%2Fwoscc%2Ffull-record%2FWOS:000314520500024","View Full Record in Web of Science")</f>
        <v>View Full Record in Web of Science</v>
      </c>
    </row>
    <row r="93" spans="1:72" x14ac:dyDescent="0.15">
      <c r="A93" t="s">
        <v>72</v>
      </c>
      <c r="B93" t="s">
        <v>1901</v>
      </c>
      <c r="C93" t="s">
        <v>74</v>
      </c>
      <c r="D93" t="s">
        <v>74</v>
      </c>
      <c r="E93" t="s">
        <v>74</v>
      </c>
      <c r="F93" t="s">
        <v>1902</v>
      </c>
      <c r="G93" t="s">
        <v>74</v>
      </c>
      <c r="H93" t="s">
        <v>74</v>
      </c>
      <c r="I93" t="s">
        <v>1903</v>
      </c>
      <c r="J93" t="s">
        <v>1904</v>
      </c>
      <c r="K93" t="s">
        <v>74</v>
      </c>
      <c r="L93" t="s">
        <v>74</v>
      </c>
      <c r="M93" t="s">
        <v>78</v>
      </c>
      <c r="N93" t="s">
        <v>79</v>
      </c>
      <c r="O93" t="s">
        <v>74</v>
      </c>
      <c r="P93" t="s">
        <v>74</v>
      </c>
      <c r="Q93" t="s">
        <v>74</v>
      </c>
      <c r="R93" t="s">
        <v>74</v>
      </c>
      <c r="S93" t="s">
        <v>74</v>
      </c>
      <c r="T93" t="s">
        <v>1905</v>
      </c>
      <c r="U93" t="s">
        <v>1906</v>
      </c>
      <c r="V93" t="s">
        <v>1907</v>
      </c>
      <c r="W93" t="s">
        <v>1908</v>
      </c>
      <c r="X93" t="s">
        <v>1909</v>
      </c>
      <c r="Y93" t="s">
        <v>1910</v>
      </c>
      <c r="Z93" t="s">
        <v>1911</v>
      </c>
      <c r="AA93" t="s">
        <v>1912</v>
      </c>
      <c r="AB93" t="s">
        <v>1913</v>
      </c>
      <c r="AC93" t="s">
        <v>1914</v>
      </c>
      <c r="AD93" t="s">
        <v>1915</v>
      </c>
      <c r="AE93" t="s">
        <v>1916</v>
      </c>
      <c r="AF93" t="s">
        <v>74</v>
      </c>
      <c r="AG93">
        <v>71</v>
      </c>
      <c r="AH93">
        <v>68</v>
      </c>
      <c r="AI93">
        <v>79</v>
      </c>
      <c r="AJ93">
        <v>12</v>
      </c>
      <c r="AK93">
        <v>153</v>
      </c>
      <c r="AL93" t="s">
        <v>500</v>
      </c>
      <c r="AM93" t="s">
        <v>950</v>
      </c>
      <c r="AN93" t="s">
        <v>951</v>
      </c>
      <c r="AO93" t="s">
        <v>1917</v>
      </c>
      <c r="AP93" t="s">
        <v>1918</v>
      </c>
      <c r="AQ93" t="s">
        <v>74</v>
      </c>
      <c r="AR93" t="s">
        <v>1919</v>
      </c>
      <c r="AS93" t="s">
        <v>1920</v>
      </c>
      <c r="AT93" t="s">
        <v>98</v>
      </c>
      <c r="AU93">
        <v>2013</v>
      </c>
      <c r="AV93">
        <v>25</v>
      </c>
      <c r="AW93">
        <v>1</v>
      </c>
      <c r="AX93" t="s">
        <v>74</v>
      </c>
      <c r="AY93" t="s">
        <v>74</v>
      </c>
      <c r="AZ93" t="s">
        <v>74</v>
      </c>
      <c r="BA93" t="s">
        <v>74</v>
      </c>
      <c r="BB93">
        <v>285</v>
      </c>
      <c r="BC93">
        <v>297</v>
      </c>
      <c r="BD93" t="s">
        <v>74</v>
      </c>
      <c r="BE93" t="s">
        <v>1921</v>
      </c>
      <c r="BF93" t="str">
        <f>HYPERLINK("http://dx.doi.org/10.1007/s10811-012-9863-8","http://dx.doi.org/10.1007/s10811-012-9863-8")</f>
        <v>http://dx.doi.org/10.1007/s10811-012-9863-8</v>
      </c>
      <c r="BG93" t="s">
        <v>74</v>
      </c>
      <c r="BH93" t="s">
        <v>74</v>
      </c>
      <c r="BI93">
        <v>13</v>
      </c>
      <c r="BJ93" t="s">
        <v>1922</v>
      </c>
      <c r="BK93" t="s">
        <v>102</v>
      </c>
      <c r="BL93" t="s">
        <v>1922</v>
      </c>
      <c r="BM93" t="s">
        <v>1923</v>
      </c>
      <c r="BN93" t="s">
        <v>74</v>
      </c>
      <c r="BO93" t="s">
        <v>74</v>
      </c>
      <c r="BP93" t="s">
        <v>74</v>
      </c>
      <c r="BQ93" t="s">
        <v>74</v>
      </c>
      <c r="BR93" t="s">
        <v>105</v>
      </c>
      <c r="BS93" t="s">
        <v>1924</v>
      </c>
      <c r="BT93" t="str">
        <f>HYPERLINK("https%3A%2F%2Fwww.webofscience.com%2Fwos%2Fwoscc%2Ffull-record%2FWOS:000313655400031","View Full Record in Web of Science")</f>
        <v>View Full Record in Web of Science</v>
      </c>
    </row>
    <row r="94" spans="1:72" x14ac:dyDescent="0.15">
      <c r="A94" t="s">
        <v>72</v>
      </c>
      <c r="B94" t="s">
        <v>1925</v>
      </c>
      <c r="C94" t="s">
        <v>74</v>
      </c>
      <c r="D94" t="s">
        <v>74</v>
      </c>
      <c r="E94" t="s">
        <v>74</v>
      </c>
      <c r="F94" t="s">
        <v>1926</v>
      </c>
      <c r="G94" t="s">
        <v>74</v>
      </c>
      <c r="H94" t="s">
        <v>74</v>
      </c>
      <c r="I94" t="s">
        <v>1927</v>
      </c>
      <c r="J94" t="s">
        <v>1928</v>
      </c>
      <c r="K94" t="s">
        <v>74</v>
      </c>
      <c r="L94" t="s">
        <v>74</v>
      </c>
      <c r="M94" t="s">
        <v>78</v>
      </c>
      <c r="N94" t="s">
        <v>79</v>
      </c>
      <c r="O94" t="s">
        <v>74</v>
      </c>
      <c r="P94" t="s">
        <v>74</v>
      </c>
      <c r="Q94" t="s">
        <v>74</v>
      </c>
      <c r="R94" t="s">
        <v>74</v>
      </c>
      <c r="S94" t="s">
        <v>74</v>
      </c>
      <c r="T94" t="s">
        <v>1929</v>
      </c>
      <c r="U94" t="s">
        <v>1930</v>
      </c>
      <c r="V94" t="s">
        <v>1931</v>
      </c>
      <c r="W94" t="s">
        <v>1932</v>
      </c>
      <c r="X94" t="s">
        <v>1933</v>
      </c>
      <c r="Y94" t="s">
        <v>1934</v>
      </c>
      <c r="Z94" t="s">
        <v>1935</v>
      </c>
      <c r="AA94" t="s">
        <v>1936</v>
      </c>
      <c r="AB94" t="s">
        <v>1937</v>
      </c>
      <c r="AC94" t="s">
        <v>1938</v>
      </c>
      <c r="AD94" t="s">
        <v>1821</v>
      </c>
      <c r="AE94" t="s">
        <v>1939</v>
      </c>
      <c r="AF94" t="s">
        <v>74</v>
      </c>
      <c r="AG94">
        <v>53</v>
      </c>
      <c r="AH94">
        <v>37</v>
      </c>
      <c r="AI94">
        <v>43</v>
      </c>
      <c r="AJ94">
        <v>1</v>
      </c>
      <c r="AK94">
        <v>39</v>
      </c>
      <c r="AL94" t="s">
        <v>397</v>
      </c>
      <c r="AM94" t="s">
        <v>398</v>
      </c>
      <c r="AN94" t="s">
        <v>399</v>
      </c>
      <c r="AO94" t="s">
        <v>752</v>
      </c>
      <c r="AP94" t="s">
        <v>1940</v>
      </c>
      <c r="AQ94" t="s">
        <v>74</v>
      </c>
      <c r="AR94" t="s">
        <v>753</v>
      </c>
      <c r="AS94" t="s">
        <v>754</v>
      </c>
      <c r="AT94" t="s">
        <v>98</v>
      </c>
      <c r="AU94">
        <v>2013</v>
      </c>
      <c r="AV94">
        <v>183</v>
      </c>
      <c r="AW94">
        <v>2</v>
      </c>
      <c r="AX94" t="s">
        <v>74</v>
      </c>
      <c r="AY94" t="s">
        <v>74</v>
      </c>
      <c r="AZ94" t="s">
        <v>74</v>
      </c>
      <c r="BA94" t="s">
        <v>74</v>
      </c>
      <c r="BB94">
        <v>189</v>
      </c>
      <c r="BC94">
        <v>201</v>
      </c>
      <c r="BD94" t="s">
        <v>74</v>
      </c>
      <c r="BE94" t="s">
        <v>1941</v>
      </c>
      <c r="BF94" t="str">
        <f>HYPERLINK("http://dx.doi.org/10.1007/s00360-012-0707-2","http://dx.doi.org/10.1007/s00360-012-0707-2")</f>
        <v>http://dx.doi.org/10.1007/s00360-012-0707-2</v>
      </c>
      <c r="BG94" t="s">
        <v>74</v>
      </c>
      <c r="BH94" t="s">
        <v>74</v>
      </c>
      <c r="BI94">
        <v>13</v>
      </c>
      <c r="BJ94" t="s">
        <v>756</v>
      </c>
      <c r="BK94" t="s">
        <v>102</v>
      </c>
      <c r="BL94" t="s">
        <v>756</v>
      </c>
      <c r="BM94" t="s">
        <v>757</v>
      </c>
      <c r="BN94">
        <v>22972362</v>
      </c>
      <c r="BO94" t="s">
        <v>74</v>
      </c>
      <c r="BP94" t="s">
        <v>74</v>
      </c>
      <c r="BQ94" t="s">
        <v>74</v>
      </c>
      <c r="BR94" t="s">
        <v>105</v>
      </c>
      <c r="BS94" t="s">
        <v>1942</v>
      </c>
      <c r="BT94" t="str">
        <f>HYPERLINK("https%3A%2F%2Fwww.webofscience.com%2Fwos%2Fwoscc%2Ffull-record%2FWOS:000314273800003","View Full Record in Web of Science")</f>
        <v>View Full Record in Web of Science</v>
      </c>
    </row>
    <row r="95" spans="1:72" x14ac:dyDescent="0.15">
      <c r="A95" t="s">
        <v>72</v>
      </c>
      <c r="B95" t="s">
        <v>1943</v>
      </c>
      <c r="C95" t="s">
        <v>74</v>
      </c>
      <c r="D95" t="s">
        <v>74</v>
      </c>
      <c r="E95" t="s">
        <v>74</v>
      </c>
      <c r="F95" t="s">
        <v>1944</v>
      </c>
      <c r="G95" t="s">
        <v>74</v>
      </c>
      <c r="H95" t="s">
        <v>74</v>
      </c>
      <c r="I95" t="s">
        <v>1945</v>
      </c>
      <c r="J95" t="s">
        <v>1946</v>
      </c>
      <c r="K95" t="s">
        <v>74</v>
      </c>
      <c r="L95" t="s">
        <v>74</v>
      </c>
      <c r="M95" t="s">
        <v>78</v>
      </c>
      <c r="N95" t="s">
        <v>79</v>
      </c>
      <c r="O95" t="s">
        <v>74</v>
      </c>
      <c r="P95" t="s">
        <v>74</v>
      </c>
      <c r="Q95" t="s">
        <v>74</v>
      </c>
      <c r="R95" t="s">
        <v>74</v>
      </c>
      <c r="S95" t="s">
        <v>74</v>
      </c>
      <c r="T95" t="s">
        <v>1947</v>
      </c>
      <c r="U95" t="s">
        <v>1948</v>
      </c>
      <c r="V95" t="s">
        <v>1949</v>
      </c>
      <c r="W95" t="s">
        <v>1950</v>
      </c>
      <c r="X95" t="s">
        <v>1951</v>
      </c>
      <c r="Y95" t="s">
        <v>1952</v>
      </c>
      <c r="Z95" t="s">
        <v>1953</v>
      </c>
      <c r="AA95" t="s">
        <v>1954</v>
      </c>
      <c r="AB95" t="s">
        <v>1955</v>
      </c>
      <c r="AC95" t="s">
        <v>1956</v>
      </c>
      <c r="AD95" t="s">
        <v>1956</v>
      </c>
      <c r="AE95" t="s">
        <v>1957</v>
      </c>
      <c r="AF95" t="s">
        <v>74</v>
      </c>
      <c r="AG95">
        <v>72</v>
      </c>
      <c r="AH95">
        <v>35</v>
      </c>
      <c r="AI95">
        <v>38</v>
      </c>
      <c r="AJ95">
        <v>1</v>
      </c>
      <c r="AK95">
        <v>49</v>
      </c>
      <c r="AL95" t="s">
        <v>500</v>
      </c>
      <c r="AM95" t="s">
        <v>950</v>
      </c>
      <c r="AN95" t="s">
        <v>951</v>
      </c>
      <c r="AO95" t="s">
        <v>1958</v>
      </c>
      <c r="AP95" t="s">
        <v>1959</v>
      </c>
      <c r="AQ95" t="s">
        <v>74</v>
      </c>
      <c r="AR95" t="s">
        <v>1960</v>
      </c>
      <c r="AS95" t="s">
        <v>1961</v>
      </c>
      <c r="AT95" t="s">
        <v>98</v>
      </c>
      <c r="AU95">
        <v>2013</v>
      </c>
      <c r="AV95">
        <v>49</v>
      </c>
      <c r="AW95">
        <v>2</v>
      </c>
      <c r="AX95" t="s">
        <v>74</v>
      </c>
      <c r="AY95" t="s">
        <v>74</v>
      </c>
      <c r="AZ95" t="s">
        <v>74</v>
      </c>
      <c r="BA95" t="s">
        <v>74</v>
      </c>
      <c r="BB95">
        <v>155</v>
      </c>
      <c r="BC95">
        <v>170</v>
      </c>
      <c r="BD95" t="s">
        <v>74</v>
      </c>
      <c r="BE95" t="s">
        <v>1962</v>
      </c>
      <c r="BF95" t="str">
        <f>HYPERLINK("http://dx.doi.org/10.1007/s10933-012-9650-1","http://dx.doi.org/10.1007/s10933-012-9650-1")</f>
        <v>http://dx.doi.org/10.1007/s10933-012-9650-1</v>
      </c>
      <c r="BG95" t="s">
        <v>74</v>
      </c>
      <c r="BH95" t="s">
        <v>74</v>
      </c>
      <c r="BI95">
        <v>16</v>
      </c>
      <c r="BJ95" t="s">
        <v>1963</v>
      </c>
      <c r="BK95" t="s">
        <v>102</v>
      </c>
      <c r="BL95" t="s">
        <v>1964</v>
      </c>
      <c r="BM95" t="s">
        <v>1965</v>
      </c>
      <c r="BN95" t="s">
        <v>74</v>
      </c>
      <c r="BO95" t="s">
        <v>74</v>
      </c>
      <c r="BP95" t="s">
        <v>74</v>
      </c>
      <c r="BQ95" t="s">
        <v>74</v>
      </c>
      <c r="BR95" t="s">
        <v>105</v>
      </c>
      <c r="BS95" t="s">
        <v>1966</v>
      </c>
      <c r="BT95" t="str">
        <f>HYPERLINK("https%3A%2F%2Fwww.webofscience.com%2Fwos%2Fwoscc%2Ffull-record%2FWOS:000313795300004","View Full Record in Web of Science")</f>
        <v>View Full Record in Web of Science</v>
      </c>
    </row>
    <row r="96" spans="1:72" x14ac:dyDescent="0.15">
      <c r="A96" t="s">
        <v>72</v>
      </c>
      <c r="B96" t="s">
        <v>1967</v>
      </c>
      <c r="C96" t="s">
        <v>74</v>
      </c>
      <c r="D96" t="s">
        <v>74</v>
      </c>
      <c r="E96" t="s">
        <v>74</v>
      </c>
      <c r="F96" t="s">
        <v>1968</v>
      </c>
      <c r="G96" t="s">
        <v>74</v>
      </c>
      <c r="H96" t="s">
        <v>74</v>
      </c>
      <c r="I96" t="s">
        <v>1969</v>
      </c>
      <c r="J96" t="s">
        <v>1970</v>
      </c>
      <c r="K96" t="s">
        <v>74</v>
      </c>
      <c r="L96" t="s">
        <v>74</v>
      </c>
      <c r="M96" t="s">
        <v>78</v>
      </c>
      <c r="N96" t="s">
        <v>79</v>
      </c>
      <c r="O96" t="s">
        <v>74</v>
      </c>
      <c r="P96" t="s">
        <v>74</v>
      </c>
      <c r="Q96" t="s">
        <v>74</v>
      </c>
      <c r="R96" t="s">
        <v>74</v>
      </c>
      <c r="S96" t="s">
        <v>74</v>
      </c>
      <c r="T96" t="s">
        <v>74</v>
      </c>
      <c r="U96" t="s">
        <v>1971</v>
      </c>
      <c r="V96" t="s">
        <v>74</v>
      </c>
      <c r="W96" t="s">
        <v>1972</v>
      </c>
      <c r="X96" t="s">
        <v>1973</v>
      </c>
      <c r="Y96" t="s">
        <v>1974</v>
      </c>
      <c r="Z96" t="s">
        <v>1975</v>
      </c>
      <c r="AA96" t="s">
        <v>1976</v>
      </c>
      <c r="AB96" t="s">
        <v>1977</v>
      </c>
      <c r="AC96" t="s">
        <v>1978</v>
      </c>
      <c r="AD96" t="s">
        <v>1979</v>
      </c>
      <c r="AE96" t="s">
        <v>1980</v>
      </c>
      <c r="AF96" t="s">
        <v>74</v>
      </c>
      <c r="AG96">
        <v>42</v>
      </c>
      <c r="AH96">
        <v>8</v>
      </c>
      <c r="AI96">
        <v>10</v>
      </c>
      <c r="AJ96">
        <v>0</v>
      </c>
      <c r="AK96">
        <v>8</v>
      </c>
      <c r="AL96" t="s">
        <v>91</v>
      </c>
      <c r="AM96" t="s">
        <v>92</v>
      </c>
      <c r="AN96" t="s">
        <v>93</v>
      </c>
      <c r="AO96" t="s">
        <v>1981</v>
      </c>
      <c r="AP96" t="s">
        <v>1982</v>
      </c>
      <c r="AQ96" t="s">
        <v>74</v>
      </c>
      <c r="AR96" t="s">
        <v>1983</v>
      </c>
      <c r="AS96" t="s">
        <v>1984</v>
      </c>
      <c r="AT96" t="s">
        <v>98</v>
      </c>
      <c r="AU96">
        <v>2013</v>
      </c>
      <c r="AV96">
        <v>44</v>
      </c>
      <c r="AW96">
        <v>2</v>
      </c>
      <c r="AX96" t="s">
        <v>74</v>
      </c>
      <c r="AY96" t="s">
        <v>74</v>
      </c>
      <c r="AZ96" t="s">
        <v>74</v>
      </c>
      <c r="BA96" t="s">
        <v>74</v>
      </c>
      <c r="BB96">
        <v>662</v>
      </c>
      <c r="BC96">
        <v>675</v>
      </c>
      <c r="BD96" t="s">
        <v>74</v>
      </c>
      <c r="BE96" t="s">
        <v>74</v>
      </c>
      <c r="BF96" t="s">
        <v>74</v>
      </c>
      <c r="BG96" t="s">
        <v>74</v>
      </c>
      <c r="BH96" t="s">
        <v>74</v>
      </c>
      <c r="BI96">
        <v>14</v>
      </c>
      <c r="BJ96" t="s">
        <v>303</v>
      </c>
      <c r="BK96" t="s">
        <v>102</v>
      </c>
      <c r="BL96" t="s">
        <v>303</v>
      </c>
      <c r="BM96" t="s">
        <v>1985</v>
      </c>
      <c r="BN96" t="s">
        <v>74</v>
      </c>
      <c r="BO96" t="s">
        <v>74</v>
      </c>
      <c r="BP96" t="s">
        <v>74</v>
      </c>
      <c r="BQ96" t="s">
        <v>74</v>
      </c>
      <c r="BR96" t="s">
        <v>105</v>
      </c>
      <c r="BS96" t="s">
        <v>1986</v>
      </c>
      <c r="BT96" t="str">
        <f>HYPERLINK("https%3A%2F%2Fwww.webofscience.com%2Fwos%2Fwoscc%2Ffull-record%2FWOS:000331024200001","View Full Record in Web of Science")</f>
        <v>View Full Record in Web of Science</v>
      </c>
    </row>
    <row r="97" spans="1:72" x14ac:dyDescent="0.15">
      <c r="A97" t="s">
        <v>72</v>
      </c>
      <c r="B97" t="s">
        <v>1987</v>
      </c>
      <c r="C97" t="s">
        <v>74</v>
      </c>
      <c r="D97" t="s">
        <v>74</v>
      </c>
      <c r="E97" t="s">
        <v>74</v>
      </c>
      <c r="F97" t="s">
        <v>1988</v>
      </c>
      <c r="G97" t="s">
        <v>74</v>
      </c>
      <c r="H97" t="s">
        <v>74</v>
      </c>
      <c r="I97" t="s">
        <v>1989</v>
      </c>
      <c r="J97" t="s">
        <v>1970</v>
      </c>
      <c r="K97" t="s">
        <v>74</v>
      </c>
      <c r="L97" t="s">
        <v>74</v>
      </c>
      <c r="M97" t="s">
        <v>78</v>
      </c>
      <c r="N97" t="s">
        <v>79</v>
      </c>
      <c r="O97" t="s">
        <v>74</v>
      </c>
      <c r="P97" t="s">
        <v>74</v>
      </c>
      <c r="Q97" t="s">
        <v>74</v>
      </c>
      <c r="R97" t="s">
        <v>74</v>
      </c>
      <c r="S97" t="s">
        <v>74</v>
      </c>
      <c r="T97" t="s">
        <v>74</v>
      </c>
      <c r="U97" t="s">
        <v>1990</v>
      </c>
      <c r="V97" t="s">
        <v>1991</v>
      </c>
      <c r="W97" t="s">
        <v>1992</v>
      </c>
      <c r="X97" t="s">
        <v>1993</v>
      </c>
      <c r="Y97" t="s">
        <v>1994</v>
      </c>
      <c r="Z97" t="s">
        <v>1995</v>
      </c>
      <c r="AA97" t="s">
        <v>1996</v>
      </c>
      <c r="AB97" t="s">
        <v>1997</v>
      </c>
      <c r="AC97" t="s">
        <v>1998</v>
      </c>
      <c r="AD97" t="s">
        <v>1999</v>
      </c>
      <c r="AE97" t="s">
        <v>2000</v>
      </c>
      <c r="AF97" t="s">
        <v>74</v>
      </c>
      <c r="AG97">
        <v>44</v>
      </c>
      <c r="AH97">
        <v>123</v>
      </c>
      <c r="AI97">
        <v>131</v>
      </c>
      <c r="AJ97">
        <v>1</v>
      </c>
      <c r="AK97">
        <v>56</v>
      </c>
      <c r="AL97" t="s">
        <v>91</v>
      </c>
      <c r="AM97" t="s">
        <v>92</v>
      </c>
      <c r="AN97" t="s">
        <v>93</v>
      </c>
      <c r="AO97" t="s">
        <v>1981</v>
      </c>
      <c r="AP97" t="s">
        <v>1982</v>
      </c>
      <c r="AQ97" t="s">
        <v>74</v>
      </c>
      <c r="AR97" t="s">
        <v>1983</v>
      </c>
      <c r="AS97" t="s">
        <v>1984</v>
      </c>
      <c r="AT97" t="s">
        <v>98</v>
      </c>
      <c r="AU97">
        <v>2013</v>
      </c>
      <c r="AV97">
        <v>43</v>
      </c>
      <c r="AW97">
        <v>2</v>
      </c>
      <c r="AX97" t="s">
        <v>74</v>
      </c>
      <c r="AY97" t="s">
        <v>74</v>
      </c>
      <c r="AZ97" t="s">
        <v>74</v>
      </c>
      <c r="BA97" t="s">
        <v>74</v>
      </c>
      <c r="BB97">
        <v>259</v>
      </c>
      <c r="BC97">
        <v>282</v>
      </c>
      <c r="BD97" t="s">
        <v>74</v>
      </c>
      <c r="BE97" t="s">
        <v>2001</v>
      </c>
      <c r="BF97" t="str">
        <f>HYPERLINK("http://dx.doi.org/10.1175/JPO-D-11-0194.1","http://dx.doi.org/10.1175/JPO-D-11-0194.1")</f>
        <v>http://dx.doi.org/10.1175/JPO-D-11-0194.1</v>
      </c>
      <c r="BG97" t="s">
        <v>74</v>
      </c>
      <c r="BH97" t="s">
        <v>74</v>
      </c>
      <c r="BI97">
        <v>24</v>
      </c>
      <c r="BJ97" t="s">
        <v>303</v>
      </c>
      <c r="BK97" t="s">
        <v>102</v>
      </c>
      <c r="BL97" t="s">
        <v>303</v>
      </c>
      <c r="BM97" t="s">
        <v>2002</v>
      </c>
      <c r="BN97" t="s">
        <v>74</v>
      </c>
      <c r="BO97" t="s">
        <v>1396</v>
      </c>
      <c r="BP97" t="s">
        <v>74</v>
      </c>
      <c r="BQ97" t="s">
        <v>74</v>
      </c>
      <c r="BR97" t="s">
        <v>105</v>
      </c>
      <c r="BS97" t="s">
        <v>2003</v>
      </c>
      <c r="BT97" t="str">
        <f>HYPERLINK("https%3A%2F%2Fwww.webofscience.com%2Fwos%2Fwoscc%2Ffull-record%2FWOS:000316303600003","View Full Record in Web of Science")</f>
        <v>View Full Record in Web of Science</v>
      </c>
    </row>
    <row r="98" spans="1:72" x14ac:dyDescent="0.15">
      <c r="A98" t="s">
        <v>72</v>
      </c>
      <c r="B98" t="s">
        <v>2004</v>
      </c>
      <c r="C98" t="s">
        <v>74</v>
      </c>
      <c r="D98" t="s">
        <v>74</v>
      </c>
      <c r="E98" t="s">
        <v>74</v>
      </c>
      <c r="F98" t="s">
        <v>2005</v>
      </c>
      <c r="G98" t="s">
        <v>74</v>
      </c>
      <c r="H98" t="s">
        <v>74</v>
      </c>
      <c r="I98" t="s">
        <v>2006</v>
      </c>
      <c r="J98" t="s">
        <v>1970</v>
      </c>
      <c r="K98" t="s">
        <v>74</v>
      </c>
      <c r="L98" t="s">
        <v>74</v>
      </c>
      <c r="M98" t="s">
        <v>78</v>
      </c>
      <c r="N98" t="s">
        <v>79</v>
      </c>
      <c r="O98" t="s">
        <v>74</v>
      </c>
      <c r="P98" t="s">
        <v>74</v>
      </c>
      <c r="Q98" t="s">
        <v>74</v>
      </c>
      <c r="R98" t="s">
        <v>74</v>
      </c>
      <c r="S98" t="s">
        <v>74</v>
      </c>
      <c r="T98" t="s">
        <v>74</v>
      </c>
      <c r="U98" t="s">
        <v>2007</v>
      </c>
      <c r="V98" t="s">
        <v>2008</v>
      </c>
      <c r="W98" t="s">
        <v>2009</v>
      </c>
      <c r="X98" t="s">
        <v>2010</v>
      </c>
      <c r="Y98" t="s">
        <v>2011</v>
      </c>
      <c r="Z98" t="s">
        <v>2012</v>
      </c>
      <c r="AA98" t="s">
        <v>2013</v>
      </c>
      <c r="AB98" t="s">
        <v>2014</v>
      </c>
      <c r="AC98" t="s">
        <v>2015</v>
      </c>
      <c r="AD98" t="s">
        <v>2016</v>
      </c>
      <c r="AE98" t="s">
        <v>2017</v>
      </c>
      <c r="AF98" t="s">
        <v>74</v>
      </c>
      <c r="AG98">
        <v>31</v>
      </c>
      <c r="AH98">
        <v>20</v>
      </c>
      <c r="AI98">
        <v>21</v>
      </c>
      <c r="AJ98">
        <v>0</v>
      </c>
      <c r="AK98">
        <v>17</v>
      </c>
      <c r="AL98" t="s">
        <v>91</v>
      </c>
      <c r="AM98" t="s">
        <v>92</v>
      </c>
      <c r="AN98" t="s">
        <v>93</v>
      </c>
      <c r="AO98" t="s">
        <v>1981</v>
      </c>
      <c r="AP98" t="s">
        <v>74</v>
      </c>
      <c r="AQ98" t="s">
        <v>74</v>
      </c>
      <c r="AR98" t="s">
        <v>1983</v>
      </c>
      <c r="AS98" t="s">
        <v>1984</v>
      </c>
      <c r="AT98" t="s">
        <v>98</v>
      </c>
      <c r="AU98">
        <v>2013</v>
      </c>
      <c r="AV98">
        <v>43</v>
      </c>
      <c r="AW98">
        <v>2</v>
      </c>
      <c r="AX98" t="s">
        <v>74</v>
      </c>
      <c r="AY98" t="s">
        <v>74</v>
      </c>
      <c r="AZ98" t="s">
        <v>74</v>
      </c>
      <c r="BA98" t="s">
        <v>74</v>
      </c>
      <c r="BB98">
        <v>359</v>
      </c>
      <c r="BC98">
        <v>365</v>
      </c>
      <c r="BD98" t="s">
        <v>74</v>
      </c>
      <c r="BE98" t="s">
        <v>2018</v>
      </c>
      <c r="BF98" t="str">
        <f>HYPERLINK("http://dx.doi.org/10.1175/JPO-D-12-0186.1","http://dx.doi.org/10.1175/JPO-D-12-0186.1")</f>
        <v>http://dx.doi.org/10.1175/JPO-D-12-0186.1</v>
      </c>
      <c r="BG98" t="s">
        <v>74</v>
      </c>
      <c r="BH98" t="s">
        <v>74</v>
      </c>
      <c r="BI98">
        <v>7</v>
      </c>
      <c r="BJ98" t="s">
        <v>303</v>
      </c>
      <c r="BK98" t="s">
        <v>102</v>
      </c>
      <c r="BL98" t="s">
        <v>303</v>
      </c>
      <c r="BM98" t="s">
        <v>2002</v>
      </c>
      <c r="BN98" t="s">
        <v>74</v>
      </c>
      <c r="BO98" t="s">
        <v>2019</v>
      </c>
      <c r="BP98" t="s">
        <v>74</v>
      </c>
      <c r="BQ98" t="s">
        <v>74</v>
      </c>
      <c r="BR98" t="s">
        <v>105</v>
      </c>
      <c r="BS98" t="s">
        <v>2020</v>
      </c>
      <c r="BT98" t="str">
        <f>HYPERLINK("https%3A%2F%2Fwww.webofscience.com%2Fwos%2Fwoscc%2Ffull-record%2FWOS:000316303600009","View Full Record in Web of Science")</f>
        <v>View Full Record in Web of Science</v>
      </c>
    </row>
    <row r="99" spans="1:72" x14ac:dyDescent="0.15">
      <c r="A99" t="s">
        <v>72</v>
      </c>
      <c r="B99" t="s">
        <v>2021</v>
      </c>
      <c r="C99" t="s">
        <v>74</v>
      </c>
      <c r="D99" t="s">
        <v>74</v>
      </c>
      <c r="E99" t="s">
        <v>74</v>
      </c>
      <c r="F99" t="s">
        <v>2022</v>
      </c>
      <c r="G99" t="s">
        <v>74</v>
      </c>
      <c r="H99" t="s">
        <v>74</v>
      </c>
      <c r="I99" t="s">
        <v>2023</v>
      </c>
      <c r="J99" t="s">
        <v>2024</v>
      </c>
      <c r="K99" t="s">
        <v>74</v>
      </c>
      <c r="L99" t="s">
        <v>74</v>
      </c>
      <c r="M99" t="s">
        <v>78</v>
      </c>
      <c r="N99" t="s">
        <v>79</v>
      </c>
      <c r="O99" t="s">
        <v>74</v>
      </c>
      <c r="P99" t="s">
        <v>74</v>
      </c>
      <c r="Q99" t="s">
        <v>74</v>
      </c>
      <c r="R99" t="s">
        <v>74</v>
      </c>
      <c r="S99" t="s">
        <v>74</v>
      </c>
      <c r="T99" t="s">
        <v>2025</v>
      </c>
      <c r="U99" t="s">
        <v>2026</v>
      </c>
      <c r="V99" t="s">
        <v>2027</v>
      </c>
      <c r="W99" t="s">
        <v>2028</v>
      </c>
      <c r="X99" t="s">
        <v>2029</v>
      </c>
      <c r="Y99" t="s">
        <v>2030</v>
      </c>
      <c r="Z99" t="s">
        <v>2031</v>
      </c>
      <c r="AA99" t="s">
        <v>2032</v>
      </c>
      <c r="AB99" t="s">
        <v>2033</v>
      </c>
      <c r="AC99" t="s">
        <v>2034</v>
      </c>
      <c r="AD99" t="s">
        <v>2035</v>
      </c>
      <c r="AE99" t="s">
        <v>2036</v>
      </c>
      <c r="AF99" t="s">
        <v>74</v>
      </c>
      <c r="AG99">
        <v>17</v>
      </c>
      <c r="AH99">
        <v>46</v>
      </c>
      <c r="AI99">
        <v>51</v>
      </c>
      <c r="AJ99">
        <v>2</v>
      </c>
      <c r="AK99">
        <v>53</v>
      </c>
      <c r="AL99" t="s">
        <v>2037</v>
      </c>
      <c r="AM99" t="s">
        <v>2038</v>
      </c>
      <c r="AN99" t="s">
        <v>2039</v>
      </c>
      <c r="AO99" t="s">
        <v>2040</v>
      </c>
      <c r="AP99" t="s">
        <v>74</v>
      </c>
      <c r="AQ99" t="s">
        <v>74</v>
      </c>
      <c r="AR99" t="s">
        <v>2041</v>
      </c>
      <c r="AS99" t="s">
        <v>2042</v>
      </c>
      <c r="AT99" t="s">
        <v>98</v>
      </c>
      <c r="AU99">
        <v>2013</v>
      </c>
      <c r="AV99" t="s">
        <v>74</v>
      </c>
      <c r="AW99">
        <v>72</v>
      </c>
      <c r="AX99" t="s">
        <v>74</v>
      </c>
      <c r="AY99" t="s">
        <v>74</v>
      </c>
      <c r="AZ99" t="s">
        <v>74</v>
      </c>
      <c r="BA99" t="s">
        <v>74</v>
      </c>
      <c r="BB99" t="s">
        <v>74</v>
      </c>
      <c r="BC99" t="s">
        <v>74</v>
      </c>
      <c r="BD99" t="s">
        <v>2043</v>
      </c>
      <c r="BE99" t="s">
        <v>2044</v>
      </c>
      <c r="BF99" t="str">
        <f>HYPERLINK("http://dx.doi.org/10.3791/4189","http://dx.doi.org/10.3791/4189")</f>
        <v>http://dx.doi.org/10.3791/4189</v>
      </c>
      <c r="BG99" t="s">
        <v>74</v>
      </c>
      <c r="BH99" t="s">
        <v>74</v>
      </c>
      <c r="BI99">
        <v>6</v>
      </c>
      <c r="BJ99" t="s">
        <v>328</v>
      </c>
      <c r="BK99" t="s">
        <v>102</v>
      </c>
      <c r="BL99" t="s">
        <v>329</v>
      </c>
      <c r="BM99" t="s">
        <v>2045</v>
      </c>
      <c r="BN99">
        <v>23407403</v>
      </c>
      <c r="BO99" t="s">
        <v>2046</v>
      </c>
      <c r="BP99" t="s">
        <v>74</v>
      </c>
      <c r="BQ99" t="s">
        <v>74</v>
      </c>
      <c r="BR99" t="s">
        <v>105</v>
      </c>
      <c r="BS99" t="s">
        <v>2047</v>
      </c>
      <c r="BT99" t="str">
        <f>HYPERLINK("https%3A%2F%2Fwww.webofscience.com%2Fwos%2Fwoscc%2Ffull-record%2FWOS:000209226500003","View Full Record in Web of Science")</f>
        <v>View Full Record in Web of Science</v>
      </c>
    </row>
    <row r="100" spans="1:72" x14ac:dyDescent="0.15">
      <c r="A100" t="s">
        <v>72</v>
      </c>
      <c r="B100" t="s">
        <v>2048</v>
      </c>
      <c r="C100" t="s">
        <v>74</v>
      </c>
      <c r="D100" t="s">
        <v>74</v>
      </c>
      <c r="E100" t="s">
        <v>74</v>
      </c>
      <c r="F100" t="s">
        <v>2049</v>
      </c>
      <c r="G100" t="s">
        <v>74</v>
      </c>
      <c r="H100" t="s">
        <v>74</v>
      </c>
      <c r="I100" t="s">
        <v>2050</v>
      </c>
      <c r="J100" t="s">
        <v>2051</v>
      </c>
      <c r="K100" t="s">
        <v>74</v>
      </c>
      <c r="L100" t="s">
        <v>74</v>
      </c>
      <c r="M100" t="s">
        <v>2052</v>
      </c>
      <c r="N100" t="s">
        <v>79</v>
      </c>
      <c r="O100" t="s">
        <v>74</v>
      </c>
      <c r="P100" t="s">
        <v>74</v>
      </c>
      <c r="Q100" t="s">
        <v>74</v>
      </c>
      <c r="R100" t="s">
        <v>74</v>
      </c>
      <c r="S100" t="s">
        <v>74</v>
      </c>
      <c r="T100" t="s">
        <v>2053</v>
      </c>
      <c r="U100" t="s">
        <v>74</v>
      </c>
      <c r="V100" t="s">
        <v>2054</v>
      </c>
      <c r="W100" t="s">
        <v>2055</v>
      </c>
      <c r="X100" t="s">
        <v>2056</v>
      </c>
      <c r="Y100" t="s">
        <v>2057</v>
      </c>
      <c r="Z100" t="s">
        <v>2058</v>
      </c>
      <c r="AA100" t="s">
        <v>2059</v>
      </c>
      <c r="AB100" t="s">
        <v>2060</v>
      </c>
      <c r="AC100" t="s">
        <v>74</v>
      </c>
      <c r="AD100" t="s">
        <v>74</v>
      </c>
      <c r="AE100" t="s">
        <v>74</v>
      </c>
      <c r="AF100" t="s">
        <v>74</v>
      </c>
      <c r="AG100">
        <v>28</v>
      </c>
      <c r="AH100">
        <v>13</v>
      </c>
      <c r="AI100">
        <v>13</v>
      </c>
      <c r="AJ100">
        <v>0</v>
      </c>
      <c r="AK100">
        <v>1</v>
      </c>
      <c r="AL100" t="s">
        <v>2061</v>
      </c>
      <c r="AM100" t="s">
        <v>2062</v>
      </c>
      <c r="AN100" t="s">
        <v>2063</v>
      </c>
      <c r="AO100" t="s">
        <v>2064</v>
      </c>
      <c r="AP100" t="s">
        <v>2065</v>
      </c>
      <c r="AQ100" t="s">
        <v>74</v>
      </c>
      <c r="AR100" t="s">
        <v>2066</v>
      </c>
      <c r="AS100" t="s">
        <v>2067</v>
      </c>
      <c r="AT100" t="s">
        <v>98</v>
      </c>
      <c r="AU100">
        <v>2013</v>
      </c>
      <c r="AV100">
        <v>29</v>
      </c>
      <c r="AW100">
        <v>1</v>
      </c>
      <c r="AX100" t="s">
        <v>74</v>
      </c>
      <c r="AY100" t="s">
        <v>74</v>
      </c>
      <c r="AZ100" t="s">
        <v>74</v>
      </c>
      <c r="BA100" t="s">
        <v>74</v>
      </c>
      <c r="BB100">
        <v>45</v>
      </c>
      <c r="BC100">
        <v>55</v>
      </c>
      <c r="BD100" t="s">
        <v>74</v>
      </c>
      <c r="BE100" t="s">
        <v>2068</v>
      </c>
      <c r="BF100" t="str">
        <f>HYPERLINK("http://dx.doi.org/10.7780/kjrs.2013.29.1.5","http://dx.doi.org/10.7780/kjrs.2013.29.1.5")</f>
        <v>http://dx.doi.org/10.7780/kjrs.2013.29.1.5</v>
      </c>
      <c r="BG100" t="s">
        <v>74</v>
      </c>
      <c r="BH100" t="s">
        <v>74</v>
      </c>
      <c r="BI100">
        <v>11</v>
      </c>
      <c r="BJ100" t="s">
        <v>2069</v>
      </c>
      <c r="BK100" t="s">
        <v>1717</v>
      </c>
      <c r="BL100" t="s">
        <v>2069</v>
      </c>
      <c r="BM100" t="s">
        <v>2070</v>
      </c>
      <c r="BN100" t="s">
        <v>74</v>
      </c>
      <c r="BO100" t="s">
        <v>128</v>
      </c>
      <c r="BP100" t="s">
        <v>74</v>
      </c>
      <c r="BQ100" t="s">
        <v>74</v>
      </c>
      <c r="BR100" t="s">
        <v>105</v>
      </c>
      <c r="BS100" t="s">
        <v>2071</v>
      </c>
      <c r="BT100" t="str">
        <f>HYPERLINK("https%3A%2F%2Fwww.webofscience.com%2Fwos%2Fwoscc%2Ffull-record%2FWOS:000410214000005","View Full Record in Web of Science")</f>
        <v>View Full Record in Web of Science</v>
      </c>
    </row>
    <row r="101" spans="1:72" x14ac:dyDescent="0.15">
      <c r="A101" t="s">
        <v>72</v>
      </c>
      <c r="B101" t="s">
        <v>2072</v>
      </c>
      <c r="C101" t="s">
        <v>74</v>
      </c>
      <c r="D101" t="s">
        <v>74</v>
      </c>
      <c r="E101" t="s">
        <v>74</v>
      </c>
      <c r="F101" t="s">
        <v>2073</v>
      </c>
      <c r="G101" t="s">
        <v>74</v>
      </c>
      <c r="H101" t="s">
        <v>74</v>
      </c>
      <c r="I101" t="s">
        <v>2074</v>
      </c>
      <c r="J101" t="s">
        <v>2075</v>
      </c>
      <c r="K101" t="s">
        <v>74</v>
      </c>
      <c r="L101" t="s">
        <v>74</v>
      </c>
      <c r="M101" t="s">
        <v>78</v>
      </c>
      <c r="N101" t="s">
        <v>79</v>
      </c>
      <c r="O101" t="s">
        <v>74</v>
      </c>
      <c r="P101" t="s">
        <v>74</v>
      </c>
      <c r="Q101" t="s">
        <v>74</v>
      </c>
      <c r="R101" t="s">
        <v>74</v>
      </c>
      <c r="S101" t="s">
        <v>74</v>
      </c>
      <c r="T101" t="s">
        <v>74</v>
      </c>
      <c r="U101" t="s">
        <v>2076</v>
      </c>
      <c r="V101" t="s">
        <v>2077</v>
      </c>
      <c r="W101" t="s">
        <v>2078</v>
      </c>
      <c r="X101" t="s">
        <v>2079</v>
      </c>
      <c r="Y101" t="s">
        <v>2080</v>
      </c>
      <c r="Z101" t="s">
        <v>2081</v>
      </c>
      <c r="AA101" t="s">
        <v>2082</v>
      </c>
      <c r="AB101" t="s">
        <v>2083</v>
      </c>
      <c r="AC101" t="s">
        <v>2084</v>
      </c>
      <c r="AD101" t="s">
        <v>2085</v>
      </c>
      <c r="AE101" t="s">
        <v>2086</v>
      </c>
      <c r="AF101" t="s">
        <v>74</v>
      </c>
      <c r="AG101">
        <v>43</v>
      </c>
      <c r="AH101">
        <v>95</v>
      </c>
      <c r="AI101">
        <v>109</v>
      </c>
      <c r="AJ101">
        <v>2</v>
      </c>
      <c r="AK101">
        <v>93</v>
      </c>
      <c r="AL101" t="s">
        <v>2087</v>
      </c>
      <c r="AM101" t="s">
        <v>2088</v>
      </c>
      <c r="AN101" t="s">
        <v>2089</v>
      </c>
      <c r="AO101" t="s">
        <v>2090</v>
      </c>
      <c r="AP101" t="s">
        <v>74</v>
      </c>
      <c r="AQ101" t="s">
        <v>74</v>
      </c>
      <c r="AR101" t="s">
        <v>2091</v>
      </c>
      <c r="AS101" t="s">
        <v>2092</v>
      </c>
      <c r="AT101" t="s">
        <v>98</v>
      </c>
      <c r="AU101">
        <v>2013</v>
      </c>
      <c r="AV101">
        <v>11</v>
      </c>
      <c r="AW101" t="s">
        <v>74</v>
      </c>
      <c r="AX101" t="s">
        <v>74</v>
      </c>
      <c r="AY101" t="s">
        <v>74</v>
      </c>
      <c r="AZ101" t="s">
        <v>74</v>
      </c>
      <c r="BA101" t="s">
        <v>74</v>
      </c>
      <c r="BB101">
        <v>62</v>
      </c>
      <c r="BC101">
        <v>78</v>
      </c>
      <c r="BD101" t="s">
        <v>74</v>
      </c>
      <c r="BE101" t="s">
        <v>2093</v>
      </c>
      <c r="BF101" t="str">
        <f>HYPERLINK("http://dx.doi.org/10.4319/lom.2013.11.62","http://dx.doi.org/10.4319/lom.2013.11.62")</f>
        <v>http://dx.doi.org/10.4319/lom.2013.11.62</v>
      </c>
      <c r="BG101" t="s">
        <v>74</v>
      </c>
      <c r="BH101" t="s">
        <v>74</v>
      </c>
      <c r="BI101">
        <v>17</v>
      </c>
      <c r="BJ101" t="s">
        <v>2094</v>
      </c>
      <c r="BK101" t="s">
        <v>102</v>
      </c>
      <c r="BL101" t="s">
        <v>2095</v>
      </c>
      <c r="BM101" t="s">
        <v>2096</v>
      </c>
      <c r="BN101" t="s">
        <v>74</v>
      </c>
      <c r="BO101" t="s">
        <v>2097</v>
      </c>
      <c r="BP101" t="s">
        <v>74</v>
      </c>
      <c r="BQ101" t="s">
        <v>74</v>
      </c>
      <c r="BR101" t="s">
        <v>105</v>
      </c>
      <c r="BS101" t="s">
        <v>2098</v>
      </c>
      <c r="BT101" t="str">
        <f>HYPERLINK("https%3A%2F%2Fwww.webofscience.com%2Fwos%2Fwoscc%2Ffull-record%2FWOS:000317921200001","View Full Record in Web of Science")</f>
        <v>View Full Record in Web of Science</v>
      </c>
    </row>
    <row r="102" spans="1:72" x14ac:dyDescent="0.15">
      <c r="A102" t="s">
        <v>72</v>
      </c>
      <c r="B102" t="s">
        <v>2099</v>
      </c>
      <c r="C102" t="s">
        <v>74</v>
      </c>
      <c r="D102" t="s">
        <v>74</v>
      </c>
      <c r="E102" t="s">
        <v>74</v>
      </c>
      <c r="F102" t="s">
        <v>2100</v>
      </c>
      <c r="G102" t="s">
        <v>74</v>
      </c>
      <c r="H102" t="s">
        <v>74</v>
      </c>
      <c r="I102" t="s">
        <v>2101</v>
      </c>
      <c r="J102" t="s">
        <v>201</v>
      </c>
      <c r="K102" t="s">
        <v>74</v>
      </c>
      <c r="L102" t="s">
        <v>74</v>
      </c>
      <c r="M102" t="s">
        <v>78</v>
      </c>
      <c r="N102" t="s">
        <v>79</v>
      </c>
      <c r="O102" t="s">
        <v>74</v>
      </c>
      <c r="P102" t="s">
        <v>74</v>
      </c>
      <c r="Q102" t="s">
        <v>74</v>
      </c>
      <c r="R102" t="s">
        <v>74</v>
      </c>
      <c r="S102" t="s">
        <v>74</v>
      </c>
      <c r="T102" t="s">
        <v>2102</v>
      </c>
      <c r="U102" t="s">
        <v>2103</v>
      </c>
      <c r="V102" t="s">
        <v>2104</v>
      </c>
      <c r="W102" t="s">
        <v>2105</v>
      </c>
      <c r="X102" t="s">
        <v>2106</v>
      </c>
      <c r="Y102" t="s">
        <v>2107</v>
      </c>
      <c r="Z102" t="s">
        <v>2108</v>
      </c>
      <c r="AA102" t="s">
        <v>2109</v>
      </c>
      <c r="AB102" t="s">
        <v>2110</v>
      </c>
      <c r="AC102" t="s">
        <v>2111</v>
      </c>
      <c r="AD102" t="s">
        <v>2112</v>
      </c>
      <c r="AE102" t="s">
        <v>2113</v>
      </c>
      <c r="AF102" t="s">
        <v>74</v>
      </c>
      <c r="AG102">
        <v>56</v>
      </c>
      <c r="AH102">
        <v>16</v>
      </c>
      <c r="AI102">
        <v>16</v>
      </c>
      <c r="AJ102">
        <v>0</v>
      </c>
      <c r="AK102">
        <v>18</v>
      </c>
      <c r="AL102" t="s">
        <v>257</v>
      </c>
      <c r="AM102" t="s">
        <v>215</v>
      </c>
      <c r="AN102" t="s">
        <v>216</v>
      </c>
      <c r="AO102" t="s">
        <v>217</v>
      </c>
      <c r="AP102" t="s">
        <v>218</v>
      </c>
      <c r="AQ102" t="s">
        <v>74</v>
      </c>
      <c r="AR102" t="s">
        <v>219</v>
      </c>
      <c r="AS102" t="s">
        <v>220</v>
      </c>
      <c r="AT102" t="s">
        <v>98</v>
      </c>
      <c r="AU102">
        <v>2013</v>
      </c>
      <c r="AV102">
        <v>34</v>
      </c>
      <c r="AW102" t="s">
        <v>74</v>
      </c>
      <c r="AX102" t="s">
        <v>74</v>
      </c>
      <c r="AY102">
        <v>1</v>
      </c>
      <c r="AZ102" t="s">
        <v>221</v>
      </c>
      <c r="BA102" t="s">
        <v>74</v>
      </c>
      <c r="BB102">
        <v>71</v>
      </c>
      <c r="BC102">
        <v>82</v>
      </c>
      <c r="BD102" t="s">
        <v>74</v>
      </c>
      <c r="BE102" t="s">
        <v>2114</v>
      </c>
      <c r="BF102" t="str">
        <f>HYPERLINK("http://dx.doi.org/10.1111/maec.12027","http://dx.doi.org/10.1111/maec.12027")</f>
        <v>http://dx.doi.org/10.1111/maec.12027</v>
      </c>
      <c r="BG102" t="s">
        <v>74</v>
      </c>
      <c r="BH102" t="s">
        <v>74</v>
      </c>
      <c r="BI102">
        <v>12</v>
      </c>
      <c r="BJ102" t="s">
        <v>223</v>
      </c>
      <c r="BK102" t="s">
        <v>102</v>
      </c>
      <c r="BL102" t="s">
        <v>223</v>
      </c>
      <c r="BM102" t="s">
        <v>224</v>
      </c>
      <c r="BN102" t="s">
        <v>74</v>
      </c>
      <c r="BO102" t="s">
        <v>429</v>
      </c>
      <c r="BP102" t="s">
        <v>74</v>
      </c>
      <c r="BQ102" t="s">
        <v>74</v>
      </c>
      <c r="BR102" t="s">
        <v>105</v>
      </c>
      <c r="BS102" t="s">
        <v>2115</v>
      </c>
      <c r="BT102" t="str">
        <f>HYPERLINK("https%3A%2F%2Fwww.webofscience.com%2Fwos%2Fwoscc%2Ffull-record%2FWOS:000315395700008","View Full Record in Web of Science")</f>
        <v>View Full Record in Web of Science</v>
      </c>
    </row>
    <row r="103" spans="1:72" x14ac:dyDescent="0.15">
      <c r="A103" t="s">
        <v>72</v>
      </c>
      <c r="B103" t="s">
        <v>2116</v>
      </c>
      <c r="C103" t="s">
        <v>74</v>
      </c>
      <c r="D103" t="s">
        <v>74</v>
      </c>
      <c r="E103" t="s">
        <v>74</v>
      </c>
      <c r="F103" t="s">
        <v>2117</v>
      </c>
      <c r="G103" t="s">
        <v>74</v>
      </c>
      <c r="H103" t="s">
        <v>74</v>
      </c>
      <c r="I103" t="s">
        <v>2118</v>
      </c>
      <c r="J103" t="s">
        <v>2119</v>
      </c>
      <c r="K103" t="s">
        <v>74</v>
      </c>
      <c r="L103" t="s">
        <v>74</v>
      </c>
      <c r="M103" t="s">
        <v>78</v>
      </c>
      <c r="N103" t="s">
        <v>79</v>
      </c>
      <c r="O103" t="s">
        <v>74</v>
      </c>
      <c r="P103" t="s">
        <v>74</v>
      </c>
      <c r="Q103" t="s">
        <v>74</v>
      </c>
      <c r="R103" t="s">
        <v>74</v>
      </c>
      <c r="S103" t="s">
        <v>74</v>
      </c>
      <c r="T103" t="s">
        <v>74</v>
      </c>
      <c r="U103" t="s">
        <v>2120</v>
      </c>
      <c r="V103" t="s">
        <v>2121</v>
      </c>
      <c r="W103" t="s">
        <v>2122</v>
      </c>
      <c r="X103" t="s">
        <v>2123</v>
      </c>
      <c r="Y103" t="s">
        <v>2124</v>
      </c>
      <c r="Z103" t="s">
        <v>2125</v>
      </c>
      <c r="AA103" t="s">
        <v>2126</v>
      </c>
      <c r="AB103" t="s">
        <v>2127</v>
      </c>
      <c r="AC103" t="s">
        <v>2128</v>
      </c>
      <c r="AD103" t="s">
        <v>2129</v>
      </c>
      <c r="AE103" t="s">
        <v>2130</v>
      </c>
      <c r="AF103" t="s">
        <v>74</v>
      </c>
      <c r="AG103">
        <v>50</v>
      </c>
      <c r="AH103">
        <v>21</v>
      </c>
      <c r="AI103">
        <v>23</v>
      </c>
      <c r="AJ103">
        <v>1</v>
      </c>
      <c r="AK103">
        <v>16</v>
      </c>
      <c r="AL103" t="s">
        <v>1872</v>
      </c>
      <c r="AM103" t="s">
        <v>474</v>
      </c>
      <c r="AN103" t="s">
        <v>2131</v>
      </c>
      <c r="AO103" t="s">
        <v>2132</v>
      </c>
      <c r="AP103" t="s">
        <v>2133</v>
      </c>
      <c r="AQ103" t="s">
        <v>74</v>
      </c>
      <c r="AR103" t="s">
        <v>2134</v>
      </c>
      <c r="AS103" t="s">
        <v>2135</v>
      </c>
      <c r="AT103" t="s">
        <v>98</v>
      </c>
      <c r="AU103">
        <v>2013</v>
      </c>
      <c r="AV103">
        <v>159</v>
      </c>
      <c r="AW103" t="s">
        <v>74</v>
      </c>
      <c r="AX103">
        <v>2</v>
      </c>
      <c r="AY103" t="s">
        <v>74</v>
      </c>
      <c r="AZ103" t="s">
        <v>74</v>
      </c>
      <c r="BA103" t="s">
        <v>74</v>
      </c>
      <c r="BB103">
        <v>259</v>
      </c>
      <c r="BC103">
        <v>268</v>
      </c>
      <c r="BD103" t="s">
        <v>74</v>
      </c>
      <c r="BE103" t="s">
        <v>2136</v>
      </c>
      <c r="BF103" t="str">
        <f>HYPERLINK("http://dx.doi.org/10.1099/mic.0.061085-0","http://dx.doi.org/10.1099/mic.0.061085-0")</f>
        <v>http://dx.doi.org/10.1099/mic.0.061085-0</v>
      </c>
      <c r="BG103" t="s">
        <v>74</v>
      </c>
      <c r="BH103" t="s">
        <v>74</v>
      </c>
      <c r="BI103">
        <v>10</v>
      </c>
      <c r="BJ103" t="s">
        <v>1139</v>
      </c>
      <c r="BK103" t="s">
        <v>102</v>
      </c>
      <c r="BL103" t="s">
        <v>1139</v>
      </c>
      <c r="BM103" t="s">
        <v>2137</v>
      </c>
      <c r="BN103">
        <v>23223440</v>
      </c>
      <c r="BO103" t="s">
        <v>429</v>
      </c>
      <c r="BP103" t="s">
        <v>74</v>
      </c>
      <c r="BQ103" t="s">
        <v>74</v>
      </c>
      <c r="BR103" t="s">
        <v>105</v>
      </c>
      <c r="BS103" t="s">
        <v>2138</v>
      </c>
      <c r="BT103" t="str">
        <f>HYPERLINK("https%3A%2F%2Fwww.webofscience.com%2Fwos%2Fwoscc%2Ffull-record%2FWOS:000315933900006","View Full Record in Web of Science")</f>
        <v>View Full Record in Web of Science</v>
      </c>
    </row>
    <row r="104" spans="1:72" x14ac:dyDescent="0.15">
      <c r="A104" t="s">
        <v>72</v>
      </c>
      <c r="B104" t="s">
        <v>2139</v>
      </c>
      <c r="C104" t="s">
        <v>74</v>
      </c>
      <c r="D104" t="s">
        <v>74</v>
      </c>
      <c r="E104" t="s">
        <v>74</v>
      </c>
      <c r="F104" t="s">
        <v>2140</v>
      </c>
      <c r="G104" t="s">
        <v>74</v>
      </c>
      <c r="H104" t="s">
        <v>74</v>
      </c>
      <c r="I104" t="s">
        <v>2141</v>
      </c>
      <c r="J104" t="s">
        <v>2142</v>
      </c>
      <c r="K104" t="s">
        <v>74</v>
      </c>
      <c r="L104" t="s">
        <v>74</v>
      </c>
      <c r="M104" t="s">
        <v>78</v>
      </c>
      <c r="N104" t="s">
        <v>79</v>
      </c>
      <c r="O104" t="s">
        <v>74</v>
      </c>
      <c r="P104" t="s">
        <v>74</v>
      </c>
      <c r="Q104" t="s">
        <v>74</v>
      </c>
      <c r="R104" t="s">
        <v>74</v>
      </c>
      <c r="S104" t="s">
        <v>74</v>
      </c>
      <c r="T104" t="s">
        <v>2143</v>
      </c>
      <c r="U104" t="s">
        <v>2144</v>
      </c>
      <c r="V104" t="s">
        <v>2145</v>
      </c>
      <c r="W104" t="s">
        <v>2146</v>
      </c>
      <c r="X104" t="s">
        <v>2147</v>
      </c>
      <c r="Y104" t="s">
        <v>2148</v>
      </c>
      <c r="Z104" t="s">
        <v>2149</v>
      </c>
      <c r="AA104" t="s">
        <v>2150</v>
      </c>
      <c r="AB104" t="s">
        <v>2151</v>
      </c>
      <c r="AC104" t="s">
        <v>2152</v>
      </c>
      <c r="AD104" t="s">
        <v>2153</v>
      </c>
      <c r="AE104" t="s">
        <v>2154</v>
      </c>
      <c r="AF104" t="s">
        <v>74</v>
      </c>
      <c r="AG104">
        <v>66</v>
      </c>
      <c r="AH104">
        <v>88</v>
      </c>
      <c r="AI104">
        <v>97</v>
      </c>
      <c r="AJ104">
        <v>4</v>
      </c>
      <c r="AK104">
        <v>68</v>
      </c>
      <c r="AL104" t="s">
        <v>257</v>
      </c>
      <c r="AM104" t="s">
        <v>215</v>
      </c>
      <c r="AN104" t="s">
        <v>216</v>
      </c>
      <c r="AO104" t="s">
        <v>2155</v>
      </c>
      <c r="AP104" t="s">
        <v>74</v>
      </c>
      <c r="AQ104" t="s">
        <v>74</v>
      </c>
      <c r="AR104" t="s">
        <v>2142</v>
      </c>
      <c r="AS104" t="s">
        <v>2156</v>
      </c>
      <c r="AT104" t="s">
        <v>98</v>
      </c>
      <c r="AU104">
        <v>2013</v>
      </c>
      <c r="AV104">
        <v>2</v>
      </c>
      <c r="AW104">
        <v>1</v>
      </c>
      <c r="AX104" t="s">
        <v>74</v>
      </c>
      <c r="AY104" t="s">
        <v>74</v>
      </c>
      <c r="AZ104" t="s">
        <v>74</v>
      </c>
      <c r="BA104" t="s">
        <v>74</v>
      </c>
      <c r="BB104">
        <v>195</v>
      </c>
      <c r="BC104">
        <v>204</v>
      </c>
      <c r="BD104" t="s">
        <v>74</v>
      </c>
      <c r="BE104" t="s">
        <v>2157</v>
      </c>
      <c r="BF104" t="str">
        <f>HYPERLINK("http://dx.doi.org/10.1002/mbo3.66","http://dx.doi.org/10.1002/mbo3.66")</f>
        <v>http://dx.doi.org/10.1002/mbo3.66</v>
      </c>
      <c r="BG104" t="s">
        <v>74</v>
      </c>
      <c r="BH104" t="s">
        <v>74</v>
      </c>
      <c r="BI104">
        <v>10</v>
      </c>
      <c r="BJ104" t="s">
        <v>1139</v>
      </c>
      <c r="BK104" t="s">
        <v>102</v>
      </c>
      <c r="BL104" t="s">
        <v>1139</v>
      </c>
      <c r="BM104" t="s">
        <v>2158</v>
      </c>
      <c r="BN104">
        <v>23349094</v>
      </c>
      <c r="BO104" t="s">
        <v>429</v>
      </c>
      <c r="BP104" t="s">
        <v>74</v>
      </c>
      <c r="BQ104" t="s">
        <v>74</v>
      </c>
      <c r="BR104" t="s">
        <v>105</v>
      </c>
      <c r="BS104" t="s">
        <v>2159</v>
      </c>
      <c r="BT104" t="str">
        <f>HYPERLINK("https%3A%2F%2Fwww.webofscience.com%2Fwos%2Fwoscc%2Ffull-record%2FWOS:000342350500015","View Full Record in Web of Science")</f>
        <v>View Full Record in Web of Science</v>
      </c>
    </row>
    <row r="105" spans="1:72" x14ac:dyDescent="0.15">
      <c r="A105" t="s">
        <v>72</v>
      </c>
      <c r="B105" t="s">
        <v>2160</v>
      </c>
      <c r="C105" t="s">
        <v>74</v>
      </c>
      <c r="D105" t="s">
        <v>74</v>
      </c>
      <c r="E105" t="s">
        <v>74</v>
      </c>
      <c r="F105" t="s">
        <v>2161</v>
      </c>
      <c r="G105" t="s">
        <v>74</v>
      </c>
      <c r="H105" t="s">
        <v>74</v>
      </c>
      <c r="I105" t="s">
        <v>2162</v>
      </c>
      <c r="J105" t="s">
        <v>2163</v>
      </c>
      <c r="K105" t="s">
        <v>74</v>
      </c>
      <c r="L105" t="s">
        <v>74</v>
      </c>
      <c r="M105" t="s">
        <v>78</v>
      </c>
      <c r="N105" t="s">
        <v>79</v>
      </c>
      <c r="O105" t="s">
        <v>74</v>
      </c>
      <c r="P105" t="s">
        <v>74</v>
      </c>
      <c r="Q105" t="s">
        <v>74</v>
      </c>
      <c r="R105" t="s">
        <v>74</v>
      </c>
      <c r="S105" t="s">
        <v>74</v>
      </c>
      <c r="T105" t="s">
        <v>74</v>
      </c>
      <c r="U105" t="s">
        <v>2164</v>
      </c>
      <c r="V105" t="s">
        <v>2165</v>
      </c>
      <c r="W105" t="s">
        <v>2166</v>
      </c>
      <c r="X105" t="s">
        <v>2167</v>
      </c>
      <c r="Y105" t="s">
        <v>2168</v>
      </c>
      <c r="Z105" t="s">
        <v>2169</v>
      </c>
      <c r="AA105" t="s">
        <v>2170</v>
      </c>
      <c r="AB105" t="s">
        <v>2171</v>
      </c>
      <c r="AC105" t="s">
        <v>2172</v>
      </c>
      <c r="AD105" t="s">
        <v>2173</v>
      </c>
      <c r="AE105" t="s">
        <v>2174</v>
      </c>
      <c r="AF105" t="s">
        <v>74</v>
      </c>
      <c r="AG105">
        <v>34</v>
      </c>
      <c r="AH105">
        <v>28</v>
      </c>
      <c r="AI105">
        <v>33</v>
      </c>
      <c r="AJ105">
        <v>3</v>
      </c>
      <c r="AK105">
        <v>40</v>
      </c>
      <c r="AL105" t="s">
        <v>2175</v>
      </c>
      <c r="AM105" t="s">
        <v>2176</v>
      </c>
      <c r="AN105" t="s">
        <v>2177</v>
      </c>
      <c r="AO105" t="s">
        <v>74</v>
      </c>
      <c r="AP105" t="s">
        <v>2178</v>
      </c>
      <c r="AQ105" t="s">
        <v>74</v>
      </c>
      <c r="AR105" t="s">
        <v>2179</v>
      </c>
      <c r="AS105" t="s">
        <v>2180</v>
      </c>
      <c r="AT105" t="s">
        <v>98</v>
      </c>
      <c r="AU105">
        <v>2013</v>
      </c>
      <c r="AV105">
        <v>4</v>
      </c>
      <c r="AW105" t="s">
        <v>74</v>
      </c>
      <c r="AX105" t="s">
        <v>74</v>
      </c>
      <c r="AY105" t="s">
        <v>74</v>
      </c>
      <c r="AZ105" t="s">
        <v>74</v>
      </c>
      <c r="BA105" t="s">
        <v>74</v>
      </c>
      <c r="BB105" t="s">
        <v>74</v>
      </c>
      <c r="BC105" t="s">
        <v>74</v>
      </c>
      <c r="BD105">
        <v>1499</v>
      </c>
      <c r="BE105" t="s">
        <v>2181</v>
      </c>
      <c r="BF105" t="str">
        <f>HYPERLINK("http://dx.doi.org/10.1038/ncomms2521","http://dx.doi.org/10.1038/ncomms2521")</f>
        <v>http://dx.doi.org/10.1038/ncomms2521</v>
      </c>
      <c r="BG105" t="s">
        <v>74</v>
      </c>
      <c r="BH105" t="s">
        <v>74</v>
      </c>
      <c r="BI105">
        <v>6</v>
      </c>
      <c r="BJ105" t="s">
        <v>328</v>
      </c>
      <c r="BK105" t="s">
        <v>102</v>
      </c>
      <c r="BL105" t="s">
        <v>329</v>
      </c>
      <c r="BM105" t="s">
        <v>2182</v>
      </c>
      <c r="BN105">
        <v>23422667</v>
      </c>
      <c r="BO105" t="s">
        <v>2183</v>
      </c>
      <c r="BP105" t="s">
        <v>74</v>
      </c>
      <c r="BQ105" t="s">
        <v>74</v>
      </c>
      <c r="BR105" t="s">
        <v>105</v>
      </c>
      <c r="BS105" t="s">
        <v>2184</v>
      </c>
      <c r="BT105" t="str">
        <f>HYPERLINK("https%3A%2F%2Fwww.webofscience.com%2Fwos%2Fwoscc%2Ffull-record%2FWOS:000316616400069","View Full Record in Web of Science")</f>
        <v>View Full Record in Web of Science</v>
      </c>
    </row>
    <row r="106" spans="1:72" x14ac:dyDescent="0.15">
      <c r="A106" t="s">
        <v>72</v>
      </c>
      <c r="B106" t="s">
        <v>2185</v>
      </c>
      <c r="C106" t="s">
        <v>74</v>
      </c>
      <c r="D106" t="s">
        <v>74</v>
      </c>
      <c r="E106" t="s">
        <v>74</v>
      </c>
      <c r="F106" t="s">
        <v>2186</v>
      </c>
      <c r="G106" t="s">
        <v>74</v>
      </c>
      <c r="H106" t="s">
        <v>74</v>
      </c>
      <c r="I106" t="s">
        <v>2187</v>
      </c>
      <c r="J106" t="s">
        <v>2188</v>
      </c>
      <c r="K106" t="s">
        <v>74</v>
      </c>
      <c r="L106" t="s">
        <v>74</v>
      </c>
      <c r="M106" t="s">
        <v>78</v>
      </c>
      <c r="N106" t="s">
        <v>79</v>
      </c>
      <c r="O106" t="s">
        <v>74</v>
      </c>
      <c r="P106" t="s">
        <v>74</v>
      </c>
      <c r="Q106" t="s">
        <v>74</v>
      </c>
      <c r="R106" t="s">
        <v>74</v>
      </c>
      <c r="S106" t="s">
        <v>74</v>
      </c>
      <c r="T106" t="s">
        <v>74</v>
      </c>
      <c r="U106" t="s">
        <v>2189</v>
      </c>
      <c r="V106" t="s">
        <v>2190</v>
      </c>
      <c r="W106" t="s">
        <v>2191</v>
      </c>
      <c r="X106" t="s">
        <v>2192</v>
      </c>
      <c r="Y106" t="s">
        <v>2193</v>
      </c>
      <c r="Z106" t="s">
        <v>2194</v>
      </c>
      <c r="AA106" t="s">
        <v>2195</v>
      </c>
      <c r="AB106" t="s">
        <v>2196</v>
      </c>
      <c r="AC106" t="s">
        <v>2197</v>
      </c>
      <c r="AD106" t="s">
        <v>2198</v>
      </c>
      <c r="AE106" t="s">
        <v>2199</v>
      </c>
      <c r="AF106" t="s">
        <v>74</v>
      </c>
      <c r="AG106">
        <v>50</v>
      </c>
      <c r="AH106">
        <v>289</v>
      </c>
      <c r="AI106">
        <v>318</v>
      </c>
      <c r="AJ106">
        <v>10</v>
      </c>
      <c r="AK106">
        <v>185</v>
      </c>
      <c r="AL106" t="s">
        <v>2175</v>
      </c>
      <c r="AM106" t="s">
        <v>2176</v>
      </c>
      <c r="AN106" t="s">
        <v>2177</v>
      </c>
      <c r="AO106" t="s">
        <v>2200</v>
      </c>
      <c r="AP106" t="s">
        <v>2201</v>
      </c>
      <c r="AQ106" t="s">
        <v>74</v>
      </c>
      <c r="AR106" t="s">
        <v>2202</v>
      </c>
      <c r="AS106" t="s">
        <v>2203</v>
      </c>
      <c r="AT106" t="s">
        <v>98</v>
      </c>
      <c r="AU106">
        <v>2013</v>
      </c>
      <c r="AV106">
        <v>6</v>
      </c>
      <c r="AW106">
        <v>2</v>
      </c>
      <c r="AX106" t="s">
        <v>74</v>
      </c>
      <c r="AY106" t="s">
        <v>74</v>
      </c>
      <c r="AZ106" t="s">
        <v>74</v>
      </c>
      <c r="BA106" t="s">
        <v>74</v>
      </c>
      <c r="BB106">
        <v>139</v>
      </c>
      <c r="BC106">
        <v>145</v>
      </c>
      <c r="BD106" t="s">
        <v>74</v>
      </c>
      <c r="BE106" t="s">
        <v>2204</v>
      </c>
      <c r="BF106" t="str">
        <f>HYPERLINK("http://dx.doi.org/10.1038/NGEO1671","http://dx.doi.org/10.1038/NGEO1671")</f>
        <v>http://dx.doi.org/10.1038/NGEO1671</v>
      </c>
      <c r="BG106" t="s">
        <v>74</v>
      </c>
      <c r="BH106" t="s">
        <v>74</v>
      </c>
      <c r="BI106">
        <v>7</v>
      </c>
      <c r="BJ106" t="s">
        <v>1604</v>
      </c>
      <c r="BK106" t="s">
        <v>102</v>
      </c>
      <c r="BL106" t="s">
        <v>1605</v>
      </c>
      <c r="BM106" t="s">
        <v>2205</v>
      </c>
      <c r="BN106" t="s">
        <v>74</v>
      </c>
      <c r="BO106" t="s">
        <v>155</v>
      </c>
      <c r="BP106" t="s">
        <v>1779</v>
      </c>
      <c r="BQ106" t="s">
        <v>1780</v>
      </c>
      <c r="BR106" t="s">
        <v>105</v>
      </c>
      <c r="BS106" t="s">
        <v>2206</v>
      </c>
      <c r="BT106" t="str">
        <f>HYPERLINK("https%3A%2F%2Fwww.webofscience.com%2Fwos%2Fwoscc%2Ffull-record%2FWOS:000316944400021","View Full Record in Web of Science")</f>
        <v>View Full Record in Web of Science</v>
      </c>
    </row>
    <row r="107" spans="1:72" x14ac:dyDescent="0.15">
      <c r="A107" t="s">
        <v>72</v>
      </c>
      <c r="B107" t="s">
        <v>2207</v>
      </c>
      <c r="C107" t="s">
        <v>74</v>
      </c>
      <c r="D107" t="s">
        <v>74</v>
      </c>
      <c r="E107" t="s">
        <v>74</v>
      </c>
      <c r="F107" t="s">
        <v>2208</v>
      </c>
      <c r="G107" t="s">
        <v>74</v>
      </c>
      <c r="H107" t="s">
        <v>74</v>
      </c>
      <c r="I107" t="s">
        <v>2209</v>
      </c>
      <c r="J107" t="s">
        <v>964</v>
      </c>
      <c r="K107" t="s">
        <v>74</v>
      </c>
      <c r="L107" t="s">
        <v>74</v>
      </c>
      <c r="M107" t="s">
        <v>78</v>
      </c>
      <c r="N107" t="s">
        <v>79</v>
      </c>
      <c r="O107" t="s">
        <v>74</v>
      </c>
      <c r="P107" t="s">
        <v>74</v>
      </c>
      <c r="Q107" t="s">
        <v>74</v>
      </c>
      <c r="R107" t="s">
        <v>74</v>
      </c>
      <c r="S107" t="s">
        <v>74</v>
      </c>
      <c r="T107" t="s">
        <v>2210</v>
      </c>
      <c r="U107" t="s">
        <v>2211</v>
      </c>
      <c r="V107" t="s">
        <v>2212</v>
      </c>
      <c r="W107" t="s">
        <v>2213</v>
      </c>
      <c r="X107" t="s">
        <v>2214</v>
      </c>
      <c r="Y107" t="s">
        <v>2215</v>
      </c>
      <c r="Z107" t="s">
        <v>2216</v>
      </c>
      <c r="AA107" t="s">
        <v>2217</v>
      </c>
      <c r="AB107" t="s">
        <v>2218</v>
      </c>
      <c r="AC107" t="s">
        <v>2219</v>
      </c>
      <c r="AD107" t="s">
        <v>2220</v>
      </c>
      <c r="AE107" t="s">
        <v>2221</v>
      </c>
      <c r="AF107" t="s">
        <v>74</v>
      </c>
      <c r="AG107">
        <v>75</v>
      </c>
      <c r="AH107">
        <v>16</v>
      </c>
      <c r="AI107">
        <v>17</v>
      </c>
      <c r="AJ107">
        <v>4</v>
      </c>
      <c r="AK107">
        <v>82</v>
      </c>
      <c r="AL107" t="s">
        <v>500</v>
      </c>
      <c r="AM107" t="s">
        <v>296</v>
      </c>
      <c r="AN107" t="s">
        <v>501</v>
      </c>
      <c r="AO107" t="s">
        <v>976</v>
      </c>
      <c r="AP107" t="s">
        <v>977</v>
      </c>
      <c r="AQ107" t="s">
        <v>74</v>
      </c>
      <c r="AR107" t="s">
        <v>978</v>
      </c>
      <c r="AS107" t="s">
        <v>979</v>
      </c>
      <c r="AT107" t="s">
        <v>98</v>
      </c>
      <c r="AU107">
        <v>2013</v>
      </c>
      <c r="AV107">
        <v>36</v>
      </c>
      <c r="AW107">
        <v>2</v>
      </c>
      <c r="AX107" t="s">
        <v>74</v>
      </c>
      <c r="AY107" t="s">
        <v>74</v>
      </c>
      <c r="AZ107" t="s">
        <v>74</v>
      </c>
      <c r="BA107" t="s">
        <v>74</v>
      </c>
      <c r="BB107">
        <v>223</v>
      </c>
      <c r="BC107">
        <v>233</v>
      </c>
      <c r="BD107" t="s">
        <v>74</v>
      </c>
      <c r="BE107" t="s">
        <v>2222</v>
      </c>
      <c r="BF107" t="str">
        <f>HYPERLINK("http://dx.doi.org/10.1007/s00300-012-1254-8","http://dx.doi.org/10.1007/s00300-012-1254-8")</f>
        <v>http://dx.doi.org/10.1007/s00300-012-1254-8</v>
      </c>
      <c r="BG107" t="s">
        <v>74</v>
      </c>
      <c r="BH107" t="s">
        <v>74</v>
      </c>
      <c r="BI107">
        <v>11</v>
      </c>
      <c r="BJ107" t="s">
        <v>981</v>
      </c>
      <c r="BK107" t="s">
        <v>102</v>
      </c>
      <c r="BL107" t="s">
        <v>958</v>
      </c>
      <c r="BM107" t="s">
        <v>982</v>
      </c>
      <c r="BN107" t="s">
        <v>74</v>
      </c>
      <c r="BO107" t="s">
        <v>74</v>
      </c>
      <c r="BP107" t="s">
        <v>74</v>
      </c>
      <c r="BQ107" t="s">
        <v>74</v>
      </c>
      <c r="BR107" t="s">
        <v>105</v>
      </c>
      <c r="BS107" t="s">
        <v>2223</v>
      </c>
      <c r="BT107" t="str">
        <f>HYPERLINK("https%3A%2F%2Fwww.webofscience.com%2Fwos%2Fwoscc%2Ffull-record%2FWOS:000313729400008","View Full Record in Web of Science")</f>
        <v>View Full Record in Web of Science</v>
      </c>
    </row>
    <row r="108" spans="1:72" x14ac:dyDescent="0.15">
      <c r="A108" t="s">
        <v>72</v>
      </c>
      <c r="B108" t="s">
        <v>2224</v>
      </c>
      <c r="C108" t="s">
        <v>74</v>
      </c>
      <c r="D108" t="s">
        <v>74</v>
      </c>
      <c r="E108" t="s">
        <v>74</v>
      </c>
      <c r="F108" t="s">
        <v>2225</v>
      </c>
      <c r="G108" t="s">
        <v>74</v>
      </c>
      <c r="H108" t="s">
        <v>74</v>
      </c>
      <c r="I108" t="s">
        <v>2226</v>
      </c>
      <c r="J108" t="s">
        <v>964</v>
      </c>
      <c r="K108" t="s">
        <v>74</v>
      </c>
      <c r="L108" t="s">
        <v>74</v>
      </c>
      <c r="M108" t="s">
        <v>78</v>
      </c>
      <c r="N108" t="s">
        <v>79</v>
      </c>
      <c r="O108" t="s">
        <v>74</v>
      </c>
      <c r="P108" t="s">
        <v>74</v>
      </c>
      <c r="Q108" t="s">
        <v>74</v>
      </c>
      <c r="R108" t="s">
        <v>74</v>
      </c>
      <c r="S108" t="s">
        <v>74</v>
      </c>
      <c r="T108" t="s">
        <v>2227</v>
      </c>
      <c r="U108" t="s">
        <v>2228</v>
      </c>
      <c r="V108" t="s">
        <v>2229</v>
      </c>
      <c r="W108" t="s">
        <v>2230</v>
      </c>
      <c r="X108" t="s">
        <v>2231</v>
      </c>
      <c r="Y108" t="s">
        <v>2232</v>
      </c>
      <c r="Z108" t="s">
        <v>2233</v>
      </c>
      <c r="AA108" t="s">
        <v>2234</v>
      </c>
      <c r="AB108" t="s">
        <v>2235</v>
      </c>
      <c r="AC108" t="s">
        <v>2236</v>
      </c>
      <c r="AD108" t="s">
        <v>2237</v>
      </c>
      <c r="AE108" t="s">
        <v>2238</v>
      </c>
      <c r="AF108" t="s">
        <v>74</v>
      </c>
      <c r="AG108">
        <v>39</v>
      </c>
      <c r="AH108">
        <v>27</v>
      </c>
      <c r="AI108">
        <v>27</v>
      </c>
      <c r="AJ108">
        <v>1</v>
      </c>
      <c r="AK108">
        <v>72</v>
      </c>
      <c r="AL108" t="s">
        <v>500</v>
      </c>
      <c r="AM108" t="s">
        <v>296</v>
      </c>
      <c r="AN108" t="s">
        <v>525</v>
      </c>
      <c r="AO108" t="s">
        <v>976</v>
      </c>
      <c r="AP108" t="s">
        <v>977</v>
      </c>
      <c r="AQ108" t="s">
        <v>74</v>
      </c>
      <c r="AR108" t="s">
        <v>978</v>
      </c>
      <c r="AS108" t="s">
        <v>979</v>
      </c>
      <c r="AT108" t="s">
        <v>98</v>
      </c>
      <c r="AU108">
        <v>2013</v>
      </c>
      <c r="AV108">
        <v>36</v>
      </c>
      <c r="AW108">
        <v>2</v>
      </c>
      <c r="AX108" t="s">
        <v>74</v>
      </c>
      <c r="AY108" t="s">
        <v>74</v>
      </c>
      <c r="AZ108" t="s">
        <v>74</v>
      </c>
      <c r="BA108" t="s">
        <v>74</v>
      </c>
      <c r="BB108">
        <v>259</v>
      </c>
      <c r="BC108">
        <v>271</v>
      </c>
      <c r="BD108" t="s">
        <v>74</v>
      </c>
      <c r="BE108" t="s">
        <v>2239</v>
      </c>
      <c r="BF108" t="str">
        <f>HYPERLINK("http://dx.doi.org/10.1007/s00300-012-1257-5","http://dx.doi.org/10.1007/s00300-012-1257-5")</f>
        <v>http://dx.doi.org/10.1007/s00300-012-1257-5</v>
      </c>
      <c r="BG108" t="s">
        <v>74</v>
      </c>
      <c r="BH108" t="s">
        <v>74</v>
      </c>
      <c r="BI108">
        <v>13</v>
      </c>
      <c r="BJ108" t="s">
        <v>981</v>
      </c>
      <c r="BK108" t="s">
        <v>102</v>
      </c>
      <c r="BL108" t="s">
        <v>958</v>
      </c>
      <c r="BM108" t="s">
        <v>982</v>
      </c>
      <c r="BN108" t="s">
        <v>74</v>
      </c>
      <c r="BO108" t="s">
        <v>74</v>
      </c>
      <c r="BP108" t="s">
        <v>74</v>
      </c>
      <c r="BQ108" t="s">
        <v>74</v>
      </c>
      <c r="BR108" t="s">
        <v>105</v>
      </c>
      <c r="BS108" t="s">
        <v>2240</v>
      </c>
      <c r="BT108" t="str">
        <f>HYPERLINK("https%3A%2F%2Fwww.webofscience.com%2Fwos%2Fwoscc%2Ffull-record%2FWOS:000313729400011","View Full Record in Web of Science")</f>
        <v>View Full Record in Web of Science</v>
      </c>
    </row>
    <row r="109" spans="1:72" x14ac:dyDescent="0.15">
      <c r="A109" t="s">
        <v>72</v>
      </c>
      <c r="B109" t="s">
        <v>2241</v>
      </c>
      <c r="C109" t="s">
        <v>74</v>
      </c>
      <c r="D109" t="s">
        <v>74</v>
      </c>
      <c r="E109" t="s">
        <v>74</v>
      </c>
      <c r="F109" t="s">
        <v>2242</v>
      </c>
      <c r="G109" t="s">
        <v>74</v>
      </c>
      <c r="H109" t="s">
        <v>74</v>
      </c>
      <c r="I109" t="s">
        <v>2243</v>
      </c>
      <c r="J109" t="s">
        <v>2244</v>
      </c>
      <c r="K109" t="s">
        <v>74</v>
      </c>
      <c r="L109" t="s">
        <v>74</v>
      </c>
      <c r="M109" t="s">
        <v>78</v>
      </c>
      <c r="N109" t="s">
        <v>79</v>
      </c>
      <c r="O109" t="s">
        <v>74</v>
      </c>
      <c r="P109" t="s">
        <v>74</v>
      </c>
      <c r="Q109" t="s">
        <v>74</v>
      </c>
      <c r="R109" t="s">
        <v>74</v>
      </c>
      <c r="S109" t="s">
        <v>74</v>
      </c>
      <c r="T109" t="s">
        <v>2245</v>
      </c>
      <c r="U109" t="s">
        <v>2246</v>
      </c>
      <c r="V109" t="s">
        <v>2247</v>
      </c>
      <c r="W109" t="s">
        <v>2248</v>
      </c>
      <c r="X109" t="s">
        <v>2249</v>
      </c>
      <c r="Y109" t="s">
        <v>2250</v>
      </c>
      <c r="Z109" t="s">
        <v>2251</v>
      </c>
      <c r="AA109" t="s">
        <v>2252</v>
      </c>
      <c r="AB109" t="s">
        <v>2253</v>
      </c>
      <c r="AC109" t="s">
        <v>2254</v>
      </c>
      <c r="AD109" t="s">
        <v>2255</v>
      </c>
      <c r="AE109" t="s">
        <v>2256</v>
      </c>
      <c r="AF109" t="s">
        <v>74</v>
      </c>
      <c r="AG109">
        <v>68</v>
      </c>
      <c r="AH109">
        <v>42</v>
      </c>
      <c r="AI109">
        <v>43</v>
      </c>
      <c r="AJ109">
        <v>0</v>
      </c>
      <c r="AK109">
        <v>45</v>
      </c>
      <c r="AL109" t="s">
        <v>146</v>
      </c>
      <c r="AM109" t="s">
        <v>147</v>
      </c>
      <c r="AN109" t="s">
        <v>148</v>
      </c>
      <c r="AO109" t="s">
        <v>2257</v>
      </c>
      <c r="AP109" t="s">
        <v>74</v>
      </c>
      <c r="AQ109" t="s">
        <v>74</v>
      </c>
      <c r="AR109" t="s">
        <v>2258</v>
      </c>
      <c r="AS109" t="s">
        <v>2259</v>
      </c>
      <c r="AT109" t="s">
        <v>791</v>
      </c>
      <c r="AU109">
        <v>2013</v>
      </c>
      <c r="AV109">
        <v>61</v>
      </c>
      <c r="AW109" t="s">
        <v>74</v>
      </c>
      <c r="AX109" t="s">
        <v>74</v>
      </c>
      <c r="AY109" t="s">
        <v>74</v>
      </c>
      <c r="AZ109" t="s">
        <v>74</v>
      </c>
      <c r="BA109" t="s">
        <v>74</v>
      </c>
      <c r="BB109">
        <v>47</v>
      </c>
      <c r="BC109">
        <v>61</v>
      </c>
      <c r="BD109" t="s">
        <v>74</v>
      </c>
      <c r="BE109" t="s">
        <v>2260</v>
      </c>
      <c r="BF109" t="str">
        <f>HYPERLINK("http://dx.doi.org/10.1016/j.quascirev.2012.11.007","http://dx.doi.org/10.1016/j.quascirev.2012.11.007")</f>
        <v>http://dx.doi.org/10.1016/j.quascirev.2012.11.007</v>
      </c>
      <c r="BG109" t="s">
        <v>74</v>
      </c>
      <c r="BH109" t="s">
        <v>74</v>
      </c>
      <c r="BI109">
        <v>15</v>
      </c>
      <c r="BJ109" t="s">
        <v>2261</v>
      </c>
      <c r="BK109" t="s">
        <v>102</v>
      </c>
      <c r="BL109" t="s">
        <v>2262</v>
      </c>
      <c r="BM109" t="s">
        <v>2263</v>
      </c>
      <c r="BN109" t="s">
        <v>74</v>
      </c>
      <c r="BO109" t="s">
        <v>74</v>
      </c>
      <c r="BP109" t="s">
        <v>74</v>
      </c>
      <c r="BQ109" t="s">
        <v>74</v>
      </c>
      <c r="BR109" t="s">
        <v>105</v>
      </c>
      <c r="BS109" t="s">
        <v>2264</v>
      </c>
      <c r="BT109" t="str">
        <f>HYPERLINK("https%3A%2F%2Fwww.webofscience.com%2Fwos%2Fwoscc%2Ffull-record%2FWOS:000315554800004","View Full Record in Web of Science")</f>
        <v>View Full Record in Web of Science</v>
      </c>
    </row>
    <row r="110" spans="1:72" x14ac:dyDescent="0.15">
      <c r="A110" t="s">
        <v>72</v>
      </c>
      <c r="B110" t="s">
        <v>2265</v>
      </c>
      <c r="C110" t="s">
        <v>74</v>
      </c>
      <c r="D110" t="s">
        <v>74</v>
      </c>
      <c r="E110" t="s">
        <v>74</v>
      </c>
      <c r="F110" t="s">
        <v>2266</v>
      </c>
      <c r="G110" t="s">
        <v>74</v>
      </c>
      <c r="H110" t="s">
        <v>74</v>
      </c>
      <c r="I110" t="s">
        <v>2267</v>
      </c>
      <c r="J110" t="s">
        <v>783</v>
      </c>
      <c r="K110" t="s">
        <v>74</v>
      </c>
      <c r="L110" t="s">
        <v>74</v>
      </c>
      <c r="M110" t="s">
        <v>78</v>
      </c>
      <c r="N110" t="s">
        <v>79</v>
      </c>
      <c r="O110" t="s">
        <v>74</v>
      </c>
      <c r="P110" t="s">
        <v>74</v>
      </c>
      <c r="Q110" t="s">
        <v>74</v>
      </c>
      <c r="R110" t="s">
        <v>74</v>
      </c>
      <c r="S110" t="s">
        <v>74</v>
      </c>
      <c r="T110" t="s">
        <v>74</v>
      </c>
      <c r="U110" t="s">
        <v>2268</v>
      </c>
      <c r="V110" t="s">
        <v>2269</v>
      </c>
      <c r="W110" t="s">
        <v>2270</v>
      </c>
      <c r="X110" t="s">
        <v>2271</v>
      </c>
      <c r="Y110" t="s">
        <v>2272</v>
      </c>
      <c r="Z110" t="s">
        <v>2273</v>
      </c>
      <c r="AA110" t="s">
        <v>74</v>
      </c>
      <c r="AB110" t="s">
        <v>74</v>
      </c>
      <c r="AC110" t="s">
        <v>2274</v>
      </c>
      <c r="AD110" t="s">
        <v>2275</v>
      </c>
      <c r="AE110" t="s">
        <v>2276</v>
      </c>
      <c r="AF110" t="s">
        <v>74</v>
      </c>
      <c r="AG110">
        <v>31</v>
      </c>
      <c r="AH110">
        <v>131</v>
      </c>
      <c r="AI110">
        <v>143</v>
      </c>
      <c r="AJ110">
        <v>0</v>
      </c>
      <c r="AK110">
        <v>59</v>
      </c>
      <c r="AL110" t="s">
        <v>785</v>
      </c>
      <c r="AM110" t="s">
        <v>786</v>
      </c>
      <c r="AN110" t="s">
        <v>787</v>
      </c>
      <c r="AO110" t="s">
        <v>788</v>
      </c>
      <c r="AP110" t="s">
        <v>789</v>
      </c>
      <c r="AQ110" t="s">
        <v>74</v>
      </c>
      <c r="AR110" t="s">
        <v>783</v>
      </c>
      <c r="AS110" t="s">
        <v>790</v>
      </c>
      <c r="AT110" t="s">
        <v>791</v>
      </c>
      <c r="AU110">
        <v>2013</v>
      </c>
      <c r="AV110">
        <v>339</v>
      </c>
      <c r="AW110">
        <v>6119</v>
      </c>
      <c r="AX110" t="s">
        <v>74</v>
      </c>
      <c r="AY110" t="s">
        <v>74</v>
      </c>
      <c r="AZ110" t="s">
        <v>74</v>
      </c>
      <c r="BA110" t="s">
        <v>74</v>
      </c>
      <c r="BB110">
        <v>563</v>
      </c>
      <c r="BC110">
        <v>567</v>
      </c>
      <c r="BD110" t="s">
        <v>74</v>
      </c>
      <c r="BE110" t="s">
        <v>2277</v>
      </c>
      <c r="BF110" t="str">
        <f>HYPERLINK("http://dx.doi.org/10.1126/science.1225154","http://dx.doi.org/10.1126/science.1225154")</f>
        <v>http://dx.doi.org/10.1126/science.1225154</v>
      </c>
      <c r="BG110" t="s">
        <v>74</v>
      </c>
      <c r="BH110" t="s">
        <v>74</v>
      </c>
      <c r="BI110">
        <v>5</v>
      </c>
      <c r="BJ110" t="s">
        <v>328</v>
      </c>
      <c r="BK110" t="s">
        <v>102</v>
      </c>
      <c r="BL110" t="s">
        <v>329</v>
      </c>
      <c r="BM110" t="s">
        <v>792</v>
      </c>
      <c r="BN110">
        <v>23372010</v>
      </c>
      <c r="BO110" t="s">
        <v>74</v>
      </c>
      <c r="BP110" t="s">
        <v>74</v>
      </c>
      <c r="BQ110" t="s">
        <v>74</v>
      </c>
      <c r="BR110" t="s">
        <v>105</v>
      </c>
      <c r="BS110" t="s">
        <v>2278</v>
      </c>
      <c r="BT110" t="str">
        <f>HYPERLINK("https%3A%2F%2Fwww.webofscience.com%2Fwos%2Fwoscc%2Ffull-record%2FWOS:000314270000055","View Full Record in Web of Science")</f>
        <v>View Full Record in Web of Science</v>
      </c>
    </row>
    <row r="111" spans="1:72" x14ac:dyDescent="0.15">
      <c r="A111" t="s">
        <v>72</v>
      </c>
      <c r="B111" t="s">
        <v>2279</v>
      </c>
      <c r="C111" t="s">
        <v>74</v>
      </c>
      <c r="D111" t="s">
        <v>74</v>
      </c>
      <c r="E111" t="s">
        <v>74</v>
      </c>
      <c r="F111" t="s">
        <v>2280</v>
      </c>
      <c r="G111" t="s">
        <v>74</v>
      </c>
      <c r="H111" t="s">
        <v>74</v>
      </c>
      <c r="I111" t="s">
        <v>2281</v>
      </c>
      <c r="J111" t="s">
        <v>783</v>
      </c>
      <c r="K111" t="s">
        <v>74</v>
      </c>
      <c r="L111" t="s">
        <v>74</v>
      </c>
      <c r="M111" t="s">
        <v>78</v>
      </c>
      <c r="N111" t="s">
        <v>79</v>
      </c>
      <c r="O111" t="s">
        <v>74</v>
      </c>
      <c r="P111" t="s">
        <v>74</v>
      </c>
      <c r="Q111" t="s">
        <v>74</v>
      </c>
      <c r="R111" t="s">
        <v>74</v>
      </c>
      <c r="S111" t="s">
        <v>74</v>
      </c>
      <c r="T111" t="s">
        <v>74</v>
      </c>
      <c r="U111" t="s">
        <v>2282</v>
      </c>
      <c r="V111" t="s">
        <v>2283</v>
      </c>
      <c r="W111" t="s">
        <v>2284</v>
      </c>
      <c r="X111" t="s">
        <v>2285</v>
      </c>
      <c r="Y111" t="s">
        <v>2286</v>
      </c>
      <c r="Z111" t="s">
        <v>2287</v>
      </c>
      <c r="AA111" t="s">
        <v>2288</v>
      </c>
      <c r="AB111" t="s">
        <v>2289</v>
      </c>
      <c r="AC111" t="s">
        <v>2290</v>
      </c>
      <c r="AD111" t="s">
        <v>2291</v>
      </c>
      <c r="AE111" t="s">
        <v>2292</v>
      </c>
      <c r="AF111" t="s">
        <v>74</v>
      </c>
      <c r="AG111">
        <v>29</v>
      </c>
      <c r="AH111">
        <v>121</v>
      </c>
      <c r="AI111">
        <v>134</v>
      </c>
      <c r="AJ111">
        <v>4</v>
      </c>
      <c r="AK111">
        <v>116</v>
      </c>
      <c r="AL111" t="s">
        <v>785</v>
      </c>
      <c r="AM111" t="s">
        <v>786</v>
      </c>
      <c r="AN111" t="s">
        <v>787</v>
      </c>
      <c r="AO111" t="s">
        <v>788</v>
      </c>
      <c r="AP111" t="s">
        <v>789</v>
      </c>
      <c r="AQ111" t="s">
        <v>74</v>
      </c>
      <c r="AR111" t="s">
        <v>783</v>
      </c>
      <c r="AS111" t="s">
        <v>790</v>
      </c>
      <c r="AT111" t="s">
        <v>791</v>
      </c>
      <c r="AU111">
        <v>2013</v>
      </c>
      <c r="AV111">
        <v>339</v>
      </c>
      <c r="AW111">
        <v>6119</v>
      </c>
      <c r="AX111" t="s">
        <v>74</v>
      </c>
      <c r="AY111" t="s">
        <v>74</v>
      </c>
      <c r="AZ111" t="s">
        <v>74</v>
      </c>
      <c r="BA111" t="s">
        <v>74</v>
      </c>
      <c r="BB111">
        <v>568</v>
      </c>
      <c r="BC111">
        <v>570</v>
      </c>
      <c r="BD111" t="s">
        <v>74</v>
      </c>
      <c r="BE111" t="s">
        <v>2293</v>
      </c>
      <c r="BF111" t="str">
        <f>HYPERLINK("http://dx.doi.org/10.1126/science.1225411","http://dx.doi.org/10.1126/science.1225411")</f>
        <v>http://dx.doi.org/10.1126/science.1225411</v>
      </c>
      <c r="BG111" t="s">
        <v>74</v>
      </c>
      <c r="BH111" t="s">
        <v>74</v>
      </c>
      <c r="BI111">
        <v>3</v>
      </c>
      <c r="BJ111" t="s">
        <v>328</v>
      </c>
      <c r="BK111" t="s">
        <v>102</v>
      </c>
      <c r="BL111" t="s">
        <v>329</v>
      </c>
      <c r="BM111" t="s">
        <v>2294</v>
      </c>
      <c r="BN111">
        <v>23372011</v>
      </c>
      <c r="BO111" t="s">
        <v>429</v>
      </c>
      <c r="BP111" t="s">
        <v>74</v>
      </c>
      <c r="BQ111" t="s">
        <v>74</v>
      </c>
      <c r="BR111" t="s">
        <v>105</v>
      </c>
      <c r="BS111" t="s">
        <v>2295</v>
      </c>
      <c r="BT111" t="str">
        <f>HYPERLINK("https%3A%2F%2Fwww.webofscience.com%2Fwos%2Fwoscc%2Ffull-record%2FWOS:000317843300001","View Full Record in Web of Science")</f>
        <v>View Full Record in Web of Science</v>
      </c>
    </row>
    <row r="112" spans="1:72" x14ac:dyDescent="0.15">
      <c r="A112" t="s">
        <v>72</v>
      </c>
      <c r="B112" t="s">
        <v>2296</v>
      </c>
      <c r="C112" t="s">
        <v>74</v>
      </c>
      <c r="D112" t="s">
        <v>74</v>
      </c>
      <c r="E112" t="s">
        <v>74</v>
      </c>
      <c r="F112" t="s">
        <v>2297</v>
      </c>
      <c r="G112" t="s">
        <v>74</v>
      </c>
      <c r="H112" t="s">
        <v>74</v>
      </c>
      <c r="I112" t="s">
        <v>2298</v>
      </c>
      <c r="J112" t="s">
        <v>2299</v>
      </c>
      <c r="K112" t="s">
        <v>74</v>
      </c>
      <c r="L112" t="s">
        <v>74</v>
      </c>
      <c r="M112" t="s">
        <v>78</v>
      </c>
      <c r="N112" t="s">
        <v>79</v>
      </c>
      <c r="O112" t="s">
        <v>74</v>
      </c>
      <c r="P112" t="s">
        <v>74</v>
      </c>
      <c r="Q112" t="s">
        <v>74</v>
      </c>
      <c r="R112" t="s">
        <v>74</v>
      </c>
      <c r="S112" t="s">
        <v>74</v>
      </c>
      <c r="T112" t="s">
        <v>2300</v>
      </c>
      <c r="U112" t="s">
        <v>2301</v>
      </c>
      <c r="V112" t="s">
        <v>2302</v>
      </c>
      <c r="W112" t="s">
        <v>2303</v>
      </c>
      <c r="X112" t="s">
        <v>2304</v>
      </c>
      <c r="Y112" t="s">
        <v>2305</v>
      </c>
      <c r="Z112" t="s">
        <v>2306</v>
      </c>
      <c r="AA112" t="s">
        <v>74</v>
      </c>
      <c r="AB112" t="s">
        <v>2307</v>
      </c>
      <c r="AC112" t="s">
        <v>2308</v>
      </c>
      <c r="AD112" t="s">
        <v>2309</v>
      </c>
      <c r="AE112" t="s">
        <v>2310</v>
      </c>
      <c r="AF112" t="s">
        <v>74</v>
      </c>
      <c r="AG112">
        <v>60</v>
      </c>
      <c r="AH112">
        <v>16</v>
      </c>
      <c r="AI112">
        <v>18</v>
      </c>
      <c r="AJ112">
        <v>1</v>
      </c>
      <c r="AK112">
        <v>25</v>
      </c>
      <c r="AL112" t="s">
        <v>257</v>
      </c>
      <c r="AM112" t="s">
        <v>215</v>
      </c>
      <c r="AN112" t="s">
        <v>216</v>
      </c>
      <c r="AO112" t="s">
        <v>2311</v>
      </c>
      <c r="AP112" t="s">
        <v>2312</v>
      </c>
      <c r="AQ112" t="s">
        <v>74</v>
      </c>
      <c r="AR112" t="s">
        <v>2299</v>
      </c>
      <c r="AS112" t="s">
        <v>2313</v>
      </c>
      <c r="AT112" t="s">
        <v>98</v>
      </c>
      <c r="AU112">
        <v>2013</v>
      </c>
      <c r="AV112">
        <v>60</v>
      </c>
      <c r="AW112">
        <v>2</v>
      </c>
      <c r="AX112" t="s">
        <v>74</v>
      </c>
      <c r="AY112" t="s">
        <v>74</v>
      </c>
      <c r="AZ112" t="s">
        <v>74</v>
      </c>
      <c r="BA112" t="s">
        <v>74</v>
      </c>
      <c r="BB112">
        <v>391</v>
      </c>
      <c r="BC112">
        <v>410</v>
      </c>
      <c r="BD112" t="s">
        <v>74</v>
      </c>
      <c r="BE112" t="s">
        <v>2314</v>
      </c>
      <c r="BF112" t="str">
        <f>HYPERLINK("http://dx.doi.org/10.1111/j.1365-3091.2012.01345.x","http://dx.doi.org/10.1111/j.1365-3091.2012.01345.x")</f>
        <v>http://dx.doi.org/10.1111/j.1365-3091.2012.01345.x</v>
      </c>
      <c r="BG112" t="s">
        <v>74</v>
      </c>
      <c r="BH112" t="s">
        <v>74</v>
      </c>
      <c r="BI112">
        <v>20</v>
      </c>
      <c r="BJ112" t="s">
        <v>1605</v>
      </c>
      <c r="BK112" t="s">
        <v>102</v>
      </c>
      <c r="BL112" t="s">
        <v>1605</v>
      </c>
      <c r="BM112" t="s">
        <v>2315</v>
      </c>
      <c r="BN112" t="s">
        <v>74</v>
      </c>
      <c r="BO112" t="s">
        <v>74</v>
      </c>
      <c r="BP112" t="s">
        <v>74</v>
      </c>
      <c r="BQ112" t="s">
        <v>74</v>
      </c>
      <c r="BR112" t="s">
        <v>105</v>
      </c>
      <c r="BS112" t="s">
        <v>2316</v>
      </c>
      <c r="BT112" t="str">
        <f>HYPERLINK("https%3A%2F%2Fwww.webofscience.com%2Fwos%2Fwoscc%2Ffull-record%2FWOS:000314522700002","View Full Record in Web of Science")</f>
        <v>View Full Record in Web of Science</v>
      </c>
    </row>
    <row r="113" spans="1:72" x14ac:dyDescent="0.15">
      <c r="A113" t="s">
        <v>72</v>
      </c>
      <c r="B113" t="s">
        <v>2317</v>
      </c>
      <c r="C113" t="s">
        <v>74</v>
      </c>
      <c r="D113" t="s">
        <v>74</v>
      </c>
      <c r="E113" t="s">
        <v>74</v>
      </c>
      <c r="F113" t="s">
        <v>2318</v>
      </c>
      <c r="G113" t="s">
        <v>74</v>
      </c>
      <c r="H113" t="s">
        <v>74</v>
      </c>
      <c r="I113" t="s">
        <v>2319</v>
      </c>
      <c r="J113" t="s">
        <v>2320</v>
      </c>
      <c r="K113" t="s">
        <v>74</v>
      </c>
      <c r="L113" t="s">
        <v>74</v>
      </c>
      <c r="M113" t="s">
        <v>78</v>
      </c>
      <c r="N113" t="s">
        <v>79</v>
      </c>
      <c r="O113" t="s">
        <v>74</v>
      </c>
      <c r="P113" t="s">
        <v>74</v>
      </c>
      <c r="Q113" t="s">
        <v>74</v>
      </c>
      <c r="R113" t="s">
        <v>74</v>
      </c>
      <c r="S113" t="s">
        <v>74</v>
      </c>
      <c r="T113" t="s">
        <v>2321</v>
      </c>
      <c r="U113" t="s">
        <v>2322</v>
      </c>
      <c r="V113" t="s">
        <v>2323</v>
      </c>
      <c r="W113" t="s">
        <v>2324</v>
      </c>
      <c r="X113" t="s">
        <v>2325</v>
      </c>
      <c r="Y113" t="s">
        <v>869</v>
      </c>
      <c r="Z113" t="s">
        <v>870</v>
      </c>
      <c r="AA113" t="s">
        <v>2326</v>
      </c>
      <c r="AB113" t="s">
        <v>2327</v>
      </c>
      <c r="AC113" t="s">
        <v>2328</v>
      </c>
      <c r="AD113" t="s">
        <v>2329</v>
      </c>
      <c r="AE113" t="s">
        <v>2330</v>
      </c>
      <c r="AF113" t="s">
        <v>74</v>
      </c>
      <c r="AG113">
        <v>51</v>
      </c>
      <c r="AH113">
        <v>34</v>
      </c>
      <c r="AI113">
        <v>41</v>
      </c>
      <c r="AJ113">
        <v>3</v>
      </c>
      <c r="AK113">
        <v>75</v>
      </c>
      <c r="AL113" t="s">
        <v>146</v>
      </c>
      <c r="AM113" t="s">
        <v>147</v>
      </c>
      <c r="AN113" t="s">
        <v>148</v>
      </c>
      <c r="AO113" t="s">
        <v>2331</v>
      </c>
      <c r="AP113" t="s">
        <v>2332</v>
      </c>
      <c r="AQ113" t="s">
        <v>74</v>
      </c>
      <c r="AR113" t="s">
        <v>2333</v>
      </c>
      <c r="AS113" t="s">
        <v>2334</v>
      </c>
      <c r="AT113" t="s">
        <v>98</v>
      </c>
      <c r="AU113">
        <v>2013</v>
      </c>
      <c r="AV113">
        <v>57</v>
      </c>
      <c r="AW113" t="s">
        <v>74</v>
      </c>
      <c r="AX113" t="s">
        <v>74</v>
      </c>
      <c r="AY113" t="s">
        <v>74</v>
      </c>
      <c r="AZ113" t="s">
        <v>74</v>
      </c>
      <c r="BA113" t="s">
        <v>74</v>
      </c>
      <c r="BB113">
        <v>248</v>
      </c>
      <c r="BC113">
        <v>255</v>
      </c>
      <c r="BD113" t="s">
        <v>74</v>
      </c>
      <c r="BE113" t="s">
        <v>2335</v>
      </c>
      <c r="BF113" t="str">
        <f>HYPERLINK("http://dx.doi.org/10.1016/j.soilbio.2012.07.009","http://dx.doi.org/10.1016/j.soilbio.2012.07.009")</f>
        <v>http://dx.doi.org/10.1016/j.soilbio.2012.07.009</v>
      </c>
      <c r="BG113" t="s">
        <v>74</v>
      </c>
      <c r="BH113" t="s">
        <v>74</v>
      </c>
      <c r="BI113">
        <v>8</v>
      </c>
      <c r="BJ113" t="s">
        <v>683</v>
      </c>
      <c r="BK113" t="s">
        <v>102</v>
      </c>
      <c r="BL113" t="s">
        <v>684</v>
      </c>
      <c r="BM113" t="s">
        <v>2336</v>
      </c>
      <c r="BN113" t="s">
        <v>74</v>
      </c>
      <c r="BO113" t="s">
        <v>1207</v>
      </c>
      <c r="BP113" t="s">
        <v>74</v>
      </c>
      <c r="BQ113" t="s">
        <v>74</v>
      </c>
      <c r="BR113" t="s">
        <v>105</v>
      </c>
      <c r="BS113" t="s">
        <v>2337</v>
      </c>
      <c r="BT113" t="str">
        <f>HYPERLINK("https%3A%2F%2Fwww.webofscience.com%2Fwos%2Fwoscc%2Ffull-record%2FWOS:000317247100028","View Full Record in Web of Science")</f>
        <v>View Full Record in Web of Science</v>
      </c>
    </row>
    <row r="114" spans="1:72" x14ac:dyDescent="0.15">
      <c r="A114" t="s">
        <v>72</v>
      </c>
      <c r="B114" t="s">
        <v>2338</v>
      </c>
      <c r="C114" t="s">
        <v>74</v>
      </c>
      <c r="D114" t="s">
        <v>74</v>
      </c>
      <c r="E114" t="s">
        <v>74</v>
      </c>
      <c r="F114" t="s">
        <v>2339</v>
      </c>
      <c r="G114" t="s">
        <v>74</v>
      </c>
      <c r="H114" t="s">
        <v>74</v>
      </c>
      <c r="I114" t="s">
        <v>2340</v>
      </c>
      <c r="J114" t="s">
        <v>2341</v>
      </c>
      <c r="K114" t="s">
        <v>74</v>
      </c>
      <c r="L114" t="s">
        <v>74</v>
      </c>
      <c r="M114" t="s">
        <v>78</v>
      </c>
      <c r="N114" t="s">
        <v>79</v>
      </c>
      <c r="O114" t="s">
        <v>74</v>
      </c>
      <c r="P114" t="s">
        <v>74</v>
      </c>
      <c r="Q114" t="s">
        <v>74</v>
      </c>
      <c r="R114" t="s">
        <v>74</v>
      </c>
      <c r="S114" t="s">
        <v>74</v>
      </c>
      <c r="T114" t="s">
        <v>74</v>
      </c>
      <c r="U114" t="s">
        <v>2342</v>
      </c>
      <c r="V114" t="s">
        <v>2343</v>
      </c>
      <c r="W114" t="s">
        <v>2344</v>
      </c>
      <c r="X114" t="s">
        <v>2345</v>
      </c>
      <c r="Y114" t="s">
        <v>2346</v>
      </c>
      <c r="Z114" t="s">
        <v>2347</v>
      </c>
      <c r="AA114" t="s">
        <v>2348</v>
      </c>
      <c r="AB114" t="s">
        <v>2349</v>
      </c>
      <c r="AC114" t="s">
        <v>74</v>
      </c>
      <c r="AD114" t="s">
        <v>74</v>
      </c>
      <c r="AE114" t="s">
        <v>74</v>
      </c>
      <c r="AF114" t="s">
        <v>74</v>
      </c>
      <c r="AG114">
        <v>35</v>
      </c>
      <c r="AH114">
        <v>24</v>
      </c>
      <c r="AI114">
        <v>26</v>
      </c>
      <c r="AJ114">
        <v>1</v>
      </c>
      <c r="AK114">
        <v>36</v>
      </c>
      <c r="AL114" t="s">
        <v>2350</v>
      </c>
      <c r="AM114" t="s">
        <v>2351</v>
      </c>
      <c r="AN114" t="s">
        <v>2352</v>
      </c>
      <c r="AO114" t="s">
        <v>2353</v>
      </c>
      <c r="AP114" t="s">
        <v>74</v>
      </c>
      <c r="AQ114" t="s">
        <v>74</v>
      </c>
      <c r="AR114" t="s">
        <v>2341</v>
      </c>
      <c r="AS114" t="s">
        <v>2354</v>
      </c>
      <c r="AT114" t="s">
        <v>2355</v>
      </c>
      <c r="AU114">
        <v>2013</v>
      </c>
      <c r="AV114">
        <v>8</v>
      </c>
      <c r="AW114">
        <v>1</v>
      </c>
      <c r="AX114" t="s">
        <v>74</v>
      </c>
      <c r="AY114" t="s">
        <v>74</v>
      </c>
      <c r="AZ114" t="s">
        <v>74</v>
      </c>
      <c r="BA114" t="s">
        <v>74</v>
      </c>
      <c r="BB114" t="s">
        <v>74</v>
      </c>
      <c r="BC114" t="s">
        <v>74</v>
      </c>
      <c r="BD114" t="s">
        <v>2356</v>
      </c>
      <c r="BE114" t="s">
        <v>2357</v>
      </c>
      <c r="BF114" t="str">
        <f>HYPERLINK("http://dx.doi.org/10.1371/journal.pone.0055697","http://dx.doi.org/10.1371/journal.pone.0055697")</f>
        <v>http://dx.doi.org/10.1371/journal.pone.0055697</v>
      </c>
      <c r="BG114" t="s">
        <v>74</v>
      </c>
      <c r="BH114" t="s">
        <v>74</v>
      </c>
      <c r="BI114">
        <v>11</v>
      </c>
      <c r="BJ114" t="s">
        <v>328</v>
      </c>
      <c r="BK114" t="s">
        <v>102</v>
      </c>
      <c r="BL114" t="s">
        <v>329</v>
      </c>
      <c r="BM114" t="s">
        <v>2358</v>
      </c>
      <c r="BN114">
        <v>23383268</v>
      </c>
      <c r="BO114" t="s">
        <v>2359</v>
      </c>
      <c r="BP114" t="s">
        <v>74</v>
      </c>
      <c r="BQ114" t="s">
        <v>74</v>
      </c>
      <c r="BR114" t="s">
        <v>105</v>
      </c>
      <c r="BS114" t="s">
        <v>2360</v>
      </c>
      <c r="BT114" t="str">
        <f>HYPERLINK("https%3A%2F%2Fwww.webofscience.com%2Fwos%2Fwoscc%2Ffull-record%2FWOS:000314610600148","View Full Record in Web of Science")</f>
        <v>View Full Record in Web of Science</v>
      </c>
    </row>
    <row r="115" spans="1:72" x14ac:dyDescent="0.15">
      <c r="A115" t="s">
        <v>72</v>
      </c>
      <c r="B115" t="s">
        <v>2361</v>
      </c>
      <c r="C115" t="s">
        <v>74</v>
      </c>
      <c r="D115" t="s">
        <v>74</v>
      </c>
      <c r="E115" t="s">
        <v>74</v>
      </c>
      <c r="F115" t="s">
        <v>2362</v>
      </c>
      <c r="G115" t="s">
        <v>74</v>
      </c>
      <c r="H115" t="s">
        <v>74</v>
      </c>
      <c r="I115" t="s">
        <v>2363</v>
      </c>
      <c r="J115" t="s">
        <v>2341</v>
      </c>
      <c r="K115" t="s">
        <v>74</v>
      </c>
      <c r="L115" t="s">
        <v>74</v>
      </c>
      <c r="M115" t="s">
        <v>78</v>
      </c>
      <c r="N115" t="s">
        <v>79</v>
      </c>
      <c r="O115" t="s">
        <v>74</v>
      </c>
      <c r="P115" t="s">
        <v>74</v>
      </c>
      <c r="Q115" t="s">
        <v>74</v>
      </c>
      <c r="R115" t="s">
        <v>74</v>
      </c>
      <c r="S115" t="s">
        <v>74</v>
      </c>
      <c r="T115" t="s">
        <v>74</v>
      </c>
      <c r="U115" t="s">
        <v>2364</v>
      </c>
      <c r="V115" t="s">
        <v>2365</v>
      </c>
      <c r="W115" t="s">
        <v>2366</v>
      </c>
      <c r="X115" t="s">
        <v>2367</v>
      </c>
      <c r="Y115" t="s">
        <v>2368</v>
      </c>
      <c r="Z115" t="s">
        <v>2369</v>
      </c>
      <c r="AA115" t="s">
        <v>2370</v>
      </c>
      <c r="AB115" t="s">
        <v>2371</v>
      </c>
      <c r="AC115" t="s">
        <v>2372</v>
      </c>
      <c r="AD115" t="s">
        <v>2372</v>
      </c>
      <c r="AE115" t="s">
        <v>2373</v>
      </c>
      <c r="AF115" t="s">
        <v>74</v>
      </c>
      <c r="AG115">
        <v>101</v>
      </c>
      <c r="AH115">
        <v>22</v>
      </c>
      <c r="AI115">
        <v>24</v>
      </c>
      <c r="AJ115">
        <v>1</v>
      </c>
      <c r="AK115">
        <v>70</v>
      </c>
      <c r="AL115" t="s">
        <v>2350</v>
      </c>
      <c r="AM115" t="s">
        <v>2351</v>
      </c>
      <c r="AN115" t="s">
        <v>2352</v>
      </c>
      <c r="AO115" t="s">
        <v>2353</v>
      </c>
      <c r="AP115" t="s">
        <v>74</v>
      </c>
      <c r="AQ115" t="s">
        <v>74</v>
      </c>
      <c r="AR115" t="s">
        <v>2341</v>
      </c>
      <c r="AS115" t="s">
        <v>2354</v>
      </c>
      <c r="AT115" t="s">
        <v>2374</v>
      </c>
      <c r="AU115">
        <v>2013</v>
      </c>
      <c r="AV115">
        <v>8</v>
      </c>
      <c r="AW115">
        <v>1</v>
      </c>
      <c r="AX115" t="s">
        <v>74</v>
      </c>
      <c r="AY115" t="s">
        <v>74</v>
      </c>
      <c r="AZ115" t="s">
        <v>74</v>
      </c>
      <c r="BA115" t="s">
        <v>74</v>
      </c>
      <c r="BB115" t="s">
        <v>74</v>
      </c>
      <c r="BC115" t="s">
        <v>74</v>
      </c>
      <c r="BD115" t="s">
        <v>2375</v>
      </c>
      <c r="BE115" t="s">
        <v>2376</v>
      </c>
      <c r="BF115" t="str">
        <f>HYPERLINK("http://dx.doi.org/10.1371/journal.pone.0054594","http://dx.doi.org/10.1371/journal.pone.0054594")</f>
        <v>http://dx.doi.org/10.1371/journal.pone.0054594</v>
      </c>
      <c r="BG115" t="s">
        <v>74</v>
      </c>
      <c r="BH115" t="s">
        <v>74</v>
      </c>
      <c r="BI115">
        <v>11</v>
      </c>
      <c r="BJ115" t="s">
        <v>328</v>
      </c>
      <c r="BK115" t="s">
        <v>102</v>
      </c>
      <c r="BL115" t="s">
        <v>329</v>
      </c>
      <c r="BM115" t="s">
        <v>2377</v>
      </c>
      <c r="BN115">
        <v>23382921</v>
      </c>
      <c r="BO115" t="s">
        <v>2378</v>
      </c>
      <c r="BP115" t="s">
        <v>74</v>
      </c>
      <c r="BQ115" t="s">
        <v>74</v>
      </c>
      <c r="BR115" t="s">
        <v>105</v>
      </c>
      <c r="BS115" t="s">
        <v>2379</v>
      </c>
      <c r="BT115" t="str">
        <f>HYPERLINK("https%3A%2F%2Fwww.webofscience.com%2Fwos%2Fwoscc%2Ffull-record%2FWOS:000315563800056","View Full Record in Web of Science")</f>
        <v>View Full Record in Web of Science</v>
      </c>
    </row>
    <row r="116" spans="1:72" x14ac:dyDescent="0.15">
      <c r="A116" t="s">
        <v>72</v>
      </c>
      <c r="B116" t="s">
        <v>2380</v>
      </c>
      <c r="C116" t="s">
        <v>74</v>
      </c>
      <c r="D116" t="s">
        <v>74</v>
      </c>
      <c r="E116" t="s">
        <v>74</v>
      </c>
      <c r="F116" t="s">
        <v>2381</v>
      </c>
      <c r="G116" t="s">
        <v>74</v>
      </c>
      <c r="H116" t="s">
        <v>74</v>
      </c>
      <c r="I116" t="s">
        <v>2382</v>
      </c>
      <c r="J116" t="s">
        <v>2383</v>
      </c>
      <c r="K116" t="s">
        <v>74</v>
      </c>
      <c r="L116" t="s">
        <v>74</v>
      </c>
      <c r="M116" t="s">
        <v>78</v>
      </c>
      <c r="N116" t="s">
        <v>79</v>
      </c>
      <c r="O116" t="s">
        <v>74</v>
      </c>
      <c r="P116" t="s">
        <v>74</v>
      </c>
      <c r="Q116" t="s">
        <v>74</v>
      </c>
      <c r="R116" t="s">
        <v>74</v>
      </c>
      <c r="S116" t="s">
        <v>74</v>
      </c>
      <c r="T116" t="s">
        <v>2384</v>
      </c>
      <c r="U116" t="s">
        <v>2385</v>
      </c>
      <c r="V116" t="s">
        <v>2386</v>
      </c>
      <c r="W116" t="s">
        <v>2387</v>
      </c>
      <c r="X116" t="s">
        <v>2388</v>
      </c>
      <c r="Y116" t="s">
        <v>2389</v>
      </c>
      <c r="Z116" t="s">
        <v>2390</v>
      </c>
      <c r="AA116" t="s">
        <v>2391</v>
      </c>
      <c r="AB116" t="s">
        <v>74</v>
      </c>
      <c r="AC116" t="s">
        <v>2392</v>
      </c>
      <c r="AD116" t="s">
        <v>2393</v>
      </c>
      <c r="AE116" t="s">
        <v>2394</v>
      </c>
      <c r="AF116" t="s">
        <v>74</v>
      </c>
      <c r="AG116">
        <v>94</v>
      </c>
      <c r="AH116">
        <v>5</v>
      </c>
      <c r="AI116">
        <v>7</v>
      </c>
      <c r="AJ116">
        <v>4</v>
      </c>
      <c r="AK116">
        <v>46</v>
      </c>
      <c r="AL116" t="s">
        <v>146</v>
      </c>
      <c r="AM116" t="s">
        <v>147</v>
      </c>
      <c r="AN116" t="s">
        <v>148</v>
      </c>
      <c r="AO116" t="s">
        <v>2395</v>
      </c>
      <c r="AP116" t="s">
        <v>2396</v>
      </c>
      <c r="AQ116" t="s">
        <v>74</v>
      </c>
      <c r="AR116" t="s">
        <v>2397</v>
      </c>
      <c r="AS116" t="s">
        <v>2398</v>
      </c>
      <c r="AT116" t="s">
        <v>2374</v>
      </c>
      <c r="AU116">
        <v>2013</v>
      </c>
      <c r="AV116">
        <v>62</v>
      </c>
      <c r="AW116" t="s">
        <v>74</v>
      </c>
      <c r="AX116" t="s">
        <v>74</v>
      </c>
      <c r="AY116" t="s">
        <v>74</v>
      </c>
      <c r="AZ116" t="s">
        <v>221</v>
      </c>
      <c r="BA116" t="s">
        <v>74</v>
      </c>
      <c r="BB116">
        <v>769</v>
      </c>
      <c r="BC116">
        <v>775</v>
      </c>
      <c r="BD116" t="s">
        <v>74</v>
      </c>
      <c r="BE116" t="s">
        <v>2399</v>
      </c>
      <c r="BF116" t="str">
        <f>HYPERLINK("http://dx.doi.org/10.1016/j.jseaes.2012.11.030","http://dx.doi.org/10.1016/j.jseaes.2012.11.030")</f>
        <v>http://dx.doi.org/10.1016/j.jseaes.2012.11.030</v>
      </c>
      <c r="BG116" t="s">
        <v>74</v>
      </c>
      <c r="BH116" t="s">
        <v>74</v>
      </c>
      <c r="BI116">
        <v>7</v>
      </c>
      <c r="BJ116" t="s">
        <v>1604</v>
      </c>
      <c r="BK116" t="s">
        <v>102</v>
      </c>
      <c r="BL116" t="s">
        <v>1605</v>
      </c>
      <c r="BM116" t="s">
        <v>2400</v>
      </c>
      <c r="BN116" t="s">
        <v>74</v>
      </c>
      <c r="BO116" t="s">
        <v>74</v>
      </c>
      <c r="BP116" t="s">
        <v>74</v>
      </c>
      <c r="BQ116" t="s">
        <v>74</v>
      </c>
      <c r="BR116" t="s">
        <v>105</v>
      </c>
      <c r="BS116" t="s">
        <v>2401</v>
      </c>
      <c r="BT116" t="str">
        <f>HYPERLINK("https%3A%2F%2Fwww.webofscience.com%2Fwos%2Fwoscc%2Ffull-record%2FWOS:000315076500060","View Full Record in Web of Science")</f>
        <v>View Full Record in Web of Science</v>
      </c>
    </row>
    <row r="117" spans="1:72" x14ac:dyDescent="0.15">
      <c r="A117" t="s">
        <v>72</v>
      </c>
      <c r="B117" t="s">
        <v>2402</v>
      </c>
      <c r="C117" t="s">
        <v>74</v>
      </c>
      <c r="D117" t="s">
        <v>74</v>
      </c>
      <c r="E117" t="s">
        <v>74</v>
      </c>
      <c r="F117" t="s">
        <v>2403</v>
      </c>
      <c r="G117" t="s">
        <v>74</v>
      </c>
      <c r="H117" t="s">
        <v>74</v>
      </c>
      <c r="I117" t="s">
        <v>2404</v>
      </c>
      <c r="J117" t="s">
        <v>2405</v>
      </c>
      <c r="K117" t="s">
        <v>74</v>
      </c>
      <c r="L117" t="s">
        <v>74</v>
      </c>
      <c r="M117" t="s">
        <v>78</v>
      </c>
      <c r="N117" t="s">
        <v>79</v>
      </c>
      <c r="O117" t="s">
        <v>74</v>
      </c>
      <c r="P117" t="s">
        <v>74</v>
      </c>
      <c r="Q117" t="s">
        <v>74</v>
      </c>
      <c r="R117" t="s">
        <v>74</v>
      </c>
      <c r="S117" t="s">
        <v>74</v>
      </c>
      <c r="T117" t="s">
        <v>2406</v>
      </c>
      <c r="U117" t="s">
        <v>2407</v>
      </c>
      <c r="V117" t="s">
        <v>2408</v>
      </c>
      <c r="W117" t="s">
        <v>2409</v>
      </c>
      <c r="X117" t="s">
        <v>2410</v>
      </c>
      <c r="Y117" t="s">
        <v>2411</v>
      </c>
      <c r="Z117" t="s">
        <v>2412</v>
      </c>
      <c r="AA117" t="s">
        <v>2413</v>
      </c>
      <c r="AB117" t="s">
        <v>2414</v>
      </c>
      <c r="AC117" t="s">
        <v>2415</v>
      </c>
      <c r="AD117" t="s">
        <v>2416</v>
      </c>
      <c r="AE117" t="s">
        <v>2417</v>
      </c>
      <c r="AF117" t="s">
        <v>74</v>
      </c>
      <c r="AG117">
        <v>22</v>
      </c>
      <c r="AH117">
        <v>10</v>
      </c>
      <c r="AI117">
        <v>14</v>
      </c>
      <c r="AJ117">
        <v>0</v>
      </c>
      <c r="AK117">
        <v>25</v>
      </c>
      <c r="AL117" t="s">
        <v>2418</v>
      </c>
      <c r="AM117" t="s">
        <v>786</v>
      </c>
      <c r="AN117" t="s">
        <v>2419</v>
      </c>
      <c r="AO117" t="s">
        <v>2420</v>
      </c>
      <c r="AP117" t="s">
        <v>2421</v>
      </c>
      <c r="AQ117" t="s">
        <v>74</v>
      </c>
      <c r="AR117" t="s">
        <v>2422</v>
      </c>
      <c r="AS117" t="s">
        <v>2423</v>
      </c>
      <c r="AT117" t="s">
        <v>2374</v>
      </c>
      <c r="AU117">
        <v>2013</v>
      </c>
      <c r="AV117">
        <v>61</v>
      </c>
      <c r="AW117">
        <v>4</v>
      </c>
      <c r="AX117" t="s">
        <v>74</v>
      </c>
      <c r="AY117" t="s">
        <v>74</v>
      </c>
      <c r="AZ117" t="s">
        <v>74</v>
      </c>
      <c r="BA117" t="s">
        <v>74</v>
      </c>
      <c r="BB117">
        <v>882</v>
      </c>
      <c r="BC117">
        <v>886</v>
      </c>
      <c r="BD117" t="s">
        <v>74</v>
      </c>
      <c r="BE117" t="s">
        <v>2424</v>
      </c>
      <c r="BF117" t="str">
        <f>HYPERLINK("http://dx.doi.org/10.1021/jf304919y","http://dx.doi.org/10.1021/jf304919y")</f>
        <v>http://dx.doi.org/10.1021/jf304919y</v>
      </c>
      <c r="BG117" t="s">
        <v>74</v>
      </c>
      <c r="BH117" t="s">
        <v>74</v>
      </c>
      <c r="BI117">
        <v>5</v>
      </c>
      <c r="BJ117" t="s">
        <v>2425</v>
      </c>
      <c r="BK117" t="s">
        <v>102</v>
      </c>
      <c r="BL117" t="s">
        <v>2426</v>
      </c>
      <c r="BM117" t="s">
        <v>2427</v>
      </c>
      <c r="BN117">
        <v>23305314</v>
      </c>
      <c r="BO117" t="s">
        <v>74</v>
      </c>
      <c r="BP117" t="s">
        <v>74</v>
      </c>
      <c r="BQ117" t="s">
        <v>74</v>
      </c>
      <c r="BR117" t="s">
        <v>105</v>
      </c>
      <c r="BS117" t="s">
        <v>2428</v>
      </c>
      <c r="BT117" t="str">
        <f>HYPERLINK("https%3A%2F%2Fwww.webofscience.com%2Fwos%2Fwoscc%2Ffull-record%2FWOS:000314492600014","View Full Record in Web of Science")</f>
        <v>View Full Record in Web of Science</v>
      </c>
    </row>
    <row r="118" spans="1:72" x14ac:dyDescent="0.15">
      <c r="A118" t="s">
        <v>72</v>
      </c>
      <c r="B118" t="s">
        <v>2429</v>
      </c>
      <c r="C118" t="s">
        <v>74</v>
      </c>
      <c r="D118" t="s">
        <v>74</v>
      </c>
      <c r="E118" t="s">
        <v>74</v>
      </c>
      <c r="F118" t="s">
        <v>2430</v>
      </c>
      <c r="G118" t="s">
        <v>74</v>
      </c>
      <c r="H118" t="s">
        <v>74</v>
      </c>
      <c r="I118" t="s">
        <v>2431</v>
      </c>
      <c r="J118" t="s">
        <v>2432</v>
      </c>
      <c r="K118" t="s">
        <v>74</v>
      </c>
      <c r="L118" t="s">
        <v>74</v>
      </c>
      <c r="M118" t="s">
        <v>78</v>
      </c>
      <c r="N118" t="s">
        <v>79</v>
      </c>
      <c r="O118" t="s">
        <v>74</v>
      </c>
      <c r="P118" t="s">
        <v>74</v>
      </c>
      <c r="Q118" t="s">
        <v>74</v>
      </c>
      <c r="R118" t="s">
        <v>74</v>
      </c>
      <c r="S118" t="s">
        <v>74</v>
      </c>
      <c r="T118" t="s">
        <v>2433</v>
      </c>
      <c r="U118" t="s">
        <v>2434</v>
      </c>
      <c r="V118" t="s">
        <v>2435</v>
      </c>
      <c r="W118" t="s">
        <v>2436</v>
      </c>
      <c r="X118" t="s">
        <v>2437</v>
      </c>
      <c r="Y118" t="s">
        <v>2438</v>
      </c>
      <c r="Z118" t="s">
        <v>2439</v>
      </c>
      <c r="AA118" t="s">
        <v>2440</v>
      </c>
      <c r="AB118" t="s">
        <v>2441</v>
      </c>
      <c r="AC118" t="s">
        <v>2442</v>
      </c>
      <c r="AD118" t="s">
        <v>2443</v>
      </c>
      <c r="AE118" t="s">
        <v>2444</v>
      </c>
      <c r="AF118" t="s">
        <v>74</v>
      </c>
      <c r="AG118">
        <v>64</v>
      </c>
      <c r="AH118">
        <v>157</v>
      </c>
      <c r="AI118">
        <v>167</v>
      </c>
      <c r="AJ118">
        <v>9</v>
      </c>
      <c r="AK118">
        <v>107</v>
      </c>
      <c r="AL118" t="s">
        <v>447</v>
      </c>
      <c r="AM118" t="s">
        <v>147</v>
      </c>
      <c r="AN118" t="s">
        <v>448</v>
      </c>
      <c r="AO118" t="s">
        <v>2445</v>
      </c>
      <c r="AP118" t="s">
        <v>2446</v>
      </c>
      <c r="AQ118" t="s">
        <v>74</v>
      </c>
      <c r="AR118" t="s">
        <v>2447</v>
      </c>
      <c r="AS118" t="s">
        <v>2448</v>
      </c>
      <c r="AT118" t="s">
        <v>2374</v>
      </c>
      <c r="AU118">
        <v>2013</v>
      </c>
      <c r="AV118">
        <v>92</v>
      </c>
      <c r="AW118">
        <v>1</v>
      </c>
      <c r="AX118" t="s">
        <v>74</v>
      </c>
      <c r="AY118" t="s">
        <v>74</v>
      </c>
      <c r="AZ118" t="s">
        <v>74</v>
      </c>
      <c r="BA118" t="s">
        <v>74</v>
      </c>
      <c r="BB118">
        <v>90</v>
      </c>
      <c r="BC118">
        <v>97</v>
      </c>
      <c r="BD118" t="s">
        <v>74</v>
      </c>
      <c r="BE118" t="s">
        <v>2449</v>
      </c>
      <c r="BF118" t="str">
        <f>HYPERLINK("http://dx.doi.org/10.1016/j.carbpol.2012.09.084","http://dx.doi.org/10.1016/j.carbpol.2012.09.084")</f>
        <v>http://dx.doi.org/10.1016/j.carbpol.2012.09.084</v>
      </c>
      <c r="BG118" t="s">
        <v>74</v>
      </c>
      <c r="BH118" t="s">
        <v>74</v>
      </c>
      <c r="BI118">
        <v>8</v>
      </c>
      <c r="BJ118" t="s">
        <v>2450</v>
      </c>
      <c r="BK118" t="s">
        <v>102</v>
      </c>
      <c r="BL118" t="s">
        <v>2451</v>
      </c>
      <c r="BM118" t="s">
        <v>2452</v>
      </c>
      <c r="BN118">
        <v>23218270</v>
      </c>
      <c r="BO118" t="s">
        <v>74</v>
      </c>
      <c r="BP118" t="s">
        <v>74</v>
      </c>
      <c r="BQ118" t="s">
        <v>74</v>
      </c>
      <c r="BR118" t="s">
        <v>105</v>
      </c>
      <c r="BS118" t="s">
        <v>2453</v>
      </c>
      <c r="BT118" t="str">
        <f>HYPERLINK("https%3A%2F%2Fwww.webofscience.com%2Fwos%2Fwoscc%2Ffull-record%2FWOS:000313146900013","View Full Record in Web of Science")</f>
        <v>View Full Record in Web of Science</v>
      </c>
    </row>
    <row r="119" spans="1:72" x14ac:dyDescent="0.15">
      <c r="A119" t="s">
        <v>72</v>
      </c>
      <c r="B119" t="s">
        <v>2454</v>
      </c>
      <c r="C119" t="s">
        <v>74</v>
      </c>
      <c r="D119" t="s">
        <v>74</v>
      </c>
      <c r="E119" t="s">
        <v>74</v>
      </c>
      <c r="F119" t="s">
        <v>2455</v>
      </c>
      <c r="G119" t="s">
        <v>74</v>
      </c>
      <c r="H119" t="s">
        <v>74</v>
      </c>
      <c r="I119" t="s">
        <v>2456</v>
      </c>
      <c r="J119" t="s">
        <v>2457</v>
      </c>
      <c r="K119" t="s">
        <v>74</v>
      </c>
      <c r="L119" t="s">
        <v>74</v>
      </c>
      <c r="M119" t="s">
        <v>78</v>
      </c>
      <c r="N119" t="s">
        <v>79</v>
      </c>
      <c r="O119" t="s">
        <v>74</v>
      </c>
      <c r="P119" t="s">
        <v>74</v>
      </c>
      <c r="Q119" t="s">
        <v>74</v>
      </c>
      <c r="R119" t="s">
        <v>74</v>
      </c>
      <c r="S119" t="s">
        <v>74</v>
      </c>
      <c r="T119" t="s">
        <v>2458</v>
      </c>
      <c r="U119" t="s">
        <v>2459</v>
      </c>
      <c r="V119" t="s">
        <v>2460</v>
      </c>
      <c r="W119" t="s">
        <v>2461</v>
      </c>
      <c r="X119" t="s">
        <v>2462</v>
      </c>
      <c r="Y119" t="s">
        <v>2463</v>
      </c>
      <c r="Z119" t="s">
        <v>2464</v>
      </c>
      <c r="AA119" t="s">
        <v>2465</v>
      </c>
      <c r="AB119" t="s">
        <v>2466</v>
      </c>
      <c r="AC119" t="s">
        <v>2467</v>
      </c>
      <c r="AD119" t="s">
        <v>2468</v>
      </c>
      <c r="AE119" t="s">
        <v>2469</v>
      </c>
      <c r="AF119" t="s">
        <v>74</v>
      </c>
      <c r="AG119">
        <v>52</v>
      </c>
      <c r="AH119">
        <v>208</v>
      </c>
      <c r="AI119">
        <v>222</v>
      </c>
      <c r="AJ119">
        <v>11</v>
      </c>
      <c r="AK119">
        <v>260</v>
      </c>
      <c r="AL119" t="s">
        <v>2470</v>
      </c>
      <c r="AM119" t="s">
        <v>786</v>
      </c>
      <c r="AN119" t="s">
        <v>2471</v>
      </c>
      <c r="AO119" t="s">
        <v>2472</v>
      </c>
      <c r="AP119" t="s">
        <v>74</v>
      </c>
      <c r="AQ119" t="s">
        <v>74</v>
      </c>
      <c r="AR119" t="s">
        <v>2473</v>
      </c>
      <c r="AS119" t="s">
        <v>2474</v>
      </c>
      <c r="AT119" t="s">
        <v>2475</v>
      </c>
      <c r="AU119">
        <v>2013</v>
      </c>
      <c r="AV119">
        <v>110</v>
      </c>
      <c r="AW119">
        <v>5</v>
      </c>
      <c r="AX119" t="s">
        <v>74</v>
      </c>
      <c r="AY119" t="s">
        <v>74</v>
      </c>
      <c r="AZ119" t="s">
        <v>74</v>
      </c>
      <c r="BA119" t="s">
        <v>74</v>
      </c>
      <c r="BB119">
        <v>1617</v>
      </c>
      <c r="BC119">
        <v>1622</v>
      </c>
      <c r="BD119" t="s">
        <v>74</v>
      </c>
      <c r="BE119" t="s">
        <v>2476</v>
      </c>
      <c r="BF119" t="str">
        <f>HYPERLINK("http://dx.doi.org/10.1073/pnas.1214911110","http://dx.doi.org/10.1073/pnas.1214911110")</f>
        <v>http://dx.doi.org/10.1073/pnas.1214911110</v>
      </c>
      <c r="BG119" t="s">
        <v>74</v>
      </c>
      <c r="BH119" t="s">
        <v>74</v>
      </c>
      <c r="BI119">
        <v>6</v>
      </c>
      <c r="BJ119" t="s">
        <v>328</v>
      </c>
      <c r="BK119" t="s">
        <v>102</v>
      </c>
      <c r="BL119" t="s">
        <v>329</v>
      </c>
      <c r="BM119" t="s">
        <v>2477</v>
      </c>
      <c r="BN119">
        <v>23277543</v>
      </c>
      <c r="BO119" t="s">
        <v>2097</v>
      </c>
      <c r="BP119" t="s">
        <v>74</v>
      </c>
      <c r="BQ119" t="s">
        <v>74</v>
      </c>
      <c r="BR119" t="s">
        <v>105</v>
      </c>
      <c r="BS119" t="s">
        <v>2478</v>
      </c>
      <c r="BT119" t="str">
        <f>HYPERLINK("https%3A%2F%2Fwww.webofscience.com%2Fwos%2Fwoscc%2Ffull-record%2FWOS:000314558100017","View Full Record in Web of Science")</f>
        <v>View Full Record in Web of Science</v>
      </c>
    </row>
    <row r="120" spans="1:72" x14ac:dyDescent="0.15">
      <c r="A120" t="s">
        <v>72</v>
      </c>
      <c r="B120" t="s">
        <v>2479</v>
      </c>
      <c r="C120" t="s">
        <v>74</v>
      </c>
      <c r="D120" t="s">
        <v>74</v>
      </c>
      <c r="E120" t="s">
        <v>74</v>
      </c>
      <c r="F120" t="s">
        <v>2480</v>
      </c>
      <c r="G120" t="s">
        <v>74</v>
      </c>
      <c r="H120" t="s">
        <v>74</v>
      </c>
      <c r="I120" t="s">
        <v>2481</v>
      </c>
      <c r="J120" t="s">
        <v>2482</v>
      </c>
      <c r="K120" t="s">
        <v>74</v>
      </c>
      <c r="L120" t="s">
        <v>74</v>
      </c>
      <c r="M120" t="s">
        <v>78</v>
      </c>
      <c r="N120" t="s">
        <v>79</v>
      </c>
      <c r="O120" t="s">
        <v>74</v>
      </c>
      <c r="P120" t="s">
        <v>74</v>
      </c>
      <c r="Q120" t="s">
        <v>74</v>
      </c>
      <c r="R120" t="s">
        <v>74</v>
      </c>
      <c r="S120" t="s">
        <v>74</v>
      </c>
      <c r="T120" t="s">
        <v>74</v>
      </c>
      <c r="U120" t="s">
        <v>2483</v>
      </c>
      <c r="V120" t="s">
        <v>2484</v>
      </c>
      <c r="W120" t="s">
        <v>2485</v>
      </c>
      <c r="X120" t="s">
        <v>2486</v>
      </c>
      <c r="Y120" t="s">
        <v>2487</v>
      </c>
      <c r="Z120" t="s">
        <v>2488</v>
      </c>
      <c r="AA120" t="s">
        <v>2489</v>
      </c>
      <c r="AB120" t="s">
        <v>2490</v>
      </c>
      <c r="AC120" t="s">
        <v>2491</v>
      </c>
      <c r="AD120" t="s">
        <v>2492</v>
      </c>
      <c r="AE120" t="s">
        <v>2493</v>
      </c>
      <c r="AF120" t="s">
        <v>74</v>
      </c>
      <c r="AG120">
        <v>27</v>
      </c>
      <c r="AH120">
        <v>61</v>
      </c>
      <c r="AI120">
        <v>65</v>
      </c>
      <c r="AJ120">
        <v>0</v>
      </c>
      <c r="AK120">
        <v>10</v>
      </c>
      <c r="AL120" t="s">
        <v>2494</v>
      </c>
      <c r="AM120" t="s">
        <v>786</v>
      </c>
      <c r="AN120" t="s">
        <v>2495</v>
      </c>
      <c r="AO120" t="s">
        <v>2496</v>
      </c>
      <c r="AP120" t="s">
        <v>2497</v>
      </c>
      <c r="AQ120" t="s">
        <v>74</v>
      </c>
      <c r="AR120" t="s">
        <v>2498</v>
      </c>
      <c r="AS120" t="s">
        <v>2499</v>
      </c>
      <c r="AT120" t="s">
        <v>2500</v>
      </c>
      <c r="AU120">
        <v>2013</v>
      </c>
      <c r="AV120">
        <v>40</v>
      </c>
      <c r="AW120">
        <v>2</v>
      </c>
      <c r="AX120" t="s">
        <v>74</v>
      </c>
      <c r="AY120" t="s">
        <v>74</v>
      </c>
      <c r="AZ120" t="s">
        <v>74</v>
      </c>
      <c r="BA120" t="s">
        <v>74</v>
      </c>
      <c r="BB120">
        <v>279</v>
      </c>
      <c r="BC120">
        <v>284</v>
      </c>
      <c r="BD120" t="s">
        <v>74</v>
      </c>
      <c r="BE120" t="s">
        <v>2501</v>
      </c>
      <c r="BF120" t="str">
        <f>HYPERLINK("http://dx.doi.org/10.1029/2012GL054181","http://dx.doi.org/10.1029/2012GL054181")</f>
        <v>http://dx.doi.org/10.1029/2012GL054181</v>
      </c>
      <c r="BG120" t="s">
        <v>74</v>
      </c>
      <c r="BH120" t="s">
        <v>74</v>
      </c>
      <c r="BI120">
        <v>6</v>
      </c>
      <c r="BJ120" t="s">
        <v>1604</v>
      </c>
      <c r="BK120" t="s">
        <v>102</v>
      </c>
      <c r="BL120" t="s">
        <v>1605</v>
      </c>
      <c r="BM120" t="s">
        <v>2502</v>
      </c>
      <c r="BN120" t="s">
        <v>74</v>
      </c>
      <c r="BO120" t="s">
        <v>2503</v>
      </c>
      <c r="BP120" t="s">
        <v>74</v>
      </c>
      <c r="BQ120" t="s">
        <v>74</v>
      </c>
      <c r="BR120" t="s">
        <v>105</v>
      </c>
      <c r="BS120" t="s">
        <v>2504</v>
      </c>
      <c r="BT120" t="str">
        <f>HYPERLINK("https%3A%2F%2Fwww.webofscience.com%2Fwos%2Fwoscc%2Ffull-record%2FWOS:000317829300009","View Full Record in Web of Science")</f>
        <v>View Full Record in Web of Science</v>
      </c>
    </row>
    <row r="121" spans="1:72" x14ac:dyDescent="0.15">
      <c r="A121" t="s">
        <v>72</v>
      </c>
      <c r="B121" t="s">
        <v>2505</v>
      </c>
      <c r="C121" t="s">
        <v>74</v>
      </c>
      <c r="D121" t="s">
        <v>74</v>
      </c>
      <c r="E121" t="s">
        <v>74</v>
      </c>
      <c r="F121" t="s">
        <v>2506</v>
      </c>
      <c r="G121" t="s">
        <v>74</v>
      </c>
      <c r="H121" t="s">
        <v>74</v>
      </c>
      <c r="I121" t="s">
        <v>2507</v>
      </c>
      <c r="J121" t="s">
        <v>2482</v>
      </c>
      <c r="K121" t="s">
        <v>74</v>
      </c>
      <c r="L121" t="s">
        <v>74</v>
      </c>
      <c r="M121" t="s">
        <v>78</v>
      </c>
      <c r="N121" t="s">
        <v>79</v>
      </c>
      <c r="O121" t="s">
        <v>74</v>
      </c>
      <c r="P121" t="s">
        <v>74</v>
      </c>
      <c r="Q121" t="s">
        <v>74</v>
      </c>
      <c r="R121" t="s">
        <v>74</v>
      </c>
      <c r="S121" t="s">
        <v>74</v>
      </c>
      <c r="T121" t="s">
        <v>74</v>
      </c>
      <c r="U121" t="s">
        <v>2508</v>
      </c>
      <c r="V121" t="s">
        <v>2509</v>
      </c>
      <c r="W121" t="s">
        <v>2510</v>
      </c>
      <c r="X121" t="s">
        <v>2511</v>
      </c>
      <c r="Y121" t="s">
        <v>2512</v>
      </c>
      <c r="Z121" t="s">
        <v>2513</v>
      </c>
      <c r="AA121" t="s">
        <v>2514</v>
      </c>
      <c r="AB121" t="s">
        <v>2515</v>
      </c>
      <c r="AC121" t="s">
        <v>2516</v>
      </c>
      <c r="AD121" t="s">
        <v>1550</v>
      </c>
      <c r="AE121" t="s">
        <v>74</v>
      </c>
      <c r="AF121" t="s">
        <v>74</v>
      </c>
      <c r="AG121">
        <v>84</v>
      </c>
      <c r="AH121">
        <v>7</v>
      </c>
      <c r="AI121">
        <v>7</v>
      </c>
      <c r="AJ121">
        <v>0</v>
      </c>
      <c r="AK121">
        <v>16</v>
      </c>
      <c r="AL121" t="s">
        <v>2494</v>
      </c>
      <c r="AM121" t="s">
        <v>786</v>
      </c>
      <c r="AN121" t="s">
        <v>2495</v>
      </c>
      <c r="AO121" t="s">
        <v>2496</v>
      </c>
      <c r="AP121" t="s">
        <v>2497</v>
      </c>
      <c r="AQ121" t="s">
        <v>74</v>
      </c>
      <c r="AR121" t="s">
        <v>2498</v>
      </c>
      <c r="AS121" t="s">
        <v>2499</v>
      </c>
      <c r="AT121" t="s">
        <v>2500</v>
      </c>
      <c r="AU121">
        <v>2013</v>
      </c>
      <c r="AV121">
        <v>40</v>
      </c>
      <c r="AW121">
        <v>2</v>
      </c>
      <c r="AX121" t="s">
        <v>74</v>
      </c>
      <c r="AY121" t="s">
        <v>74</v>
      </c>
      <c r="AZ121" t="s">
        <v>74</v>
      </c>
      <c r="BA121" t="s">
        <v>74</v>
      </c>
      <c r="BB121">
        <v>402</v>
      </c>
      <c r="BC121">
        <v>410</v>
      </c>
      <c r="BD121" t="s">
        <v>74</v>
      </c>
      <c r="BE121" t="s">
        <v>2517</v>
      </c>
      <c r="BF121" t="str">
        <f>HYPERLINK("http://dx.doi.org/10.1002/grl.50103","http://dx.doi.org/10.1002/grl.50103")</f>
        <v>http://dx.doi.org/10.1002/grl.50103</v>
      </c>
      <c r="BG121" t="s">
        <v>74</v>
      </c>
      <c r="BH121" t="s">
        <v>74</v>
      </c>
      <c r="BI121">
        <v>9</v>
      </c>
      <c r="BJ121" t="s">
        <v>1604</v>
      </c>
      <c r="BK121" t="s">
        <v>102</v>
      </c>
      <c r="BL121" t="s">
        <v>1605</v>
      </c>
      <c r="BM121" t="s">
        <v>2502</v>
      </c>
      <c r="BN121" t="s">
        <v>74</v>
      </c>
      <c r="BO121" t="s">
        <v>196</v>
      </c>
      <c r="BP121" t="s">
        <v>74</v>
      </c>
      <c r="BQ121" t="s">
        <v>74</v>
      </c>
      <c r="BR121" t="s">
        <v>105</v>
      </c>
      <c r="BS121" t="s">
        <v>2518</v>
      </c>
      <c r="BT121" t="str">
        <f>HYPERLINK("https%3A%2F%2Fwww.webofscience.com%2Fwos%2Fwoscc%2Ffull-record%2FWOS:000317829300032","View Full Record in Web of Science")</f>
        <v>View Full Record in Web of Science</v>
      </c>
    </row>
    <row r="122" spans="1:72" x14ac:dyDescent="0.15">
      <c r="A122" t="s">
        <v>72</v>
      </c>
      <c r="B122" t="s">
        <v>2519</v>
      </c>
      <c r="C122" t="s">
        <v>74</v>
      </c>
      <c r="D122" t="s">
        <v>74</v>
      </c>
      <c r="E122" t="s">
        <v>74</v>
      </c>
      <c r="F122" t="s">
        <v>2520</v>
      </c>
      <c r="G122" t="s">
        <v>74</v>
      </c>
      <c r="H122" t="s">
        <v>74</v>
      </c>
      <c r="I122" t="s">
        <v>2521</v>
      </c>
      <c r="J122" t="s">
        <v>2522</v>
      </c>
      <c r="K122" t="s">
        <v>74</v>
      </c>
      <c r="L122" t="s">
        <v>74</v>
      </c>
      <c r="M122" t="s">
        <v>78</v>
      </c>
      <c r="N122" t="s">
        <v>79</v>
      </c>
      <c r="O122" t="s">
        <v>74</v>
      </c>
      <c r="P122" t="s">
        <v>74</v>
      </c>
      <c r="Q122" t="s">
        <v>74</v>
      </c>
      <c r="R122" t="s">
        <v>74</v>
      </c>
      <c r="S122" t="s">
        <v>74</v>
      </c>
      <c r="T122" t="s">
        <v>74</v>
      </c>
      <c r="U122" t="s">
        <v>2523</v>
      </c>
      <c r="V122" t="s">
        <v>2524</v>
      </c>
      <c r="W122" t="s">
        <v>2525</v>
      </c>
      <c r="X122" t="s">
        <v>2526</v>
      </c>
      <c r="Y122" t="s">
        <v>2527</v>
      </c>
      <c r="Z122" t="s">
        <v>2528</v>
      </c>
      <c r="AA122" t="s">
        <v>2529</v>
      </c>
      <c r="AB122" t="s">
        <v>2530</v>
      </c>
      <c r="AC122" t="s">
        <v>2531</v>
      </c>
      <c r="AD122" t="s">
        <v>2532</v>
      </c>
      <c r="AE122" t="s">
        <v>2533</v>
      </c>
      <c r="AF122" t="s">
        <v>74</v>
      </c>
      <c r="AG122">
        <v>71</v>
      </c>
      <c r="AH122">
        <v>28</v>
      </c>
      <c r="AI122">
        <v>36</v>
      </c>
      <c r="AJ122">
        <v>0</v>
      </c>
      <c r="AK122">
        <v>38</v>
      </c>
      <c r="AL122" t="s">
        <v>2494</v>
      </c>
      <c r="AM122" t="s">
        <v>786</v>
      </c>
      <c r="AN122" t="s">
        <v>2495</v>
      </c>
      <c r="AO122" t="s">
        <v>2534</v>
      </c>
      <c r="AP122" t="s">
        <v>2535</v>
      </c>
      <c r="AQ122" t="s">
        <v>74</v>
      </c>
      <c r="AR122" t="s">
        <v>2536</v>
      </c>
      <c r="AS122" t="s">
        <v>2537</v>
      </c>
      <c r="AT122" t="s">
        <v>2538</v>
      </c>
      <c r="AU122">
        <v>2013</v>
      </c>
      <c r="AV122">
        <v>118</v>
      </c>
      <c r="AW122">
        <v>2</v>
      </c>
      <c r="AX122" t="s">
        <v>74</v>
      </c>
      <c r="AY122" t="s">
        <v>74</v>
      </c>
      <c r="AZ122" t="s">
        <v>74</v>
      </c>
      <c r="BA122" t="s">
        <v>74</v>
      </c>
      <c r="BB122">
        <v>243</v>
      </c>
      <c r="BC122">
        <v>262</v>
      </c>
      <c r="BD122" t="s">
        <v>74</v>
      </c>
      <c r="BE122" t="s">
        <v>2539</v>
      </c>
      <c r="BF122" t="str">
        <f>HYPERLINK("http://dx.doi.org/10.1029/2012JD017804","http://dx.doi.org/10.1029/2012JD017804")</f>
        <v>http://dx.doi.org/10.1029/2012JD017804</v>
      </c>
      <c r="BG122" t="s">
        <v>74</v>
      </c>
      <c r="BH122" t="s">
        <v>74</v>
      </c>
      <c r="BI122">
        <v>20</v>
      </c>
      <c r="BJ122" t="s">
        <v>101</v>
      </c>
      <c r="BK122" t="s">
        <v>102</v>
      </c>
      <c r="BL122" t="s">
        <v>101</v>
      </c>
      <c r="BM122" t="s">
        <v>2540</v>
      </c>
      <c r="BN122" t="s">
        <v>74</v>
      </c>
      <c r="BO122" t="s">
        <v>2097</v>
      </c>
      <c r="BP122" t="s">
        <v>74</v>
      </c>
      <c r="BQ122" t="s">
        <v>74</v>
      </c>
      <c r="BR122" t="s">
        <v>105</v>
      </c>
      <c r="BS122" t="s">
        <v>2541</v>
      </c>
      <c r="BT122" t="str">
        <f>HYPERLINK("https%3A%2F%2Fwww.webofscience.com%2Fwos%2Fwoscc%2Ffull-record%2FWOS:000317838100001","View Full Record in Web of Science")</f>
        <v>View Full Record in Web of Science</v>
      </c>
    </row>
    <row r="123" spans="1:72" x14ac:dyDescent="0.15">
      <c r="A123" t="s">
        <v>72</v>
      </c>
      <c r="B123" t="s">
        <v>2542</v>
      </c>
      <c r="C123" t="s">
        <v>74</v>
      </c>
      <c r="D123" t="s">
        <v>74</v>
      </c>
      <c r="E123" t="s">
        <v>74</v>
      </c>
      <c r="F123" t="s">
        <v>2543</v>
      </c>
      <c r="G123" t="s">
        <v>74</v>
      </c>
      <c r="H123" t="s">
        <v>74</v>
      </c>
      <c r="I123" t="s">
        <v>2544</v>
      </c>
      <c r="J123" t="s">
        <v>2522</v>
      </c>
      <c r="K123" t="s">
        <v>74</v>
      </c>
      <c r="L123" t="s">
        <v>74</v>
      </c>
      <c r="M123" t="s">
        <v>78</v>
      </c>
      <c r="N123" t="s">
        <v>79</v>
      </c>
      <c r="O123" t="s">
        <v>74</v>
      </c>
      <c r="P123" t="s">
        <v>74</v>
      </c>
      <c r="Q123" t="s">
        <v>74</v>
      </c>
      <c r="R123" t="s">
        <v>74</v>
      </c>
      <c r="S123" t="s">
        <v>74</v>
      </c>
      <c r="T123" t="s">
        <v>74</v>
      </c>
      <c r="U123" t="s">
        <v>2545</v>
      </c>
      <c r="V123" t="s">
        <v>2546</v>
      </c>
      <c r="W123" t="s">
        <v>2547</v>
      </c>
      <c r="X123" t="s">
        <v>2548</v>
      </c>
      <c r="Y123" t="s">
        <v>2549</v>
      </c>
      <c r="Z123" t="s">
        <v>2550</v>
      </c>
      <c r="AA123" t="s">
        <v>2551</v>
      </c>
      <c r="AB123" t="s">
        <v>2552</v>
      </c>
      <c r="AC123" t="s">
        <v>2553</v>
      </c>
      <c r="AD123" t="s">
        <v>2554</v>
      </c>
      <c r="AE123" t="s">
        <v>2555</v>
      </c>
      <c r="AF123" t="s">
        <v>74</v>
      </c>
      <c r="AG123">
        <v>78</v>
      </c>
      <c r="AH123">
        <v>186</v>
      </c>
      <c r="AI123">
        <v>203</v>
      </c>
      <c r="AJ123">
        <v>4</v>
      </c>
      <c r="AK123">
        <v>48</v>
      </c>
      <c r="AL123" t="s">
        <v>2494</v>
      </c>
      <c r="AM123" t="s">
        <v>786</v>
      </c>
      <c r="AN123" t="s">
        <v>2495</v>
      </c>
      <c r="AO123" t="s">
        <v>2534</v>
      </c>
      <c r="AP123" t="s">
        <v>2535</v>
      </c>
      <c r="AQ123" t="s">
        <v>74</v>
      </c>
      <c r="AR123" t="s">
        <v>2536</v>
      </c>
      <c r="AS123" t="s">
        <v>2537</v>
      </c>
      <c r="AT123" t="s">
        <v>2538</v>
      </c>
      <c r="AU123">
        <v>2013</v>
      </c>
      <c r="AV123">
        <v>118</v>
      </c>
      <c r="AW123">
        <v>2</v>
      </c>
      <c r="AX123" t="s">
        <v>74</v>
      </c>
      <c r="AY123" t="s">
        <v>74</v>
      </c>
      <c r="AZ123" t="s">
        <v>74</v>
      </c>
      <c r="BA123" t="s">
        <v>74</v>
      </c>
      <c r="BB123">
        <v>416</v>
      </c>
      <c r="BC123">
        <v>434</v>
      </c>
      <c r="BD123" t="s">
        <v>74</v>
      </c>
      <c r="BE123" t="s">
        <v>2556</v>
      </c>
      <c r="BF123" t="str">
        <f>HYPERLINK("http://dx.doi.org/10.1029/2012JD018658","http://dx.doi.org/10.1029/2012JD018658")</f>
        <v>http://dx.doi.org/10.1029/2012JD018658</v>
      </c>
      <c r="BG123" t="s">
        <v>74</v>
      </c>
      <c r="BH123" t="s">
        <v>74</v>
      </c>
      <c r="BI123">
        <v>19</v>
      </c>
      <c r="BJ123" t="s">
        <v>101</v>
      </c>
      <c r="BK123" t="s">
        <v>102</v>
      </c>
      <c r="BL123" t="s">
        <v>101</v>
      </c>
      <c r="BM123" t="s">
        <v>2540</v>
      </c>
      <c r="BN123" t="s">
        <v>74</v>
      </c>
      <c r="BO123" t="s">
        <v>2097</v>
      </c>
      <c r="BP123" t="s">
        <v>74</v>
      </c>
      <c r="BQ123" t="s">
        <v>74</v>
      </c>
      <c r="BR123" t="s">
        <v>105</v>
      </c>
      <c r="BS123" t="s">
        <v>2557</v>
      </c>
      <c r="BT123" t="str">
        <f>HYPERLINK("https%3A%2F%2Fwww.webofscience.com%2Fwos%2Fwoscc%2Ffull-record%2FWOS:000317838100013","View Full Record in Web of Science")</f>
        <v>View Full Record in Web of Science</v>
      </c>
    </row>
    <row r="124" spans="1:72" x14ac:dyDescent="0.15">
      <c r="A124" t="s">
        <v>72</v>
      </c>
      <c r="B124" t="s">
        <v>2558</v>
      </c>
      <c r="C124" t="s">
        <v>74</v>
      </c>
      <c r="D124" t="s">
        <v>74</v>
      </c>
      <c r="E124" t="s">
        <v>74</v>
      </c>
      <c r="F124" t="s">
        <v>2559</v>
      </c>
      <c r="G124" t="s">
        <v>74</v>
      </c>
      <c r="H124" t="s">
        <v>74</v>
      </c>
      <c r="I124" t="s">
        <v>2560</v>
      </c>
      <c r="J124" t="s">
        <v>2522</v>
      </c>
      <c r="K124" t="s">
        <v>74</v>
      </c>
      <c r="L124" t="s">
        <v>74</v>
      </c>
      <c r="M124" t="s">
        <v>78</v>
      </c>
      <c r="N124" t="s">
        <v>79</v>
      </c>
      <c r="O124" t="s">
        <v>74</v>
      </c>
      <c r="P124" t="s">
        <v>74</v>
      </c>
      <c r="Q124" t="s">
        <v>74</v>
      </c>
      <c r="R124" t="s">
        <v>74</v>
      </c>
      <c r="S124" t="s">
        <v>74</v>
      </c>
      <c r="T124" t="s">
        <v>74</v>
      </c>
      <c r="U124" t="s">
        <v>2561</v>
      </c>
      <c r="V124" t="s">
        <v>2562</v>
      </c>
      <c r="W124" t="s">
        <v>2563</v>
      </c>
      <c r="X124" t="s">
        <v>2564</v>
      </c>
      <c r="Y124" t="s">
        <v>2565</v>
      </c>
      <c r="Z124" t="s">
        <v>2566</v>
      </c>
      <c r="AA124" t="s">
        <v>2195</v>
      </c>
      <c r="AB124" t="s">
        <v>74</v>
      </c>
      <c r="AC124" t="s">
        <v>2567</v>
      </c>
      <c r="AD124" t="s">
        <v>2568</v>
      </c>
      <c r="AE124" t="s">
        <v>2569</v>
      </c>
      <c r="AF124" t="s">
        <v>74</v>
      </c>
      <c r="AG124">
        <v>53</v>
      </c>
      <c r="AH124">
        <v>123</v>
      </c>
      <c r="AI124">
        <v>142</v>
      </c>
      <c r="AJ124">
        <v>2</v>
      </c>
      <c r="AK124">
        <v>28</v>
      </c>
      <c r="AL124" t="s">
        <v>2494</v>
      </c>
      <c r="AM124" t="s">
        <v>786</v>
      </c>
      <c r="AN124" t="s">
        <v>2495</v>
      </c>
      <c r="AO124" t="s">
        <v>2534</v>
      </c>
      <c r="AP124" t="s">
        <v>74</v>
      </c>
      <c r="AQ124" t="s">
        <v>74</v>
      </c>
      <c r="AR124" t="s">
        <v>2536</v>
      </c>
      <c r="AS124" t="s">
        <v>2537</v>
      </c>
      <c r="AT124" t="s">
        <v>2538</v>
      </c>
      <c r="AU124">
        <v>2013</v>
      </c>
      <c r="AV124">
        <v>118</v>
      </c>
      <c r="AW124">
        <v>2</v>
      </c>
      <c r="AX124" t="s">
        <v>74</v>
      </c>
      <c r="AY124" t="s">
        <v>74</v>
      </c>
      <c r="AZ124" t="s">
        <v>74</v>
      </c>
      <c r="BA124" t="s">
        <v>74</v>
      </c>
      <c r="BB124">
        <v>274</v>
      </c>
      <c r="BC124">
        <v>292</v>
      </c>
      <c r="BD124" t="s">
        <v>74</v>
      </c>
      <c r="BE124" t="s">
        <v>2570</v>
      </c>
      <c r="BF124" t="str">
        <f>HYPERLINK("http://dx.doi.org/10.1029/2012JD018139","http://dx.doi.org/10.1029/2012JD018139")</f>
        <v>http://dx.doi.org/10.1029/2012JD018139</v>
      </c>
      <c r="BG124" t="s">
        <v>74</v>
      </c>
      <c r="BH124" t="s">
        <v>74</v>
      </c>
      <c r="BI124">
        <v>19</v>
      </c>
      <c r="BJ124" t="s">
        <v>101</v>
      </c>
      <c r="BK124" t="s">
        <v>102</v>
      </c>
      <c r="BL124" t="s">
        <v>101</v>
      </c>
      <c r="BM124" t="s">
        <v>2540</v>
      </c>
      <c r="BN124" t="s">
        <v>74</v>
      </c>
      <c r="BO124" t="s">
        <v>429</v>
      </c>
      <c r="BP124" t="s">
        <v>74</v>
      </c>
      <c r="BQ124" t="s">
        <v>74</v>
      </c>
      <c r="BR124" t="s">
        <v>105</v>
      </c>
      <c r="BS124" t="s">
        <v>2571</v>
      </c>
      <c r="BT124" t="str">
        <f>HYPERLINK("https%3A%2F%2Fwww.webofscience.com%2Fwos%2Fwoscc%2Ffull-record%2FWOS:000317838100003","View Full Record in Web of Science")</f>
        <v>View Full Record in Web of Science</v>
      </c>
    </row>
    <row r="125" spans="1:72" x14ac:dyDescent="0.15">
      <c r="A125" t="s">
        <v>72</v>
      </c>
      <c r="B125" t="s">
        <v>2572</v>
      </c>
      <c r="C125" t="s">
        <v>74</v>
      </c>
      <c r="D125" t="s">
        <v>74</v>
      </c>
      <c r="E125" t="s">
        <v>74</v>
      </c>
      <c r="F125" t="s">
        <v>2573</v>
      </c>
      <c r="G125" t="s">
        <v>74</v>
      </c>
      <c r="H125" t="s">
        <v>74</v>
      </c>
      <c r="I125" t="s">
        <v>2574</v>
      </c>
      <c r="J125" t="s">
        <v>2522</v>
      </c>
      <c r="K125" t="s">
        <v>74</v>
      </c>
      <c r="L125" t="s">
        <v>74</v>
      </c>
      <c r="M125" t="s">
        <v>78</v>
      </c>
      <c r="N125" t="s">
        <v>79</v>
      </c>
      <c r="O125" t="s">
        <v>74</v>
      </c>
      <c r="P125" t="s">
        <v>74</v>
      </c>
      <c r="Q125" t="s">
        <v>74</v>
      </c>
      <c r="R125" t="s">
        <v>74</v>
      </c>
      <c r="S125" t="s">
        <v>74</v>
      </c>
      <c r="T125" t="s">
        <v>74</v>
      </c>
      <c r="U125" t="s">
        <v>2575</v>
      </c>
      <c r="V125" t="s">
        <v>2576</v>
      </c>
      <c r="W125" t="s">
        <v>2577</v>
      </c>
      <c r="X125" t="s">
        <v>2578</v>
      </c>
      <c r="Y125" t="s">
        <v>2579</v>
      </c>
      <c r="Z125" t="s">
        <v>2580</v>
      </c>
      <c r="AA125" t="s">
        <v>2581</v>
      </c>
      <c r="AB125" t="s">
        <v>2582</v>
      </c>
      <c r="AC125" t="s">
        <v>2583</v>
      </c>
      <c r="AD125" t="s">
        <v>2584</v>
      </c>
      <c r="AE125" t="s">
        <v>2585</v>
      </c>
      <c r="AF125" t="s">
        <v>74</v>
      </c>
      <c r="AG125">
        <v>61</v>
      </c>
      <c r="AH125">
        <v>160</v>
      </c>
      <c r="AI125">
        <v>172</v>
      </c>
      <c r="AJ125">
        <v>0</v>
      </c>
      <c r="AK125">
        <v>56</v>
      </c>
      <c r="AL125" t="s">
        <v>2494</v>
      </c>
      <c r="AM125" t="s">
        <v>786</v>
      </c>
      <c r="AN125" t="s">
        <v>2495</v>
      </c>
      <c r="AO125" t="s">
        <v>2534</v>
      </c>
      <c r="AP125" t="s">
        <v>2535</v>
      </c>
      <c r="AQ125" t="s">
        <v>74</v>
      </c>
      <c r="AR125" t="s">
        <v>2536</v>
      </c>
      <c r="AS125" t="s">
        <v>2537</v>
      </c>
      <c r="AT125" t="s">
        <v>2538</v>
      </c>
      <c r="AU125">
        <v>2013</v>
      </c>
      <c r="AV125">
        <v>118</v>
      </c>
      <c r="AW125">
        <v>2</v>
      </c>
      <c r="AX125" t="s">
        <v>74</v>
      </c>
      <c r="AY125" t="s">
        <v>74</v>
      </c>
      <c r="AZ125" t="s">
        <v>74</v>
      </c>
      <c r="BA125" t="s">
        <v>74</v>
      </c>
      <c r="BB125">
        <v>547</v>
      </c>
      <c r="BC125">
        <v>562</v>
      </c>
      <c r="BD125" t="s">
        <v>74</v>
      </c>
      <c r="BE125" t="s">
        <v>2586</v>
      </c>
      <c r="BF125" t="str">
        <f>HYPERLINK("http://dx.doi.org/10.1002/jgrd.50153","http://dx.doi.org/10.1002/jgrd.50153")</f>
        <v>http://dx.doi.org/10.1002/jgrd.50153</v>
      </c>
      <c r="BG125" t="s">
        <v>74</v>
      </c>
      <c r="BH125" t="s">
        <v>74</v>
      </c>
      <c r="BI125">
        <v>16</v>
      </c>
      <c r="BJ125" t="s">
        <v>101</v>
      </c>
      <c r="BK125" t="s">
        <v>102</v>
      </c>
      <c r="BL125" t="s">
        <v>101</v>
      </c>
      <c r="BM125" t="s">
        <v>2540</v>
      </c>
      <c r="BN125" t="s">
        <v>74</v>
      </c>
      <c r="BO125" t="s">
        <v>2587</v>
      </c>
      <c r="BP125" t="s">
        <v>74</v>
      </c>
      <c r="BQ125" t="s">
        <v>74</v>
      </c>
      <c r="BR125" t="s">
        <v>105</v>
      </c>
      <c r="BS125" t="s">
        <v>2588</v>
      </c>
      <c r="BT125" t="str">
        <f>HYPERLINK("https%3A%2F%2Fwww.webofscience.com%2Fwos%2Fwoscc%2Ffull-record%2FWOS:000317838100022","View Full Record in Web of Science")</f>
        <v>View Full Record in Web of Science</v>
      </c>
    </row>
    <row r="126" spans="1:72" x14ac:dyDescent="0.15">
      <c r="A126" t="s">
        <v>72</v>
      </c>
      <c r="B126" t="s">
        <v>2589</v>
      </c>
      <c r="C126" t="s">
        <v>74</v>
      </c>
      <c r="D126" t="s">
        <v>74</v>
      </c>
      <c r="E126" t="s">
        <v>74</v>
      </c>
      <c r="F126" t="s">
        <v>2590</v>
      </c>
      <c r="G126" t="s">
        <v>74</v>
      </c>
      <c r="H126" t="s">
        <v>74</v>
      </c>
      <c r="I126" t="s">
        <v>2591</v>
      </c>
      <c r="J126" t="s">
        <v>2522</v>
      </c>
      <c r="K126" t="s">
        <v>74</v>
      </c>
      <c r="L126" t="s">
        <v>74</v>
      </c>
      <c r="M126" t="s">
        <v>78</v>
      </c>
      <c r="N126" t="s">
        <v>79</v>
      </c>
      <c r="O126" t="s">
        <v>74</v>
      </c>
      <c r="P126" t="s">
        <v>74</v>
      </c>
      <c r="Q126" t="s">
        <v>74</v>
      </c>
      <c r="R126" t="s">
        <v>74</v>
      </c>
      <c r="S126" t="s">
        <v>74</v>
      </c>
      <c r="T126" t="s">
        <v>74</v>
      </c>
      <c r="U126" t="s">
        <v>2592</v>
      </c>
      <c r="V126" t="s">
        <v>2593</v>
      </c>
      <c r="W126" t="s">
        <v>2594</v>
      </c>
      <c r="X126" t="s">
        <v>2595</v>
      </c>
      <c r="Y126" t="s">
        <v>2596</v>
      </c>
      <c r="Z126" t="s">
        <v>2597</v>
      </c>
      <c r="AA126" t="s">
        <v>2598</v>
      </c>
      <c r="AB126" t="s">
        <v>2599</v>
      </c>
      <c r="AC126" t="s">
        <v>2600</v>
      </c>
      <c r="AD126" t="s">
        <v>2601</v>
      </c>
      <c r="AE126" t="s">
        <v>2602</v>
      </c>
      <c r="AF126" t="s">
        <v>74</v>
      </c>
      <c r="AG126">
        <v>52</v>
      </c>
      <c r="AH126">
        <v>25</v>
      </c>
      <c r="AI126">
        <v>27</v>
      </c>
      <c r="AJ126">
        <v>0</v>
      </c>
      <c r="AK126">
        <v>40</v>
      </c>
      <c r="AL126" t="s">
        <v>2494</v>
      </c>
      <c r="AM126" t="s">
        <v>786</v>
      </c>
      <c r="AN126" t="s">
        <v>2495</v>
      </c>
      <c r="AO126" t="s">
        <v>2534</v>
      </c>
      <c r="AP126" t="s">
        <v>2535</v>
      </c>
      <c r="AQ126" t="s">
        <v>74</v>
      </c>
      <c r="AR126" t="s">
        <v>2536</v>
      </c>
      <c r="AS126" t="s">
        <v>2537</v>
      </c>
      <c r="AT126" t="s">
        <v>2538</v>
      </c>
      <c r="AU126">
        <v>2013</v>
      </c>
      <c r="AV126">
        <v>118</v>
      </c>
      <c r="AW126">
        <v>2</v>
      </c>
      <c r="AX126" t="s">
        <v>74</v>
      </c>
      <c r="AY126" t="s">
        <v>74</v>
      </c>
      <c r="AZ126" t="s">
        <v>74</v>
      </c>
      <c r="BA126" t="s">
        <v>74</v>
      </c>
      <c r="BB126">
        <v>605</v>
      </c>
      <c r="BC126">
        <v>613</v>
      </c>
      <c r="BD126" t="s">
        <v>74</v>
      </c>
      <c r="BE126" t="s">
        <v>2603</v>
      </c>
      <c r="BF126" t="str">
        <f>HYPERLINK("http://dx.doi.org/10.1002/jgrd.50126","http://dx.doi.org/10.1002/jgrd.50126")</f>
        <v>http://dx.doi.org/10.1002/jgrd.50126</v>
      </c>
      <c r="BG126" t="s">
        <v>74</v>
      </c>
      <c r="BH126" t="s">
        <v>74</v>
      </c>
      <c r="BI126">
        <v>9</v>
      </c>
      <c r="BJ126" t="s">
        <v>101</v>
      </c>
      <c r="BK126" t="s">
        <v>102</v>
      </c>
      <c r="BL126" t="s">
        <v>101</v>
      </c>
      <c r="BM126" t="s">
        <v>2540</v>
      </c>
      <c r="BN126" t="s">
        <v>74</v>
      </c>
      <c r="BO126" t="s">
        <v>196</v>
      </c>
      <c r="BP126" t="s">
        <v>74</v>
      </c>
      <c r="BQ126" t="s">
        <v>74</v>
      </c>
      <c r="BR126" t="s">
        <v>105</v>
      </c>
      <c r="BS126" t="s">
        <v>2604</v>
      </c>
      <c r="BT126" t="str">
        <f>HYPERLINK("https%3A%2F%2Fwww.webofscience.com%2Fwos%2Fwoscc%2Ffull-record%2FWOS:000317838100026","View Full Record in Web of Science")</f>
        <v>View Full Record in Web of Science</v>
      </c>
    </row>
    <row r="127" spans="1:72" x14ac:dyDescent="0.15">
      <c r="A127" t="s">
        <v>72</v>
      </c>
      <c r="B127" t="s">
        <v>2605</v>
      </c>
      <c r="C127" t="s">
        <v>74</v>
      </c>
      <c r="D127" t="s">
        <v>74</v>
      </c>
      <c r="E127" t="s">
        <v>74</v>
      </c>
      <c r="F127" t="s">
        <v>2606</v>
      </c>
      <c r="G127" t="s">
        <v>74</v>
      </c>
      <c r="H127" t="s">
        <v>74</v>
      </c>
      <c r="I127" t="s">
        <v>2607</v>
      </c>
      <c r="J127" t="s">
        <v>2608</v>
      </c>
      <c r="K127" t="s">
        <v>74</v>
      </c>
      <c r="L127" t="s">
        <v>74</v>
      </c>
      <c r="M127" t="s">
        <v>78</v>
      </c>
      <c r="N127" t="s">
        <v>79</v>
      </c>
      <c r="O127" t="s">
        <v>74</v>
      </c>
      <c r="P127" t="s">
        <v>74</v>
      </c>
      <c r="Q127" t="s">
        <v>74</v>
      </c>
      <c r="R127" t="s">
        <v>74</v>
      </c>
      <c r="S127" t="s">
        <v>74</v>
      </c>
      <c r="T127" t="s">
        <v>2609</v>
      </c>
      <c r="U127" t="s">
        <v>2610</v>
      </c>
      <c r="V127" t="s">
        <v>2611</v>
      </c>
      <c r="W127" t="s">
        <v>2612</v>
      </c>
      <c r="X127" t="s">
        <v>2613</v>
      </c>
      <c r="Y127" t="s">
        <v>2614</v>
      </c>
      <c r="Z127" t="s">
        <v>2615</v>
      </c>
      <c r="AA127" t="s">
        <v>2616</v>
      </c>
      <c r="AB127" t="s">
        <v>74</v>
      </c>
      <c r="AC127" t="s">
        <v>2617</v>
      </c>
      <c r="AD127" t="s">
        <v>2618</v>
      </c>
      <c r="AE127" t="s">
        <v>2619</v>
      </c>
      <c r="AF127" t="s">
        <v>74</v>
      </c>
      <c r="AG127">
        <v>101</v>
      </c>
      <c r="AH127">
        <v>32</v>
      </c>
      <c r="AI127">
        <v>38</v>
      </c>
      <c r="AJ127">
        <v>0</v>
      </c>
      <c r="AK127">
        <v>68</v>
      </c>
      <c r="AL127" t="s">
        <v>2620</v>
      </c>
      <c r="AM127" t="s">
        <v>474</v>
      </c>
      <c r="AN127" t="s">
        <v>2621</v>
      </c>
      <c r="AO127" t="s">
        <v>2622</v>
      </c>
      <c r="AP127" t="s">
        <v>74</v>
      </c>
      <c r="AQ127" t="s">
        <v>74</v>
      </c>
      <c r="AR127" t="s">
        <v>2623</v>
      </c>
      <c r="AS127" t="s">
        <v>2624</v>
      </c>
      <c r="AT127" t="s">
        <v>2625</v>
      </c>
      <c r="AU127">
        <v>2013</v>
      </c>
      <c r="AV127">
        <v>13</v>
      </c>
      <c r="AW127" t="s">
        <v>74</v>
      </c>
      <c r="AX127" t="s">
        <v>74</v>
      </c>
      <c r="AY127" t="s">
        <v>74</v>
      </c>
      <c r="AZ127" t="s">
        <v>74</v>
      </c>
      <c r="BA127" t="s">
        <v>74</v>
      </c>
      <c r="BB127" t="s">
        <v>74</v>
      </c>
      <c r="BC127" t="s">
        <v>74</v>
      </c>
      <c r="BD127">
        <v>21</v>
      </c>
      <c r="BE127" t="s">
        <v>2626</v>
      </c>
      <c r="BF127" t="str">
        <f>HYPERLINK("http://dx.doi.org/10.1186/1471-2148-13-21","http://dx.doi.org/10.1186/1471-2148-13-21")</f>
        <v>http://dx.doi.org/10.1186/1471-2148-13-21</v>
      </c>
      <c r="BG127" t="s">
        <v>74</v>
      </c>
      <c r="BH127" t="s">
        <v>74</v>
      </c>
      <c r="BI127">
        <v>18</v>
      </c>
      <c r="BJ127" t="s">
        <v>2627</v>
      </c>
      <c r="BK127" t="s">
        <v>102</v>
      </c>
      <c r="BL127" t="s">
        <v>2627</v>
      </c>
      <c r="BM127" t="s">
        <v>2628</v>
      </c>
      <c r="BN127">
        <v>23347448</v>
      </c>
      <c r="BO127" t="s">
        <v>2629</v>
      </c>
      <c r="BP127" t="s">
        <v>74</v>
      </c>
      <c r="BQ127" t="s">
        <v>74</v>
      </c>
      <c r="BR127" t="s">
        <v>105</v>
      </c>
      <c r="BS127" t="s">
        <v>2630</v>
      </c>
      <c r="BT127" t="str">
        <f>HYPERLINK("https%3A%2F%2Fwww.webofscience.com%2Fwos%2Fwoscc%2Ffull-record%2FWOS:000314811100001","View Full Record in Web of Science")</f>
        <v>View Full Record in Web of Science</v>
      </c>
    </row>
    <row r="128" spans="1:72" x14ac:dyDescent="0.15">
      <c r="A128" t="s">
        <v>72</v>
      </c>
      <c r="B128" t="s">
        <v>2631</v>
      </c>
      <c r="C128" t="s">
        <v>74</v>
      </c>
      <c r="D128" t="s">
        <v>74</v>
      </c>
      <c r="E128" t="s">
        <v>74</v>
      </c>
      <c r="F128" t="s">
        <v>2632</v>
      </c>
      <c r="G128" t="s">
        <v>74</v>
      </c>
      <c r="H128" t="s">
        <v>74</v>
      </c>
      <c r="I128" t="s">
        <v>2633</v>
      </c>
      <c r="J128" t="s">
        <v>2634</v>
      </c>
      <c r="K128" t="s">
        <v>74</v>
      </c>
      <c r="L128" t="s">
        <v>74</v>
      </c>
      <c r="M128" t="s">
        <v>78</v>
      </c>
      <c r="N128" t="s">
        <v>79</v>
      </c>
      <c r="O128" t="s">
        <v>74</v>
      </c>
      <c r="P128" t="s">
        <v>74</v>
      </c>
      <c r="Q128" t="s">
        <v>74</v>
      </c>
      <c r="R128" t="s">
        <v>74</v>
      </c>
      <c r="S128" t="s">
        <v>74</v>
      </c>
      <c r="T128" t="s">
        <v>2635</v>
      </c>
      <c r="U128" t="s">
        <v>2636</v>
      </c>
      <c r="V128" t="s">
        <v>2637</v>
      </c>
      <c r="W128" t="s">
        <v>2638</v>
      </c>
      <c r="X128" t="s">
        <v>2639</v>
      </c>
      <c r="Y128" t="s">
        <v>2640</v>
      </c>
      <c r="Z128" t="s">
        <v>2641</v>
      </c>
      <c r="AA128" t="s">
        <v>2642</v>
      </c>
      <c r="AB128" t="s">
        <v>2643</v>
      </c>
      <c r="AC128" t="s">
        <v>2644</v>
      </c>
      <c r="AD128" t="s">
        <v>2645</v>
      </c>
      <c r="AE128" t="s">
        <v>2646</v>
      </c>
      <c r="AF128" t="s">
        <v>74</v>
      </c>
      <c r="AG128">
        <v>46</v>
      </c>
      <c r="AH128">
        <v>22</v>
      </c>
      <c r="AI128">
        <v>25</v>
      </c>
      <c r="AJ128">
        <v>1</v>
      </c>
      <c r="AK128">
        <v>46</v>
      </c>
      <c r="AL128" t="s">
        <v>2620</v>
      </c>
      <c r="AM128" t="s">
        <v>474</v>
      </c>
      <c r="AN128" t="s">
        <v>2621</v>
      </c>
      <c r="AO128" t="s">
        <v>2647</v>
      </c>
      <c r="AP128" t="s">
        <v>74</v>
      </c>
      <c r="AQ128" t="s">
        <v>74</v>
      </c>
      <c r="AR128" t="s">
        <v>2634</v>
      </c>
      <c r="AS128" t="s">
        <v>2648</v>
      </c>
      <c r="AT128" t="s">
        <v>2625</v>
      </c>
      <c r="AU128">
        <v>2013</v>
      </c>
      <c r="AV128">
        <v>14</v>
      </c>
      <c r="AW128" t="s">
        <v>74</v>
      </c>
      <c r="AX128" t="s">
        <v>74</v>
      </c>
      <c r="AY128" t="s">
        <v>74</v>
      </c>
      <c r="AZ128" t="s">
        <v>74</v>
      </c>
      <c r="BA128" t="s">
        <v>74</v>
      </c>
      <c r="BB128" t="s">
        <v>74</v>
      </c>
      <c r="BC128" t="s">
        <v>74</v>
      </c>
      <c r="BD128">
        <v>52</v>
      </c>
      <c r="BE128" t="s">
        <v>2649</v>
      </c>
      <c r="BF128" t="str">
        <f>HYPERLINK("http://dx.doi.org/10.1186/1471-2164-14-52","http://dx.doi.org/10.1186/1471-2164-14-52")</f>
        <v>http://dx.doi.org/10.1186/1471-2164-14-52</v>
      </c>
      <c r="BG128" t="s">
        <v>74</v>
      </c>
      <c r="BH128" t="s">
        <v>74</v>
      </c>
      <c r="BI128">
        <v>14</v>
      </c>
      <c r="BJ128" t="s">
        <v>2650</v>
      </c>
      <c r="BK128" t="s">
        <v>102</v>
      </c>
      <c r="BL128" t="s">
        <v>2650</v>
      </c>
      <c r="BM128" t="s">
        <v>2651</v>
      </c>
      <c r="BN128">
        <v>23347513</v>
      </c>
      <c r="BO128" t="s">
        <v>2652</v>
      </c>
      <c r="BP128" t="s">
        <v>74</v>
      </c>
      <c r="BQ128" t="s">
        <v>74</v>
      </c>
      <c r="BR128" t="s">
        <v>105</v>
      </c>
      <c r="BS128" t="s">
        <v>2653</v>
      </c>
      <c r="BT128" t="str">
        <f>HYPERLINK("https%3A%2F%2Fwww.webofscience.com%2Fwos%2Fwoscc%2Ffull-record%2FWOS:000314630800001","View Full Record in Web of Science")</f>
        <v>View Full Record in Web of Science</v>
      </c>
    </row>
    <row r="129" spans="1:72" x14ac:dyDescent="0.15">
      <c r="A129" t="s">
        <v>72</v>
      </c>
      <c r="B129" t="s">
        <v>2654</v>
      </c>
      <c r="C129" t="s">
        <v>74</v>
      </c>
      <c r="D129" t="s">
        <v>74</v>
      </c>
      <c r="E129" t="s">
        <v>74</v>
      </c>
      <c r="F129" t="s">
        <v>2655</v>
      </c>
      <c r="G129" t="s">
        <v>74</v>
      </c>
      <c r="H129" t="s">
        <v>2656</v>
      </c>
      <c r="I129" t="s">
        <v>2657</v>
      </c>
      <c r="J129" t="s">
        <v>2658</v>
      </c>
      <c r="K129" t="s">
        <v>74</v>
      </c>
      <c r="L129" t="s">
        <v>74</v>
      </c>
      <c r="M129" t="s">
        <v>78</v>
      </c>
      <c r="N129" t="s">
        <v>79</v>
      </c>
      <c r="O129" t="s">
        <v>74</v>
      </c>
      <c r="P129" t="s">
        <v>74</v>
      </c>
      <c r="Q129" t="s">
        <v>74</v>
      </c>
      <c r="R129" t="s">
        <v>74</v>
      </c>
      <c r="S129" t="s">
        <v>74</v>
      </c>
      <c r="T129" t="s">
        <v>74</v>
      </c>
      <c r="U129" t="s">
        <v>2659</v>
      </c>
      <c r="V129" t="s">
        <v>2660</v>
      </c>
      <c r="W129" t="s">
        <v>2661</v>
      </c>
      <c r="X129" t="s">
        <v>2662</v>
      </c>
      <c r="Y129" t="s">
        <v>2663</v>
      </c>
      <c r="Z129" t="s">
        <v>2664</v>
      </c>
      <c r="AA129" t="s">
        <v>2665</v>
      </c>
      <c r="AB129" t="s">
        <v>2666</v>
      </c>
      <c r="AC129" t="s">
        <v>2667</v>
      </c>
      <c r="AD129" t="s">
        <v>2668</v>
      </c>
      <c r="AE129" t="s">
        <v>2669</v>
      </c>
      <c r="AF129" t="s">
        <v>74</v>
      </c>
      <c r="AG129">
        <v>50</v>
      </c>
      <c r="AH129">
        <v>486</v>
      </c>
      <c r="AI129">
        <v>522</v>
      </c>
      <c r="AJ129">
        <v>9</v>
      </c>
      <c r="AK129">
        <v>595</v>
      </c>
      <c r="AL129" t="s">
        <v>2670</v>
      </c>
      <c r="AM129" t="s">
        <v>474</v>
      </c>
      <c r="AN129" t="s">
        <v>2671</v>
      </c>
      <c r="AO129" t="s">
        <v>2672</v>
      </c>
      <c r="AP129" t="s">
        <v>2673</v>
      </c>
      <c r="AQ129" t="s">
        <v>74</v>
      </c>
      <c r="AR129" t="s">
        <v>2658</v>
      </c>
      <c r="AS129" t="s">
        <v>2674</v>
      </c>
      <c r="AT129" t="s">
        <v>2625</v>
      </c>
      <c r="AU129">
        <v>2013</v>
      </c>
      <c r="AV129">
        <v>493</v>
      </c>
      <c r="AW129">
        <v>7433</v>
      </c>
      <c r="AX129" t="s">
        <v>74</v>
      </c>
      <c r="AY129" t="s">
        <v>74</v>
      </c>
      <c r="AZ129" t="s">
        <v>74</v>
      </c>
      <c r="BA129" t="s">
        <v>74</v>
      </c>
      <c r="BB129">
        <v>489</v>
      </c>
      <c r="BC129">
        <v>494</v>
      </c>
      <c r="BD129" t="s">
        <v>74</v>
      </c>
      <c r="BE129" t="s">
        <v>2675</v>
      </c>
      <c r="BF129" t="str">
        <f>HYPERLINK("http://dx.doi.org/10.1038/nature11789","http://dx.doi.org/10.1038/nature11789")</f>
        <v>http://dx.doi.org/10.1038/nature11789</v>
      </c>
      <c r="BG129" t="s">
        <v>74</v>
      </c>
      <c r="BH129" t="s">
        <v>74</v>
      </c>
      <c r="BI129">
        <v>6</v>
      </c>
      <c r="BJ129" t="s">
        <v>328</v>
      </c>
      <c r="BK129" t="s">
        <v>102</v>
      </c>
      <c r="BL129" t="s">
        <v>329</v>
      </c>
      <c r="BM129" t="s">
        <v>2676</v>
      </c>
      <c r="BN129">
        <v>23344358</v>
      </c>
      <c r="BO129" t="s">
        <v>1191</v>
      </c>
      <c r="BP129" t="s">
        <v>1779</v>
      </c>
      <c r="BQ129" t="s">
        <v>1780</v>
      </c>
      <c r="BR129" t="s">
        <v>105</v>
      </c>
      <c r="BS129" t="s">
        <v>2677</v>
      </c>
      <c r="BT129" t="str">
        <f>HYPERLINK("https%3A%2F%2Fwww.webofscience.com%2Fwos%2Fwoscc%2Ffull-record%2FWOS:000313871400029","View Full Record in Web of Science")</f>
        <v>View Full Record in Web of Science</v>
      </c>
    </row>
    <row r="130" spans="1:72" x14ac:dyDescent="0.15">
      <c r="A130" t="s">
        <v>72</v>
      </c>
      <c r="B130" t="s">
        <v>2678</v>
      </c>
      <c r="C130" t="s">
        <v>74</v>
      </c>
      <c r="D130" t="s">
        <v>74</v>
      </c>
      <c r="E130" t="s">
        <v>74</v>
      </c>
      <c r="F130" t="s">
        <v>2679</v>
      </c>
      <c r="G130" t="s">
        <v>74</v>
      </c>
      <c r="H130" t="s">
        <v>74</v>
      </c>
      <c r="I130" t="s">
        <v>2680</v>
      </c>
      <c r="J130" t="s">
        <v>2681</v>
      </c>
      <c r="K130" t="s">
        <v>74</v>
      </c>
      <c r="L130" t="s">
        <v>74</v>
      </c>
      <c r="M130" t="s">
        <v>78</v>
      </c>
      <c r="N130" t="s">
        <v>79</v>
      </c>
      <c r="O130" t="s">
        <v>74</v>
      </c>
      <c r="P130" t="s">
        <v>74</v>
      </c>
      <c r="Q130" t="s">
        <v>74</v>
      </c>
      <c r="R130" t="s">
        <v>74</v>
      </c>
      <c r="S130" t="s">
        <v>74</v>
      </c>
      <c r="T130" t="s">
        <v>2682</v>
      </c>
      <c r="U130" t="s">
        <v>2683</v>
      </c>
      <c r="V130" t="s">
        <v>2684</v>
      </c>
      <c r="W130" t="s">
        <v>2685</v>
      </c>
      <c r="X130" t="s">
        <v>2686</v>
      </c>
      <c r="Y130" t="s">
        <v>2687</v>
      </c>
      <c r="Z130" t="s">
        <v>2688</v>
      </c>
      <c r="AA130" t="s">
        <v>2689</v>
      </c>
      <c r="AB130" t="s">
        <v>2690</v>
      </c>
      <c r="AC130" t="s">
        <v>2691</v>
      </c>
      <c r="AD130" t="s">
        <v>2692</v>
      </c>
      <c r="AE130" t="s">
        <v>2693</v>
      </c>
      <c r="AF130" t="s">
        <v>74</v>
      </c>
      <c r="AG130">
        <v>59</v>
      </c>
      <c r="AH130">
        <v>20</v>
      </c>
      <c r="AI130">
        <v>21</v>
      </c>
      <c r="AJ130">
        <v>0</v>
      </c>
      <c r="AK130">
        <v>64</v>
      </c>
      <c r="AL130" t="s">
        <v>586</v>
      </c>
      <c r="AM130" t="s">
        <v>542</v>
      </c>
      <c r="AN130" t="s">
        <v>587</v>
      </c>
      <c r="AO130" t="s">
        <v>2694</v>
      </c>
      <c r="AP130" t="s">
        <v>2695</v>
      </c>
      <c r="AQ130" t="s">
        <v>74</v>
      </c>
      <c r="AR130" t="s">
        <v>2696</v>
      </c>
      <c r="AS130" t="s">
        <v>2697</v>
      </c>
      <c r="AT130" t="s">
        <v>2698</v>
      </c>
      <c r="AU130">
        <v>2013</v>
      </c>
      <c r="AV130">
        <v>148</v>
      </c>
      <c r="AW130" t="s">
        <v>74</v>
      </c>
      <c r="AX130" t="s">
        <v>74</v>
      </c>
      <c r="AY130" t="s">
        <v>74</v>
      </c>
      <c r="AZ130" t="s">
        <v>74</v>
      </c>
      <c r="BA130" t="s">
        <v>74</v>
      </c>
      <c r="BB130">
        <v>63</v>
      </c>
      <c r="BC130">
        <v>76</v>
      </c>
      <c r="BD130" t="s">
        <v>74</v>
      </c>
      <c r="BE130" t="s">
        <v>2699</v>
      </c>
      <c r="BF130" t="str">
        <f>HYPERLINK("http://dx.doi.org/10.1016/j.marchem.2012.10.005","http://dx.doi.org/10.1016/j.marchem.2012.10.005")</f>
        <v>http://dx.doi.org/10.1016/j.marchem.2012.10.005</v>
      </c>
      <c r="BG130" t="s">
        <v>74</v>
      </c>
      <c r="BH130" t="s">
        <v>74</v>
      </c>
      <c r="BI130">
        <v>14</v>
      </c>
      <c r="BJ130" t="s">
        <v>2700</v>
      </c>
      <c r="BK130" t="s">
        <v>102</v>
      </c>
      <c r="BL130" t="s">
        <v>2701</v>
      </c>
      <c r="BM130" t="s">
        <v>2702</v>
      </c>
      <c r="BN130" t="s">
        <v>74</v>
      </c>
      <c r="BO130" t="s">
        <v>74</v>
      </c>
      <c r="BP130" t="s">
        <v>74</v>
      </c>
      <c r="BQ130" t="s">
        <v>74</v>
      </c>
      <c r="BR130" t="s">
        <v>105</v>
      </c>
      <c r="BS130" t="s">
        <v>2703</v>
      </c>
      <c r="BT130" t="str">
        <f>HYPERLINK("https%3A%2F%2Fwww.webofscience.com%2Fwos%2Fwoscc%2Ffull-record%2FWOS:000314441600007","View Full Record in Web of Science")</f>
        <v>View Full Record in Web of Science</v>
      </c>
    </row>
    <row r="131" spans="1:72" x14ac:dyDescent="0.15">
      <c r="A131" t="s">
        <v>72</v>
      </c>
      <c r="B131" t="s">
        <v>2704</v>
      </c>
      <c r="C131" t="s">
        <v>74</v>
      </c>
      <c r="D131" t="s">
        <v>74</v>
      </c>
      <c r="E131" t="s">
        <v>74</v>
      </c>
      <c r="F131" t="s">
        <v>2705</v>
      </c>
      <c r="G131" t="s">
        <v>74</v>
      </c>
      <c r="H131" t="s">
        <v>74</v>
      </c>
      <c r="I131" t="s">
        <v>2706</v>
      </c>
      <c r="J131" t="s">
        <v>2707</v>
      </c>
      <c r="K131" t="s">
        <v>74</v>
      </c>
      <c r="L131" t="s">
        <v>74</v>
      </c>
      <c r="M131" t="s">
        <v>78</v>
      </c>
      <c r="N131" t="s">
        <v>79</v>
      </c>
      <c r="O131" t="s">
        <v>74</v>
      </c>
      <c r="P131" t="s">
        <v>74</v>
      </c>
      <c r="Q131" t="s">
        <v>74</v>
      </c>
      <c r="R131" t="s">
        <v>74</v>
      </c>
      <c r="S131" t="s">
        <v>74</v>
      </c>
      <c r="T131" t="s">
        <v>2708</v>
      </c>
      <c r="U131" t="s">
        <v>2709</v>
      </c>
      <c r="V131" t="s">
        <v>2710</v>
      </c>
      <c r="W131" t="s">
        <v>2711</v>
      </c>
      <c r="X131" t="s">
        <v>2712</v>
      </c>
      <c r="Y131" t="s">
        <v>2713</v>
      </c>
      <c r="Z131" t="s">
        <v>2714</v>
      </c>
      <c r="AA131" t="s">
        <v>2715</v>
      </c>
      <c r="AB131" t="s">
        <v>2716</v>
      </c>
      <c r="AC131" t="s">
        <v>2717</v>
      </c>
      <c r="AD131" t="s">
        <v>2718</v>
      </c>
      <c r="AE131" t="s">
        <v>2719</v>
      </c>
      <c r="AF131" t="s">
        <v>74</v>
      </c>
      <c r="AG131">
        <v>55</v>
      </c>
      <c r="AH131">
        <v>104</v>
      </c>
      <c r="AI131">
        <v>109</v>
      </c>
      <c r="AJ131">
        <v>0</v>
      </c>
      <c r="AK131">
        <v>82</v>
      </c>
      <c r="AL131" t="s">
        <v>473</v>
      </c>
      <c r="AM131" t="s">
        <v>474</v>
      </c>
      <c r="AN131" t="s">
        <v>475</v>
      </c>
      <c r="AO131" t="s">
        <v>2720</v>
      </c>
      <c r="AP131" t="s">
        <v>2721</v>
      </c>
      <c r="AQ131" t="s">
        <v>74</v>
      </c>
      <c r="AR131" t="s">
        <v>2722</v>
      </c>
      <c r="AS131" t="s">
        <v>2723</v>
      </c>
      <c r="AT131" t="s">
        <v>2698</v>
      </c>
      <c r="AU131">
        <v>2013</v>
      </c>
      <c r="AV131">
        <v>117</v>
      </c>
      <c r="AW131" t="s">
        <v>74</v>
      </c>
      <c r="AX131" t="s">
        <v>74</v>
      </c>
      <c r="AY131" t="s">
        <v>74</v>
      </c>
      <c r="AZ131" t="s">
        <v>74</v>
      </c>
      <c r="BA131" t="s">
        <v>74</v>
      </c>
      <c r="BB131">
        <v>94</v>
      </c>
      <c r="BC131">
        <v>106</v>
      </c>
      <c r="BD131" t="s">
        <v>74</v>
      </c>
      <c r="BE131" t="s">
        <v>2724</v>
      </c>
      <c r="BF131" t="str">
        <f>HYPERLINK("http://dx.doi.org/10.1016/j.ecss.2012.11.001","http://dx.doi.org/10.1016/j.ecss.2012.11.001")</f>
        <v>http://dx.doi.org/10.1016/j.ecss.2012.11.001</v>
      </c>
      <c r="BG131" t="s">
        <v>74</v>
      </c>
      <c r="BH131" t="s">
        <v>74</v>
      </c>
      <c r="BI131">
        <v>13</v>
      </c>
      <c r="BJ131" t="s">
        <v>2095</v>
      </c>
      <c r="BK131" t="s">
        <v>102</v>
      </c>
      <c r="BL131" t="s">
        <v>2095</v>
      </c>
      <c r="BM131" t="s">
        <v>2725</v>
      </c>
      <c r="BN131" t="s">
        <v>74</v>
      </c>
      <c r="BO131" t="s">
        <v>74</v>
      </c>
      <c r="BP131" t="s">
        <v>74</v>
      </c>
      <c r="BQ131" t="s">
        <v>74</v>
      </c>
      <c r="BR131" t="s">
        <v>105</v>
      </c>
      <c r="BS131" t="s">
        <v>2726</v>
      </c>
      <c r="BT131" t="str">
        <f>HYPERLINK("https%3A%2F%2Fwww.webofscience.com%2Fwos%2Fwoscc%2Ffull-record%2FWOS:000315323600010","View Full Record in Web of Science")</f>
        <v>View Full Record in Web of Science</v>
      </c>
    </row>
    <row r="132" spans="1:72" x14ac:dyDescent="0.15">
      <c r="A132" t="s">
        <v>72</v>
      </c>
      <c r="B132" t="s">
        <v>2727</v>
      </c>
      <c r="C132" t="s">
        <v>74</v>
      </c>
      <c r="D132" t="s">
        <v>74</v>
      </c>
      <c r="E132" t="s">
        <v>74</v>
      </c>
      <c r="F132" t="s">
        <v>2728</v>
      </c>
      <c r="G132" t="s">
        <v>74</v>
      </c>
      <c r="H132" t="s">
        <v>74</v>
      </c>
      <c r="I132" t="s">
        <v>2729</v>
      </c>
      <c r="J132" t="s">
        <v>2707</v>
      </c>
      <c r="K132" t="s">
        <v>74</v>
      </c>
      <c r="L132" t="s">
        <v>74</v>
      </c>
      <c r="M132" t="s">
        <v>78</v>
      </c>
      <c r="N132" t="s">
        <v>79</v>
      </c>
      <c r="O132" t="s">
        <v>74</v>
      </c>
      <c r="P132" t="s">
        <v>74</v>
      </c>
      <c r="Q132" t="s">
        <v>74</v>
      </c>
      <c r="R132" t="s">
        <v>74</v>
      </c>
      <c r="S132" t="s">
        <v>74</v>
      </c>
      <c r="T132" t="s">
        <v>2730</v>
      </c>
      <c r="U132" t="s">
        <v>2731</v>
      </c>
      <c r="V132" t="s">
        <v>2732</v>
      </c>
      <c r="W132" t="s">
        <v>2733</v>
      </c>
      <c r="X132" t="s">
        <v>2734</v>
      </c>
      <c r="Y132" t="s">
        <v>2735</v>
      </c>
      <c r="Z132" t="s">
        <v>2736</v>
      </c>
      <c r="AA132" t="s">
        <v>2737</v>
      </c>
      <c r="AB132" t="s">
        <v>2738</v>
      </c>
      <c r="AC132" t="s">
        <v>2739</v>
      </c>
      <c r="AD132" t="s">
        <v>2740</v>
      </c>
      <c r="AE132" t="s">
        <v>2741</v>
      </c>
      <c r="AF132" t="s">
        <v>74</v>
      </c>
      <c r="AG132">
        <v>58</v>
      </c>
      <c r="AH132">
        <v>42</v>
      </c>
      <c r="AI132">
        <v>48</v>
      </c>
      <c r="AJ132">
        <v>7</v>
      </c>
      <c r="AK132">
        <v>100</v>
      </c>
      <c r="AL132" t="s">
        <v>473</v>
      </c>
      <c r="AM132" t="s">
        <v>474</v>
      </c>
      <c r="AN132" t="s">
        <v>475</v>
      </c>
      <c r="AO132" t="s">
        <v>2720</v>
      </c>
      <c r="AP132" t="s">
        <v>2721</v>
      </c>
      <c r="AQ132" t="s">
        <v>74</v>
      </c>
      <c r="AR132" t="s">
        <v>2722</v>
      </c>
      <c r="AS132" t="s">
        <v>2723</v>
      </c>
      <c r="AT132" t="s">
        <v>2698</v>
      </c>
      <c r="AU132">
        <v>2013</v>
      </c>
      <c r="AV132">
        <v>117</v>
      </c>
      <c r="AW132" t="s">
        <v>74</v>
      </c>
      <c r="AX132" t="s">
        <v>74</v>
      </c>
      <c r="AY132" t="s">
        <v>74</v>
      </c>
      <c r="AZ132" t="s">
        <v>74</v>
      </c>
      <c r="BA132" t="s">
        <v>74</v>
      </c>
      <c r="BB132">
        <v>260</v>
      </c>
      <c r="BC132">
        <v>272</v>
      </c>
      <c r="BD132" t="s">
        <v>74</v>
      </c>
      <c r="BE132" t="s">
        <v>2742</v>
      </c>
      <c r="BF132" t="str">
        <f>HYPERLINK("http://dx.doi.org/10.1016/j.ecss.2012.12.003","http://dx.doi.org/10.1016/j.ecss.2012.12.003")</f>
        <v>http://dx.doi.org/10.1016/j.ecss.2012.12.003</v>
      </c>
      <c r="BG132" t="s">
        <v>74</v>
      </c>
      <c r="BH132" t="s">
        <v>74</v>
      </c>
      <c r="BI132">
        <v>13</v>
      </c>
      <c r="BJ132" t="s">
        <v>2095</v>
      </c>
      <c r="BK132" t="s">
        <v>102</v>
      </c>
      <c r="BL132" t="s">
        <v>2095</v>
      </c>
      <c r="BM132" t="s">
        <v>2725</v>
      </c>
      <c r="BN132" t="s">
        <v>74</v>
      </c>
      <c r="BO132" t="s">
        <v>74</v>
      </c>
      <c r="BP132" t="s">
        <v>74</v>
      </c>
      <c r="BQ132" t="s">
        <v>74</v>
      </c>
      <c r="BR132" t="s">
        <v>105</v>
      </c>
      <c r="BS132" t="s">
        <v>2743</v>
      </c>
      <c r="BT132" t="str">
        <f>HYPERLINK("https%3A%2F%2Fwww.webofscience.com%2Fwos%2Fwoscc%2Ffull-record%2FWOS:000315323600025","View Full Record in Web of Science")</f>
        <v>View Full Record in Web of Science</v>
      </c>
    </row>
    <row r="133" spans="1:72" x14ac:dyDescent="0.15">
      <c r="A133" t="s">
        <v>72</v>
      </c>
      <c r="B133" t="s">
        <v>2744</v>
      </c>
      <c r="C133" t="s">
        <v>74</v>
      </c>
      <c r="D133" t="s">
        <v>74</v>
      </c>
      <c r="E133" t="s">
        <v>74</v>
      </c>
      <c r="F133" t="s">
        <v>2745</v>
      </c>
      <c r="G133" t="s">
        <v>74</v>
      </c>
      <c r="H133" t="s">
        <v>74</v>
      </c>
      <c r="I133" t="s">
        <v>2746</v>
      </c>
      <c r="J133" t="s">
        <v>2747</v>
      </c>
      <c r="K133" t="s">
        <v>74</v>
      </c>
      <c r="L133" t="s">
        <v>74</v>
      </c>
      <c r="M133" t="s">
        <v>78</v>
      </c>
      <c r="N133" t="s">
        <v>79</v>
      </c>
      <c r="O133" t="s">
        <v>74</v>
      </c>
      <c r="P133" t="s">
        <v>74</v>
      </c>
      <c r="Q133" t="s">
        <v>74</v>
      </c>
      <c r="R133" t="s">
        <v>74</v>
      </c>
      <c r="S133" t="s">
        <v>74</v>
      </c>
      <c r="T133" t="s">
        <v>2748</v>
      </c>
      <c r="U133" t="s">
        <v>2749</v>
      </c>
      <c r="V133" t="s">
        <v>2750</v>
      </c>
      <c r="W133" t="s">
        <v>2751</v>
      </c>
      <c r="X133" t="s">
        <v>2752</v>
      </c>
      <c r="Y133" t="s">
        <v>2753</v>
      </c>
      <c r="Z133" t="s">
        <v>2754</v>
      </c>
      <c r="AA133" t="s">
        <v>2755</v>
      </c>
      <c r="AB133" t="s">
        <v>2756</v>
      </c>
      <c r="AC133" t="s">
        <v>74</v>
      </c>
      <c r="AD133" t="s">
        <v>74</v>
      </c>
      <c r="AE133" t="s">
        <v>74</v>
      </c>
      <c r="AF133" t="s">
        <v>74</v>
      </c>
      <c r="AG133">
        <v>42</v>
      </c>
      <c r="AH133">
        <v>14</v>
      </c>
      <c r="AI133">
        <v>14</v>
      </c>
      <c r="AJ133">
        <v>3</v>
      </c>
      <c r="AK133">
        <v>34</v>
      </c>
      <c r="AL133" t="s">
        <v>2757</v>
      </c>
      <c r="AM133" t="s">
        <v>2758</v>
      </c>
      <c r="AN133" t="s">
        <v>2759</v>
      </c>
      <c r="AO133" t="s">
        <v>2760</v>
      </c>
      <c r="AP133" t="s">
        <v>74</v>
      </c>
      <c r="AQ133" t="s">
        <v>74</v>
      </c>
      <c r="AR133" t="s">
        <v>2761</v>
      </c>
      <c r="AS133" t="s">
        <v>2762</v>
      </c>
      <c r="AT133" t="s">
        <v>2763</v>
      </c>
      <c r="AU133">
        <v>2013</v>
      </c>
      <c r="AV133">
        <v>3</v>
      </c>
      <c r="AW133" t="s">
        <v>74</v>
      </c>
      <c r="AX133" t="s">
        <v>74</v>
      </c>
      <c r="AY133" t="s">
        <v>74</v>
      </c>
      <c r="AZ133" t="s">
        <v>74</v>
      </c>
      <c r="BA133" t="s">
        <v>74</v>
      </c>
      <c r="BB133" t="s">
        <v>74</v>
      </c>
      <c r="BC133" t="s">
        <v>74</v>
      </c>
      <c r="BD133">
        <v>437</v>
      </c>
      <c r="BE133" t="s">
        <v>2764</v>
      </c>
      <c r="BF133" t="str">
        <f>HYPERLINK("http://dx.doi.org/10.3389/fmicb.2012.00437","http://dx.doi.org/10.3389/fmicb.2012.00437")</f>
        <v>http://dx.doi.org/10.3389/fmicb.2012.00437</v>
      </c>
      <c r="BG133" t="s">
        <v>74</v>
      </c>
      <c r="BH133" t="s">
        <v>74</v>
      </c>
      <c r="BI133">
        <v>9</v>
      </c>
      <c r="BJ133" t="s">
        <v>1139</v>
      </c>
      <c r="BK133" t="s">
        <v>102</v>
      </c>
      <c r="BL133" t="s">
        <v>1139</v>
      </c>
      <c r="BM133" t="s">
        <v>2765</v>
      </c>
      <c r="BN133">
        <v>23335917</v>
      </c>
      <c r="BO133" t="s">
        <v>2766</v>
      </c>
      <c r="BP133" t="s">
        <v>74</v>
      </c>
      <c r="BQ133" t="s">
        <v>74</v>
      </c>
      <c r="BR133" t="s">
        <v>105</v>
      </c>
      <c r="BS133" t="s">
        <v>2767</v>
      </c>
      <c r="BT133" t="str">
        <f>HYPERLINK("https%3A%2F%2Fwww.webofscience.com%2Fwos%2Fwoscc%2Ffull-record%2FWOS:000330947000001","View Full Record in Web of Science")</f>
        <v>View Full Record in Web of Science</v>
      </c>
    </row>
    <row r="134" spans="1:72" x14ac:dyDescent="0.15">
      <c r="A134" t="s">
        <v>72</v>
      </c>
      <c r="B134" t="s">
        <v>2768</v>
      </c>
      <c r="C134" t="s">
        <v>74</v>
      </c>
      <c r="D134" t="s">
        <v>74</v>
      </c>
      <c r="E134" t="s">
        <v>74</v>
      </c>
      <c r="F134" t="s">
        <v>2769</v>
      </c>
      <c r="G134" t="s">
        <v>74</v>
      </c>
      <c r="H134" t="s">
        <v>74</v>
      </c>
      <c r="I134" t="s">
        <v>2770</v>
      </c>
      <c r="J134" t="s">
        <v>2771</v>
      </c>
      <c r="K134" t="s">
        <v>74</v>
      </c>
      <c r="L134" t="s">
        <v>74</v>
      </c>
      <c r="M134" t="s">
        <v>78</v>
      </c>
      <c r="N134" t="s">
        <v>79</v>
      </c>
      <c r="O134" t="s">
        <v>74</v>
      </c>
      <c r="P134" t="s">
        <v>74</v>
      </c>
      <c r="Q134" t="s">
        <v>74</v>
      </c>
      <c r="R134" t="s">
        <v>74</v>
      </c>
      <c r="S134" t="s">
        <v>74</v>
      </c>
      <c r="T134" t="s">
        <v>2772</v>
      </c>
      <c r="U134" t="s">
        <v>2773</v>
      </c>
      <c r="V134" t="s">
        <v>2774</v>
      </c>
      <c r="W134" t="s">
        <v>2775</v>
      </c>
      <c r="X134" t="s">
        <v>2776</v>
      </c>
      <c r="Y134" t="s">
        <v>2777</v>
      </c>
      <c r="Z134" t="s">
        <v>2778</v>
      </c>
      <c r="AA134" t="s">
        <v>2779</v>
      </c>
      <c r="AB134" t="s">
        <v>2780</v>
      </c>
      <c r="AC134" t="s">
        <v>2781</v>
      </c>
      <c r="AD134" t="s">
        <v>2782</v>
      </c>
      <c r="AE134" t="s">
        <v>2783</v>
      </c>
      <c r="AF134" t="s">
        <v>74</v>
      </c>
      <c r="AG134">
        <v>43</v>
      </c>
      <c r="AH134">
        <v>9</v>
      </c>
      <c r="AI134">
        <v>12</v>
      </c>
      <c r="AJ134">
        <v>1</v>
      </c>
      <c r="AK134">
        <v>25</v>
      </c>
      <c r="AL134" t="s">
        <v>586</v>
      </c>
      <c r="AM134" t="s">
        <v>542</v>
      </c>
      <c r="AN134" t="s">
        <v>587</v>
      </c>
      <c r="AO134" t="s">
        <v>2784</v>
      </c>
      <c r="AP134" t="s">
        <v>2785</v>
      </c>
      <c r="AQ134" t="s">
        <v>74</v>
      </c>
      <c r="AR134" t="s">
        <v>2786</v>
      </c>
      <c r="AS134" t="s">
        <v>2787</v>
      </c>
      <c r="AT134" t="s">
        <v>2788</v>
      </c>
      <c r="AU134">
        <v>2013</v>
      </c>
      <c r="AV134">
        <v>191</v>
      </c>
      <c r="AW134" t="s">
        <v>2789</v>
      </c>
      <c r="AX134" t="s">
        <v>74</v>
      </c>
      <c r="AY134" t="s">
        <v>74</v>
      </c>
      <c r="AZ134" t="s">
        <v>74</v>
      </c>
      <c r="BA134" t="s">
        <v>74</v>
      </c>
      <c r="BB134">
        <v>112</v>
      </c>
      <c r="BC134">
        <v>118</v>
      </c>
      <c r="BD134" t="s">
        <v>74</v>
      </c>
      <c r="BE134" t="s">
        <v>2790</v>
      </c>
      <c r="BF134" t="str">
        <f>HYPERLINK("http://dx.doi.org/10.1016/j.vetpar.2012.08.021","http://dx.doi.org/10.1016/j.vetpar.2012.08.021")</f>
        <v>http://dx.doi.org/10.1016/j.vetpar.2012.08.021</v>
      </c>
      <c r="BG134" t="s">
        <v>74</v>
      </c>
      <c r="BH134" t="s">
        <v>74</v>
      </c>
      <c r="BI134">
        <v>7</v>
      </c>
      <c r="BJ134" t="s">
        <v>2791</v>
      </c>
      <c r="BK134" t="s">
        <v>102</v>
      </c>
      <c r="BL134" t="s">
        <v>2791</v>
      </c>
      <c r="BM134" t="s">
        <v>2792</v>
      </c>
      <c r="BN134">
        <v>23021408</v>
      </c>
      <c r="BO134" t="s">
        <v>74</v>
      </c>
      <c r="BP134" t="s">
        <v>74</v>
      </c>
      <c r="BQ134" t="s">
        <v>74</v>
      </c>
      <c r="BR134" t="s">
        <v>105</v>
      </c>
      <c r="BS134" t="s">
        <v>2793</v>
      </c>
      <c r="BT134" t="str">
        <f>HYPERLINK("https%3A%2F%2Fwww.webofscience.com%2Fwos%2Fwoscc%2Ffull-record%2FWOS:000312355000017","View Full Record in Web of Science")</f>
        <v>View Full Record in Web of Science</v>
      </c>
    </row>
    <row r="135" spans="1:72" x14ac:dyDescent="0.15">
      <c r="A135" t="s">
        <v>72</v>
      </c>
      <c r="B135" t="s">
        <v>2794</v>
      </c>
      <c r="C135" t="s">
        <v>74</v>
      </c>
      <c r="D135" t="s">
        <v>74</v>
      </c>
      <c r="E135" t="s">
        <v>74</v>
      </c>
      <c r="F135" t="s">
        <v>2795</v>
      </c>
      <c r="G135" t="s">
        <v>74</v>
      </c>
      <c r="H135" t="s">
        <v>74</v>
      </c>
      <c r="I135" t="s">
        <v>2796</v>
      </c>
      <c r="J135" t="s">
        <v>2797</v>
      </c>
      <c r="K135" t="s">
        <v>74</v>
      </c>
      <c r="L135" t="s">
        <v>74</v>
      </c>
      <c r="M135" t="s">
        <v>78</v>
      </c>
      <c r="N135" t="s">
        <v>79</v>
      </c>
      <c r="O135" t="s">
        <v>74</v>
      </c>
      <c r="P135" t="s">
        <v>74</v>
      </c>
      <c r="Q135" t="s">
        <v>74</v>
      </c>
      <c r="R135" t="s">
        <v>74</v>
      </c>
      <c r="S135" t="s">
        <v>74</v>
      </c>
      <c r="T135" t="s">
        <v>2798</v>
      </c>
      <c r="U135" t="s">
        <v>2799</v>
      </c>
      <c r="V135" t="s">
        <v>2800</v>
      </c>
      <c r="W135" t="s">
        <v>2801</v>
      </c>
      <c r="X135" t="s">
        <v>2802</v>
      </c>
      <c r="Y135" t="s">
        <v>2803</v>
      </c>
      <c r="Z135" t="s">
        <v>2804</v>
      </c>
      <c r="AA135" t="s">
        <v>74</v>
      </c>
      <c r="AB135" t="s">
        <v>2805</v>
      </c>
      <c r="AC135" t="s">
        <v>2806</v>
      </c>
      <c r="AD135" t="s">
        <v>2807</v>
      </c>
      <c r="AE135" t="s">
        <v>2808</v>
      </c>
      <c r="AF135" t="s">
        <v>74</v>
      </c>
      <c r="AG135">
        <v>65</v>
      </c>
      <c r="AH135">
        <v>66</v>
      </c>
      <c r="AI135">
        <v>72</v>
      </c>
      <c r="AJ135">
        <v>0</v>
      </c>
      <c r="AK135">
        <v>63</v>
      </c>
      <c r="AL135" t="s">
        <v>2620</v>
      </c>
      <c r="AM135" t="s">
        <v>474</v>
      </c>
      <c r="AN135" t="s">
        <v>2621</v>
      </c>
      <c r="AO135" t="s">
        <v>74</v>
      </c>
      <c r="AP135" t="s">
        <v>2809</v>
      </c>
      <c r="AQ135" t="s">
        <v>74</v>
      </c>
      <c r="AR135" t="s">
        <v>2810</v>
      </c>
      <c r="AS135" t="s">
        <v>2811</v>
      </c>
      <c r="AT135" t="s">
        <v>2788</v>
      </c>
      <c r="AU135">
        <v>2013</v>
      </c>
      <c r="AV135">
        <v>13</v>
      </c>
      <c r="AW135" t="s">
        <v>74</v>
      </c>
      <c r="AX135" t="s">
        <v>74</v>
      </c>
      <c r="AY135" t="s">
        <v>74</v>
      </c>
      <c r="AZ135" t="s">
        <v>74</v>
      </c>
      <c r="BA135" t="s">
        <v>74</v>
      </c>
      <c r="BB135" t="s">
        <v>74</v>
      </c>
      <c r="BC135" t="s">
        <v>74</v>
      </c>
      <c r="BD135">
        <v>3</v>
      </c>
      <c r="BE135" t="s">
        <v>2812</v>
      </c>
      <c r="BF135" t="str">
        <f>HYPERLINK("http://dx.doi.org/10.1186/1472-6750-13-3","http://dx.doi.org/10.1186/1472-6750-13-3")</f>
        <v>http://dx.doi.org/10.1186/1472-6750-13-3</v>
      </c>
      <c r="BG135" t="s">
        <v>74</v>
      </c>
      <c r="BH135" t="s">
        <v>74</v>
      </c>
      <c r="BI135">
        <v>11</v>
      </c>
      <c r="BJ135" t="s">
        <v>2813</v>
      </c>
      <c r="BK135" t="s">
        <v>102</v>
      </c>
      <c r="BL135" t="s">
        <v>2813</v>
      </c>
      <c r="BM135" t="s">
        <v>2814</v>
      </c>
      <c r="BN135">
        <v>23320757</v>
      </c>
      <c r="BO135" t="s">
        <v>2815</v>
      </c>
      <c r="BP135" t="s">
        <v>74</v>
      </c>
      <c r="BQ135" t="s">
        <v>74</v>
      </c>
      <c r="BR135" t="s">
        <v>105</v>
      </c>
      <c r="BS135" t="s">
        <v>2816</v>
      </c>
      <c r="BT135" t="str">
        <f>HYPERLINK("https%3A%2F%2Fwww.webofscience.com%2Fwos%2Fwoscc%2Ffull-record%2FWOS:000314341100001","View Full Record in Web of Science")</f>
        <v>View Full Record in Web of Science</v>
      </c>
    </row>
    <row r="136" spans="1:72" x14ac:dyDescent="0.15">
      <c r="A136" t="s">
        <v>72</v>
      </c>
      <c r="B136" t="s">
        <v>2817</v>
      </c>
      <c r="C136" t="s">
        <v>74</v>
      </c>
      <c r="D136" t="s">
        <v>74</v>
      </c>
      <c r="E136" t="s">
        <v>74</v>
      </c>
      <c r="F136" t="s">
        <v>2818</v>
      </c>
      <c r="G136" t="s">
        <v>74</v>
      </c>
      <c r="H136" t="s">
        <v>74</v>
      </c>
      <c r="I136" t="s">
        <v>2819</v>
      </c>
      <c r="J136" t="s">
        <v>2482</v>
      </c>
      <c r="K136" t="s">
        <v>74</v>
      </c>
      <c r="L136" t="s">
        <v>74</v>
      </c>
      <c r="M136" t="s">
        <v>78</v>
      </c>
      <c r="N136" t="s">
        <v>79</v>
      </c>
      <c r="O136" t="s">
        <v>74</v>
      </c>
      <c r="P136" t="s">
        <v>74</v>
      </c>
      <c r="Q136" t="s">
        <v>74</v>
      </c>
      <c r="R136" t="s">
        <v>74</v>
      </c>
      <c r="S136" t="s">
        <v>74</v>
      </c>
      <c r="T136" t="s">
        <v>74</v>
      </c>
      <c r="U136" t="s">
        <v>2820</v>
      </c>
      <c r="V136" t="s">
        <v>2821</v>
      </c>
      <c r="W136" t="s">
        <v>2822</v>
      </c>
      <c r="X136" t="s">
        <v>2823</v>
      </c>
      <c r="Y136" t="s">
        <v>2824</v>
      </c>
      <c r="Z136" t="s">
        <v>2825</v>
      </c>
      <c r="AA136" t="s">
        <v>2826</v>
      </c>
      <c r="AB136" t="s">
        <v>2827</v>
      </c>
      <c r="AC136" t="s">
        <v>2828</v>
      </c>
      <c r="AD136" t="s">
        <v>2829</v>
      </c>
      <c r="AE136" t="s">
        <v>2830</v>
      </c>
      <c r="AF136" t="s">
        <v>74</v>
      </c>
      <c r="AG136">
        <v>14</v>
      </c>
      <c r="AH136">
        <v>31</v>
      </c>
      <c r="AI136">
        <v>34</v>
      </c>
      <c r="AJ136">
        <v>0</v>
      </c>
      <c r="AK136">
        <v>25</v>
      </c>
      <c r="AL136" t="s">
        <v>2494</v>
      </c>
      <c r="AM136" t="s">
        <v>786</v>
      </c>
      <c r="AN136" t="s">
        <v>2495</v>
      </c>
      <c r="AO136" t="s">
        <v>2496</v>
      </c>
      <c r="AP136" t="s">
        <v>2497</v>
      </c>
      <c r="AQ136" t="s">
        <v>74</v>
      </c>
      <c r="AR136" t="s">
        <v>2498</v>
      </c>
      <c r="AS136" t="s">
        <v>2499</v>
      </c>
      <c r="AT136" t="s">
        <v>2788</v>
      </c>
      <c r="AU136">
        <v>2013</v>
      </c>
      <c r="AV136">
        <v>40</v>
      </c>
      <c r="AW136">
        <v>1</v>
      </c>
      <c r="AX136" t="s">
        <v>74</v>
      </c>
      <c r="AY136" t="s">
        <v>74</v>
      </c>
      <c r="AZ136" t="s">
        <v>74</v>
      </c>
      <c r="BA136" t="s">
        <v>74</v>
      </c>
      <c r="BB136">
        <v>139</v>
      </c>
      <c r="BC136">
        <v>142</v>
      </c>
      <c r="BD136" t="s">
        <v>74</v>
      </c>
      <c r="BE136" t="s">
        <v>2831</v>
      </c>
      <c r="BF136" t="str">
        <f>HYPERLINK("http://dx.doi.org/10.1029/2012GL054483","http://dx.doi.org/10.1029/2012GL054483")</f>
        <v>http://dx.doi.org/10.1029/2012GL054483</v>
      </c>
      <c r="BG136" t="s">
        <v>74</v>
      </c>
      <c r="BH136" t="s">
        <v>74</v>
      </c>
      <c r="BI136">
        <v>4</v>
      </c>
      <c r="BJ136" t="s">
        <v>1604</v>
      </c>
      <c r="BK136" t="s">
        <v>102</v>
      </c>
      <c r="BL136" t="s">
        <v>1605</v>
      </c>
      <c r="BM136" t="s">
        <v>2832</v>
      </c>
      <c r="BN136" t="s">
        <v>74</v>
      </c>
      <c r="BO136" t="s">
        <v>74</v>
      </c>
      <c r="BP136" t="s">
        <v>74</v>
      </c>
      <c r="BQ136" t="s">
        <v>74</v>
      </c>
      <c r="BR136" t="s">
        <v>105</v>
      </c>
      <c r="BS136" t="s">
        <v>2833</v>
      </c>
      <c r="BT136" t="str">
        <f>HYPERLINK("https%3A%2F%2Fwww.webofscience.com%2Fwos%2Fwoscc%2Ffull-record%2FWOS:000317826300026","View Full Record in Web of Science")</f>
        <v>View Full Record in Web of Science</v>
      </c>
    </row>
    <row r="137" spans="1:72" x14ac:dyDescent="0.15">
      <c r="A137" t="s">
        <v>72</v>
      </c>
      <c r="B137" t="s">
        <v>2834</v>
      </c>
      <c r="C137" t="s">
        <v>74</v>
      </c>
      <c r="D137" t="s">
        <v>74</v>
      </c>
      <c r="E137" t="s">
        <v>74</v>
      </c>
      <c r="F137" t="s">
        <v>2835</v>
      </c>
      <c r="G137" t="s">
        <v>74</v>
      </c>
      <c r="H137" t="s">
        <v>74</v>
      </c>
      <c r="I137" t="s">
        <v>2836</v>
      </c>
      <c r="J137" t="s">
        <v>2341</v>
      </c>
      <c r="K137" t="s">
        <v>74</v>
      </c>
      <c r="L137" t="s">
        <v>74</v>
      </c>
      <c r="M137" t="s">
        <v>78</v>
      </c>
      <c r="N137" t="s">
        <v>79</v>
      </c>
      <c r="O137" t="s">
        <v>74</v>
      </c>
      <c r="P137" t="s">
        <v>74</v>
      </c>
      <c r="Q137" t="s">
        <v>74</v>
      </c>
      <c r="R137" t="s">
        <v>74</v>
      </c>
      <c r="S137" t="s">
        <v>74</v>
      </c>
      <c r="T137" t="s">
        <v>74</v>
      </c>
      <c r="U137" t="s">
        <v>2837</v>
      </c>
      <c r="V137" t="s">
        <v>2838</v>
      </c>
      <c r="W137" t="s">
        <v>2839</v>
      </c>
      <c r="X137" t="s">
        <v>1249</v>
      </c>
      <c r="Y137" t="s">
        <v>2840</v>
      </c>
      <c r="Z137" t="s">
        <v>2841</v>
      </c>
      <c r="AA137" t="s">
        <v>74</v>
      </c>
      <c r="AB137" t="s">
        <v>74</v>
      </c>
      <c r="AC137" t="s">
        <v>2842</v>
      </c>
      <c r="AD137" t="s">
        <v>2843</v>
      </c>
      <c r="AE137" t="s">
        <v>2844</v>
      </c>
      <c r="AF137" t="s">
        <v>74</v>
      </c>
      <c r="AG137">
        <v>93</v>
      </c>
      <c r="AH137">
        <v>14</v>
      </c>
      <c r="AI137">
        <v>16</v>
      </c>
      <c r="AJ137">
        <v>1</v>
      </c>
      <c r="AK137">
        <v>16</v>
      </c>
      <c r="AL137" t="s">
        <v>2350</v>
      </c>
      <c r="AM137" t="s">
        <v>2351</v>
      </c>
      <c r="AN137" t="s">
        <v>2352</v>
      </c>
      <c r="AO137" t="s">
        <v>2353</v>
      </c>
      <c r="AP137" t="s">
        <v>74</v>
      </c>
      <c r="AQ137" t="s">
        <v>74</v>
      </c>
      <c r="AR137" t="s">
        <v>2341</v>
      </c>
      <c r="AS137" t="s">
        <v>2354</v>
      </c>
      <c r="AT137" t="s">
        <v>2788</v>
      </c>
      <c r="AU137">
        <v>2013</v>
      </c>
      <c r="AV137">
        <v>8</v>
      </c>
      <c r="AW137">
        <v>1</v>
      </c>
      <c r="AX137" t="s">
        <v>74</v>
      </c>
      <c r="AY137" t="s">
        <v>74</v>
      </c>
      <c r="AZ137" t="s">
        <v>74</v>
      </c>
      <c r="BA137" t="s">
        <v>74</v>
      </c>
      <c r="BB137" t="s">
        <v>74</v>
      </c>
      <c r="BC137" t="s">
        <v>74</v>
      </c>
      <c r="BD137" t="s">
        <v>2845</v>
      </c>
      <c r="BE137" t="s">
        <v>2846</v>
      </c>
      <c r="BF137" t="str">
        <f>HYPERLINK("http://dx.doi.org/10.1371/journal.pone.0054139","http://dx.doi.org/10.1371/journal.pone.0054139")</f>
        <v>http://dx.doi.org/10.1371/journal.pone.0054139</v>
      </c>
      <c r="BG137" t="s">
        <v>74</v>
      </c>
      <c r="BH137" t="s">
        <v>74</v>
      </c>
      <c r="BI137">
        <v>9</v>
      </c>
      <c r="BJ137" t="s">
        <v>328</v>
      </c>
      <c r="BK137" t="s">
        <v>102</v>
      </c>
      <c r="BL137" t="s">
        <v>329</v>
      </c>
      <c r="BM137" t="s">
        <v>2847</v>
      </c>
      <c r="BN137">
        <v>23342090</v>
      </c>
      <c r="BO137" t="s">
        <v>2848</v>
      </c>
      <c r="BP137" t="s">
        <v>74</v>
      </c>
      <c r="BQ137" t="s">
        <v>74</v>
      </c>
      <c r="BR137" t="s">
        <v>105</v>
      </c>
      <c r="BS137" t="s">
        <v>2849</v>
      </c>
      <c r="BT137" t="str">
        <f>HYPERLINK("https%3A%2F%2Fwww.webofscience.com%2Fwos%2Fwoscc%2Ffull-record%2FWOS:000313682700089","View Full Record in Web of Science")</f>
        <v>View Full Record in Web of Science</v>
      </c>
    </row>
    <row r="138" spans="1:72" x14ac:dyDescent="0.15">
      <c r="A138" t="s">
        <v>72</v>
      </c>
      <c r="B138" t="s">
        <v>2850</v>
      </c>
      <c r="C138" t="s">
        <v>74</v>
      </c>
      <c r="D138" t="s">
        <v>74</v>
      </c>
      <c r="E138" t="s">
        <v>74</v>
      </c>
      <c r="F138" t="s">
        <v>2851</v>
      </c>
      <c r="G138" t="s">
        <v>74</v>
      </c>
      <c r="H138" t="s">
        <v>74</v>
      </c>
      <c r="I138" t="s">
        <v>2852</v>
      </c>
      <c r="J138" t="s">
        <v>2853</v>
      </c>
      <c r="K138" t="s">
        <v>74</v>
      </c>
      <c r="L138" t="s">
        <v>74</v>
      </c>
      <c r="M138" t="s">
        <v>78</v>
      </c>
      <c r="N138" t="s">
        <v>79</v>
      </c>
      <c r="O138" t="s">
        <v>74</v>
      </c>
      <c r="P138" t="s">
        <v>74</v>
      </c>
      <c r="Q138" t="s">
        <v>74</v>
      </c>
      <c r="R138" t="s">
        <v>74</v>
      </c>
      <c r="S138" t="s">
        <v>74</v>
      </c>
      <c r="T138" t="s">
        <v>2854</v>
      </c>
      <c r="U138" t="s">
        <v>2855</v>
      </c>
      <c r="V138" t="s">
        <v>2856</v>
      </c>
      <c r="W138" t="s">
        <v>2857</v>
      </c>
      <c r="X138" t="s">
        <v>2858</v>
      </c>
      <c r="Y138" t="s">
        <v>2859</v>
      </c>
      <c r="Z138" t="s">
        <v>2860</v>
      </c>
      <c r="AA138" t="s">
        <v>2861</v>
      </c>
      <c r="AB138" t="s">
        <v>2862</v>
      </c>
      <c r="AC138" t="s">
        <v>2863</v>
      </c>
      <c r="AD138" t="s">
        <v>2864</v>
      </c>
      <c r="AE138" t="s">
        <v>2865</v>
      </c>
      <c r="AF138" t="s">
        <v>74</v>
      </c>
      <c r="AG138">
        <v>106</v>
      </c>
      <c r="AH138">
        <v>34</v>
      </c>
      <c r="AI138">
        <v>35</v>
      </c>
      <c r="AJ138">
        <v>0</v>
      </c>
      <c r="AK138">
        <v>20</v>
      </c>
      <c r="AL138" t="s">
        <v>541</v>
      </c>
      <c r="AM138" t="s">
        <v>542</v>
      </c>
      <c r="AN138" t="s">
        <v>543</v>
      </c>
      <c r="AO138" t="s">
        <v>2866</v>
      </c>
      <c r="AP138" t="s">
        <v>2867</v>
      </c>
      <c r="AQ138" t="s">
        <v>74</v>
      </c>
      <c r="AR138" t="s">
        <v>2868</v>
      </c>
      <c r="AS138" t="s">
        <v>2869</v>
      </c>
      <c r="AT138" t="s">
        <v>2870</v>
      </c>
      <c r="AU138">
        <v>2013</v>
      </c>
      <c r="AV138">
        <v>370</v>
      </c>
      <c r="AW138" t="s">
        <v>74</v>
      </c>
      <c r="AX138" t="s">
        <v>74</v>
      </c>
      <c r="AY138" t="s">
        <v>74</v>
      </c>
      <c r="AZ138" t="s">
        <v>74</v>
      </c>
      <c r="BA138" t="s">
        <v>74</v>
      </c>
      <c r="BB138">
        <v>127</v>
      </c>
      <c r="BC138">
        <v>144</v>
      </c>
      <c r="BD138" t="s">
        <v>74</v>
      </c>
      <c r="BE138" t="s">
        <v>2871</v>
      </c>
      <c r="BF138" t="str">
        <f>HYPERLINK("http://dx.doi.org/10.1016/j.palaeo.2012.12.002","http://dx.doi.org/10.1016/j.palaeo.2012.12.002")</f>
        <v>http://dx.doi.org/10.1016/j.palaeo.2012.12.002</v>
      </c>
      <c r="BG138" t="s">
        <v>74</v>
      </c>
      <c r="BH138" t="s">
        <v>74</v>
      </c>
      <c r="BI138">
        <v>18</v>
      </c>
      <c r="BJ138" t="s">
        <v>2872</v>
      </c>
      <c r="BK138" t="s">
        <v>102</v>
      </c>
      <c r="BL138" t="s">
        <v>2873</v>
      </c>
      <c r="BM138" t="s">
        <v>2874</v>
      </c>
      <c r="BN138" t="s">
        <v>74</v>
      </c>
      <c r="BO138" t="s">
        <v>74</v>
      </c>
      <c r="BP138" t="s">
        <v>74</v>
      </c>
      <c r="BQ138" t="s">
        <v>74</v>
      </c>
      <c r="BR138" t="s">
        <v>105</v>
      </c>
      <c r="BS138" t="s">
        <v>2875</v>
      </c>
      <c r="BT138" t="str">
        <f>HYPERLINK("https%3A%2F%2Fwww.webofscience.com%2Fwos%2Fwoscc%2Ffull-record%2FWOS:000315762100011","View Full Record in Web of Science")</f>
        <v>View Full Record in Web of Science</v>
      </c>
    </row>
    <row r="139" spans="1:72" x14ac:dyDescent="0.15">
      <c r="A139" t="s">
        <v>72</v>
      </c>
      <c r="B139" t="s">
        <v>2876</v>
      </c>
      <c r="C139" t="s">
        <v>74</v>
      </c>
      <c r="D139" t="s">
        <v>74</v>
      </c>
      <c r="E139" t="s">
        <v>74</v>
      </c>
      <c r="F139" t="s">
        <v>2877</v>
      </c>
      <c r="G139" t="s">
        <v>74</v>
      </c>
      <c r="H139" t="s">
        <v>74</v>
      </c>
      <c r="I139" t="s">
        <v>2878</v>
      </c>
      <c r="J139" t="s">
        <v>2879</v>
      </c>
      <c r="K139" t="s">
        <v>74</v>
      </c>
      <c r="L139" t="s">
        <v>74</v>
      </c>
      <c r="M139" t="s">
        <v>78</v>
      </c>
      <c r="N139" t="s">
        <v>79</v>
      </c>
      <c r="O139" t="s">
        <v>74</v>
      </c>
      <c r="P139" t="s">
        <v>74</v>
      </c>
      <c r="Q139" t="s">
        <v>74</v>
      </c>
      <c r="R139" t="s">
        <v>74</v>
      </c>
      <c r="S139" t="s">
        <v>74</v>
      </c>
      <c r="T139" t="s">
        <v>2880</v>
      </c>
      <c r="U139" t="s">
        <v>2881</v>
      </c>
      <c r="V139" t="s">
        <v>2882</v>
      </c>
      <c r="W139" t="s">
        <v>2883</v>
      </c>
      <c r="X139" t="s">
        <v>2884</v>
      </c>
      <c r="Y139" t="s">
        <v>2885</v>
      </c>
      <c r="Z139" t="s">
        <v>2886</v>
      </c>
      <c r="AA139" t="s">
        <v>2887</v>
      </c>
      <c r="AB139" t="s">
        <v>2888</v>
      </c>
      <c r="AC139" t="s">
        <v>2889</v>
      </c>
      <c r="AD139" t="s">
        <v>2890</v>
      </c>
      <c r="AE139" t="s">
        <v>2891</v>
      </c>
      <c r="AF139" t="s">
        <v>74</v>
      </c>
      <c r="AG139">
        <v>103</v>
      </c>
      <c r="AH139">
        <v>22</v>
      </c>
      <c r="AI139">
        <v>26</v>
      </c>
      <c r="AJ139">
        <v>0</v>
      </c>
      <c r="AK139">
        <v>45</v>
      </c>
      <c r="AL139" t="s">
        <v>586</v>
      </c>
      <c r="AM139" t="s">
        <v>542</v>
      </c>
      <c r="AN139" t="s">
        <v>587</v>
      </c>
      <c r="AO139" t="s">
        <v>2892</v>
      </c>
      <c r="AP139" t="s">
        <v>2893</v>
      </c>
      <c r="AQ139" t="s">
        <v>74</v>
      </c>
      <c r="AR139" t="s">
        <v>2894</v>
      </c>
      <c r="AS139" t="s">
        <v>2895</v>
      </c>
      <c r="AT139" t="s">
        <v>2870</v>
      </c>
      <c r="AU139">
        <v>2013</v>
      </c>
      <c r="AV139">
        <v>250</v>
      </c>
      <c r="AW139" t="s">
        <v>74</v>
      </c>
      <c r="AX139" t="s">
        <v>74</v>
      </c>
      <c r="AY139" t="s">
        <v>74</v>
      </c>
      <c r="AZ139" t="s">
        <v>74</v>
      </c>
      <c r="BA139" t="s">
        <v>74</v>
      </c>
      <c r="BB139">
        <v>106</v>
      </c>
      <c r="BC139">
        <v>128</v>
      </c>
      <c r="BD139" t="s">
        <v>74</v>
      </c>
      <c r="BE139" t="s">
        <v>2896</v>
      </c>
      <c r="BF139" t="str">
        <f>HYPERLINK("http://dx.doi.org/10.1016/j.jvolgeores.2012.11.008","http://dx.doi.org/10.1016/j.jvolgeores.2012.11.008")</f>
        <v>http://dx.doi.org/10.1016/j.jvolgeores.2012.11.008</v>
      </c>
      <c r="BG139" t="s">
        <v>74</v>
      </c>
      <c r="BH139" t="s">
        <v>74</v>
      </c>
      <c r="BI139">
        <v>23</v>
      </c>
      <c r="BJ139" t="s">
        <v>1604</v>
      </c>
      <c r="BK139" t="s">
        <v>102</v>
      </c>
      <c r="BL139" t="s">
        <v>1605</v>
      </c>
      <c r="BM139" t="s">
        <v>2897</v>
      </c>
      <c r="BN139" t="s">
        <v>74</v>
      </c>
      <c r="BO139" t="s">
        <v>74</v>
      </c>
      <c r="BP139" t="s">
        <v>74</v>
      </c>
      <c r="BQ139" t="s">
        <v>74</v>
      </c>
      <c r="BR139" t="s">
        <v>105</v>
      </c>
      <c r="BS139" t="s">
        <v>2898</v>
      </c>
      <c r="BT139" t="str">
        <f>HYPERLINK("https%3A%2F%2Fwww.webofscience.com%2Fwos%2Fwoscc%2Ffull-record%2FWOS:000314857600010","View Full Record in Web of Science")</f>
        <v>View Full Record in Web of Science</v>
      </c>
    </row>
    <row r="140" spans="1:72" x14ac:dyDescent="0.15">
      <c r="A140" t="s">
        <v>72</v>
      </c>
      <c r="B140" t="s">
        <v>2899</v>
      </c>
      <c r="C140" t="s">
        <v>74</v>
      </c>
      <c r="D140" t="s">
        <v>74</v>
      </c>
      <c r="E140" t="s">
        <v>74</v>
      </c>
      <c r="F140" t="s">
        <v>2900</v>
      </c>
      <c r="G140" t="s">
        <v>74</v>
      </c>
      <c r="H140" t="s">
        <v>2901</v>
      </c>
      <c r="I140" t="s">
        <v>2902</v>
      </c>
      <c r="J140" t="s">
        <v>2903</v>
      </c>
      <c r="K140" t="s">
        <v>74</v>
      </c>
      <c r="L140" t="s">
        <v>74</v>
      </c>
      <c r="M140" t="s">
        <v>78</v>
      </c>
      <c r="N140" t="s">
        <v>79</v>
      </c>
      <c r="O140" t="s">
        <v>74</v>
      </c>
      <c r="P140" t="s">
        <v>74</v>
      </c>
      <c r="Q140" t="s">
        <v>74</v>
      </c>
      <c r="R140" t="s">
        <v>74</v>
      </c>
      <c r="S140" t="s">
        <v>74</v>
      </c>
      <c r="T140" t="s">
        <v>2904</v>
      </c>
      <c r="U140" t="s">
        <v>2905</v>
      </c>
      <c r="V140" t="s">
        <v>2906</v>
      </c>
      <c r="W140" t="s">
        <v>2907</v>
      </c>
      <c r="X140" t="s">
        <v>2908</v>
      </c>
      <c r="Y140" t="s">
        <v>2909</v>
      </c>
      <c r="Z140" t="s">
        <v>2910</v>
      </c>
      <c r="AA140" t="s">
        <v>2911</v>
      </c>
      <c r="AB140" t="s">
        <v>2912</v>
      </c>
      <c r="AC140" t="s">
        <v>2913</v>
      </c>
      <c r="AD140" t="s">
        <v>2914</v>
      </c>
      <c r="AE140" t="s">
        <v>2915</v>
      </c>
      <c r="AF140" t="s">
        <v>74</v>
      </c>
      <c r="AG140">
        <v>42</v>
      </c>
      <c r="AH140">
        <v>10</v>
      </c>
      <c r="AI140">
        <v>12</v>
      </c>
      <c r="AJ140">
        <v>0</v>
      </c>
      <c r="AK140">
        <v>12</v>
      </c>
      <c r="AL140" t="s">
        <v>447</v>
      </c>
      <c r="AM140" t="s">
        <v>147</v>
      </c>
      <c r="AN140" t="s">
        <v>448</v>
      </c>
      <c r="AO140" t="s">
        <v>2916</v>
      </c>
      <c r="AP140" t="s">
        <v>2917</v>
      </c>
      <c r="AQ140" t="s">
        <v>74</v>
      </c>
      <c r="AR140" t="s">
        <v>2918</v>
      </c>
      <c r="AS140" t="s">
        <v>2919</v>
      </c>
      <c r="AT140" t="s">
        <v>2870</v>
      </c>
      <c r="AU140">
        <v>2013</v>
      </c>
      <c r="AV140">
        <v>51</v>
      </c>
      <c r="AW140">
        <v>2</v>
      </c>
      <c r="AX140" t="s">
        <v>74</v>
      </c>
      <c r="AY140" t="s">
        <v>74</v>
      </c>
      <c r="AZ140" t="s">
        <v>74</v>
      </c>
      <c r="BA140" t="s">
        <v>74</v>
      </c>
      <c r="BB140">
        <v>227</v>
      </c>
      <c r="BC140">
        <v>233</v>
      </c>
      <c r="BD140" t="s">
        <v>74</v>
      </c>
      <c r="BE140" t="s">
        <v>2920</v>
      </c>
      <c r="BF140" t="str">
        <f>HYPERLINK("http://dx.doi.org/10.1016/j.asr.2011.07.012","http://dx.doi.org/10.1016/j.asr.2011.07.012")</f>
        <v>http://dx.doi.org/10.1016/j.asr.2011.07.012</v>
      </c>
      <c r="BG140" t="s">
        <v>74</v>
      </c>
      <c r="BH140" t="s">
        <v>74</v>
      </c>
      <c r="BI140">
        <v>7</v>
      </c>
      <c r="BJ140" t="s">
        <v>2921</v>
      </c>
      <c r="BK140" t="s">
        <v>102</v>
      </c>
      <c r="BL140" t="s">
        <v>2922</v>
      </c>
      <c r="BM140" t="s">
        <v>2923</v>
      </c>
      <c r="BN140" t="s">
        <v>74</v>
      </c>
      <c r="BO140" t="s">
        <v>155</v>
      </c>
      <c r="BP140" t="s">
        <v>74</v>
      </c>
      <c r="BQ140" t="s">
        <v>74</v>
      </c>
      <c r="BR140" t="s">
        <v>105</v>
      </c>
      <c r="BS140" t="s">
        <v>2924</v>
      </c>
      <c r="BT140" t="str">
        <f>HYPERLINK("https%3A%2F%2Fwww.webofscience.com%2Fwos%2Fwoscc%2Ffull-record%2FWOS:000314482900004","View Full Record in Web of Science")</f>
        <v>View Full Record in Web of Science</v>
      </c>
    </row>
    <row r="141" spans="1:72" x14ac:dyDescent="0.15">
      <c r="A141" t="s">
        <v>72</v>
      </c>
      <c r="B141" t="s">
        <v>2925</v>
      </c>
      <c r="C141" t="s">
        <v>74</v>
      </c>
      <c r="D141" t="s">
        <v>74</v>
      </c>
      <c r="E141" t="s">
        <v>74</v>
      </c>
      <c r="F141" t="s">
        <v>2926</v>
      </c>
      <c r="G141" t="s">
        <v>74</v>
      </c>
      <c r="H141" t="s">
        <v>2927</v>
      </c>
      <c r="I141" t="s">
        <v>2928</v>
      </c>
      <c r="J141" t="s">
        <v>2903</v>
      </c>
      <c r="K141" t="s">
        <v>74</v>
      </c>
      <c r="L141" t="s">
        <v>74</v>
      </c>
      <c r="M141" t="s">
        <v>78</v>
      </c>
      <c r="N141" t="s">
        <v>79</v>
      </c>
      <c r="O141" t="s">
        <v>74</v>
      </c>
      <c r="P141" t="s">
        <v>74</v>
      </c>
      <c r="Q141" t="s">
        <v>74</v>
      </c>
      <c r="R141" t="s">
        <v>74</v>
      </c>
      <c r="S141" t="s">
        <v>74</v>
      </c>
      <c r="T141" t="s">
        <v>2929</v>
      </c>
      <c r="U141" t="s">
        <v>2930</v>
      </c>
      <c r="V141" t="s">
        <v>2931</v>
      </c>
      <c r="W141" t="s">
        <v>2932</v>
      </c>
      <c r="X141" t="s">
        <v>2271</v>
      </c>
      <c r="Y141" t="s">
        <v>2933</v>
      </c>
      <c r="Z141" t="s">
        <v>2934</v>
      </c>
      <c r="AA141" t="s">
        <v>2935</v>
      </c>
      <c r="AB141" t="s">
        <v>2936</v>
      </c>
      <c r="AC141" t="s">
        <v>2937</v>
      </c>
      <c r="AD141" t="s">
        <v>2938</v>
      </c>
      <c r="AE141" t="s">
        <v>2939</v>
      </c>
      <c r="AF141" t="s">
        <v>74</v>
      </c>
      <c r="AG141">
        <v>13</v>
      </c>
      <c r="AH141">
        <v>2</v>
      </c>
      <c r="AI141">
        <v>2</v>
      </c>
      <c r="AJ141">
        <v>0</v>
      </c>
      <c r="AK141">
        <v>4</v>
      </c>
      <c r="AL141" t="s">
        <v>447</v>
      </c>
      <c r="AM141" t="s">
        <v>147</v>
      </c>
      <c r="AN141" t="s">
        <v>448</v>
      </c>
      <c r="AO141" t="s">
        <v>2916</v>
      </c>
      <c r="AP141" t="s">
        <v>2917</v>
      </c>
      <c r="AQ141" t="s">
        <v>74</v>
      </c>
      <c r="AR141" t="s">
        <v>2918</v>
      </c>
      <c r="AS141" t="s">
        <v>2919</v>
      </c>
      <c r="AT141" t="s">
        <v>2870</v>
      </c>
      <c r="AU141">
        <v>2013</v>
      </c>
      <c r="AV141">
        <v>51</v>
      </c>
      <c r="AW141">
        <v>2</v>
      </c>
      <c r="AX141" t="s">
        <v>74</v>
      </c>
      <c r="AY141" t="s">
        <v>74</v>
      </c>
      <c r="AZ141" t="s">
        <v>74</v>
      </c>
      <c r="BA141" t="s">
        <v>74</v>
      </c>
      <c r="BB141">
        <v>238</v>
      </c>
      <c r="BC141">
        <v>241</v>
      </c>
      <c r="BD141" t="s">
        <v>74</v>
      </c>
      <c r="BE141" t="s">
        <v>2940</v>
      </c>
      <c r="BF141" t="str">
        <f>HYPERLINK("http://dx.doi.org/10.1016/j.asr.2011.05.011","http://dx.doi.org/10.1016/j.asr.2011.05.011")</f>
        <v>http://dx.doi.org/10.1016/j.asr.2011.05.011</v>
      </c>
      <c r="BG141" t="s">
        <v>74</v>
      </c>
      <c r="BH141" t="s">
        <v>74</v>
      </c>
      <c r="BI141">
        <v>4</v>
      </c>
      <c r="BJ141" t="s">
        <v>2921</v>
      </c>
      <c r="BK141" t="s">
        <v>102</v>
      </c>
      <c r="BL141" t="s">
        <v>2922</v>
      </c>
      <c r="BM141" t="s">
        <v>2923</v>
      </c>
      <c r="BN141" t="s">
        <v>74</v>
      </c>
      <c r="BO141" t="s">
        <v>74</v>
      </c>
      <c r="BP141" t="s">
        <v>74</v>
      </c>
      <c r="BQ141" t="s">
        <v>74</v>
      </c>
      <c r="BR141" t="s">
        <v>105</v>
      </c>
      <c r="BS141" t="s">
        <v>2941</v>
      </c>
      <c r="BT141" t="str">
        <f>HYPERLINK("https%3A%2F%2Fwww.webofscience.com%2Fwos%2Fwoscc%2Ffull-record%2FWOS:000314482900006","View Full Record in Web of Science")</f>
        <v>View Full Record in Web of Science</v>
      </c>
    </row>
    <row r="142" spans="1:72" x14ac:dyDescent="0.15">
      <c r="A142" t="s">
        <v>72</v>
      </c>
      <c r="B142" t="s">
        <v>2942</v>
      </c>
      <c r="C142" t="s">
        <v>74</v>
      </c>
      <c r="D142" t="s">
        <v>74</v>
      </c>
      <c r="E142" t="s">
        <v>74</v>
      </c>
      <c r="F142" t="s">
        <v>2943</v>
      </c>
      <c r="G142" t="s">
        <v>74</v>
      </c>
      <c r="H142" t="s">
        <v>74</v>
      </c>
      <c r="I142" t="s">
        <v>2944</v>
      </c>
      <c r="J142" t="s">
        <v>2945</v>
      </c>
      <c r="K142" t="s">
        <v>74</v>
      </c>
      <c r="L142" t="s">
        <v>74</v>
      </c>
      <c r="M142" t="s">
        <v>78</v>
      </c>
      <c r="N142" t="s">
        <v>79</v>
      </c>
      <c r="O142" t="s">
        <v>74</v>
      </c>
      <c r="P142" t="s">
        <v>74</v>
      </c>
      <c r="Q142" t="s">
        <v>74</v>
      </c>
      <c r="R142" t="s">
        <v>74</v>
      </c>
      <c r="S142" t="s">
        <v>74</v>
      </c>
      <c r="T142" t="s">
        <v>2946</v>
      </c>
      <c r="U142" t="s">
        <v>2947</v>
      </c>
      <c r="V142" t="s">
        <v>2948</v>
      </c>
      <c r="W142" t="s">
        <v>2949</v>
      </c>
      <c r="X142" t="s">
        <v>2950</v>
      </c>
      <c r="Y142" t="s">
        <v>2951</v>
      </c>
      <c r="Z142" t="s">
        <v>2952</v>
      </c>
      <c r="AA142" t="s">
        <v>2953</v>
      </c>
      <c r="AB142" t="s">
        <v>2954</v>
      </c>
      <c r="AC142" t="s">
        <v>2955</v>
      </c>
      <c r="AD142" t="s">
        <v>2956</v>
      </c>
      <c r="AE142" t="s">
        <v>2957</v>
      </c>
      <c r="AF142" t="s">
        <v>74</v>
      </c>
      <c r="AG142">
        <v>47</v>
      </c>
      <c r="AH142">
        <v>15</v>
      </c>
      <c r="AI142">
        <v>17</v>
      </c>
      <c r="AJ142">
        <v>0</v>
      </c>
      <c r="AK142">
        <v>24</v>
      </c>
      <c r="AL142" t="s">
        <v>586</v>
      </c>
      <c r="AM142" t="s">
        <v>542</v>
      </c>
      <c r="AN142" t="s">
        <v>587</v>
      </c>
      <c r="AO142" t="s">
        <v>2958</v>
      </c>
      <c r="AP142" t="s">
        <v>2959</v>
      </c>
      <c r="AQ142" t="s">
        <v>74</v>
      </c>
      <c r="AR142" t="s">
        <v>2945</v>
      </c>
      <c r="AS142" t="s">
        <v>2960</v>
      </c>
      <c r="AT142" t="s">
        <v>2870</v>
      </c>
      <c r="AU142">
        <v>2013</v>
      </c>
      <c r="AV142">
        <v>182</v>
      </c>
      <c r="AW142" t="s">
        <v>74</v>
      </c>
      <c r="AX142" t="s">
        <v>74</v>
      </c>
      <c r="AY142" t="s">
        <v>74</v>
      </c>
      <c r="AZ142" t="s">
        <v>74</v>
      </c>
      <c r="BA142" t="s">
        <v>74</v>
      </c>
      <c r="BB142">
        <v>79</v>
      </c>
      <c r="BC142">
        <v>88</v>
      </c>
      <c r="BD142" t="s">
        <v>74</v>
      </c>
      <c r="BE142" t="s">
        <v>2961</v>
      </c>
      <c r="BF142" t="str">
        <f>HYPERLINK("http://dx.doi.org/10.1016/j.geomorph.2012.10.032","http://dx.doi.org/10.1016/j.geomorph.2012.10.032")</f>
        <v>http://dx.doi.org/10.1016/j.geomorph.2012.10.032</v>
      </c>
      <c r="BG142" t="s">
        <v>74</v>
      </c>
      <c r="BH142" t="s">
        <v>74</v>
      </c>
      <c r="BI142">
        <v>10</v>
      </c>
      <c r="BJ142" t="s">
        <v>2261</v>
      </c>
      <c r="BK142" t="s">
        <v>102</v>
      </c>
      <c r="BL142" t="s">
        <v>2262</v>
      </c>
      <c r="BM142" t="s">
        <v>2962</v>
      </c>
      <c r="BN142" t="s">
        <v>74</v>
      </c>
      <c r="BO142" t="s">
        <v>429</v>
      </c>
      <c r="BP142" t="s">
        <v>74</v>
      </c>
      <c r="BQ142" t="s">
        <v>74</v>
      </c>
      <c r="BR142" t="s">
        <v>105</v>
      </c>
      <c r="BS142" t="s">
        <v>2963</v>
      </c>
      <c r="BT142" t="str">
        <f>HYPERLINK("https%3A%2F%2Fwww.webofscience.com%2Fwos%2Fwoscc%2Ffull-record%2FWOS:000314328800006","View Full Record in Web of Science")</f>
        <v>View Full Record in Web of Science</v>
      </c>
    </row>
    <row r="143" spans="1:72" x14ac:dyDescent="0.15">
      <c r="A143" t="s">
        <v>72</v>
      </c>
      <c r="B143" t="s">
        <v>2964</v>
      </c>
      <c r="C143" t="s">
        <v>74</v>
      </c>
      <c r="D143" t="s">
        <v>74</v>
      </c>
      <c r="E143" t="s">
        <v>74</v>
      </c>
      <c r="F143" t="s">
        <v>2965</v>
      </c>
      <c r="G143" t="s">
        <v>74</v>
      </c>
      <c r="H143" t="s">
        <v>74</v>
      </c>
      <c r="I143" t="s">
        <v>2966</v>
      </c>
      <c r="J143" t="s">
        <v>2967</v>
      </c>
      <c r="K143" t="s">
        <v>74</v>
      </c>
      <c r="L143" t="s">
        <v>74</v>
      </c>
      <c r="M143" t="s">
        <v>78</v>
      </c>
      <c r="N143" t="s">
        <v>79</v>
      </c>
      <c r="O143" t="s">
        <v>74</v>
      </c>
      <c r="P143" t="s">
        <v>74</v>
      </c>
      <c r="Q143" t="s">
        <v>74</v>
      </c>
      <c r="R143" t="s">
        <v>74</v>
      </c>
      <c r="S143" t="s">
        <v>74</v>
      </c>
      <c r="T143" t="s">
        <v>2968</v>
      </c>
      <c r="U143" t="s">
        <v>2969</v>
      </c>
      <c r="V143" t="s">
        <v>2970</v>
      </c>
      <c r="W143" t="s">
        <v>2971</v>
      </c>
      <c r="X143" t="s">
        <v>2972</v>
      </c>
      <c r="Y143" t="s">
        <v>2973</v>
      </c>
      <c r="Z143" t="s">
        <v>2974</v>
      </c>
      <c r="AA143" t="s">
        <v>2975</v>
      </c>
      <c r="AB143" t="s">
        <v>2976</v>
      </c>
      <c r="AC143" t="s">
        <v>2977</v>
      </c>
      <c r="AD143" t="s">
        <v>2977</v>
      </c>
      <c r="AE143" t="s">
        <v>2978</v>
      </c>
      <c r="AF143" t="s">
        <v>74</v>
      </c>
      <c r="AG143">
        <v>57</v>
      </c>
      <c r="AH143">
        <v>46</v>
      </c>
      <c r="AI143">
        <v>48</v>
      </c>
      <c r="AJ143">
        <v>1</v>
      </c>
      <c r="AK143">
        <v>42</v>
      </c>
      <c r="AL143" t="s">
        <v>146</v>
      </c>
      <c r="AM143" t="s">
        <v>147</v>
      </c>
      <c r="AN143" t="s">
        <v>148</v>
      </c>
      <c r="AO143" t="s">
        <v>2979</v>
      </c>
      <c r="AP143" t="s">
        <v>2980</v>
      </c>
      <c r="AQ143" t="s">
        <v>74</v>
      </c>
      <c r="AR143" t="s">
        <v>2981</v>
      </c>
      <c r="AS143" t="s">
        <v>2982</v>
      </c>
      <c r="AT143" t="s">
        <v>2870</v>
      </c>
      <c r="AU143">
        <v>2013</v>
      </c>
      <c r="AV143">
        <v>66</v>
      </c>
      <c r="AW143" t="s">
        <v>2789</v>
      </c>
      <c r="AX143" t="s">
        <v>74</v>
      </c>
      <c r="AY143" t="s">
        <v>74</v>
      </c>
      <c r="AZ143" t="s">
        <v>74</v>
      </c>
      <c r="BA143" t="s">
        <v>74</v>
      </c>
      <c r="BB143">
        <v>105</v>
      </c>
      <c r="BC143">
        <v>116</v>
      </c>
      <c r="BD143" t="s">
        <v>74</v>
      </c>
      <c r="BE143" t="s">
        <v>2983</v>
      </c>
      <c r="BF143" t="str">
        <f>HYPERLINK("http://dx.doi.org/10.1016/j.marpolbul.2012.10.024","http://dx.doi.org/10.1016/j.marpolbul.2012.10.024")</f>
        <v>http://dx.doi.org/10.1016/j.marpolbul.2012.10.024</v>
      </c>
      <c r="BG143" t="s">
        <v>74</v>
      </c>
      <c r="BH143" t="s">
        <v>74</v>
      </c>
      <c r="BI143">
        <v>12</v>
      </c>
      <c r="BJ143" t="s">
        <v>2984</v>
      </c>
      <c r="BK143" t="s">
        <v>102</v>
      </c>
      <c r="BL143" t="s">
        <v>2985</v>
      </c>
      <c r="BM143" t="s">
        <v>2986</v>
      </c>
      <c r="BN143">
        <v>23199730</v>
      </c>
      <c r="BO143" t="s">
        <v>74</v>
      </c>
      <c r="BP143" t="s">
        <v>74</v>
      </c>
      <c r="BQ143" t="s">
        <v>74</v>
      </c>
      <c r="BR143" t="s">
        <v>105</v>
      </c>
      <c r="BS143" t="s">
        <v>2987</v>
      </c>
      <c r="BT143" t="str">
        <f>HYPERLINK("https%3A%2F%2Fwww.webofscience.com%2Fwos%2Fwoscc%2Ffull-record%2FWOS:000315543500025","View Full Record in Web of Science")</f>
        <v>View Full Record in Web of Science</v>
      </c>
    </row>
    <row r="144" spans="1:72" x14ac:dyDescent="0.15">
      <c r="A144" t="s">
        <v>72</v>
      </c>
      <c r="B144" t="s">
        <v>2988</v>
      </c>
      <c r="C144" t="s">
        <v>74</v>
      </c>
      <c r="D144" t="s">
        <v>74</v>
      </c>
      <c r="E144" t="s">
        <v>74</v>
      </c>
      <c r="F144" t="s">
        <v>2989</v>
      </c>
      <c r="G144" t="s">
        <v>74</v>
      </c>
      <c r="H144" t="s">
        <v>74</v>
      </c>
      <c r="I144" t="s">
        <v>2990</v>
      </c>
      <c r="J144" t="s">
        <v>2967</v>
      </c>
      <c r="K144" t="s">
        <v>74</v>
      </c>
      <c r="L144" t="s">
        <v>74</v>
      </c>
      <c r="M144" t="s">
        <v>78</v>
      </c>
      <c r="N144" t="s">
        <v>79</v>
      </c>
      <c r="O144" t="s">
        <v>74</v>
      </c>
      <c r="P144" t="s">
        <v>74</v>
      </c>
      <c r="Q144" t="s">
        <v>74</v>
      </c>
      <c r="R144" t="s">
        <v>74</v>
      </c>
      <c r="S144" t="s">
        <v>74</v>
      </c>
      <c r="T144" t="s">
        <v>2991</v>
      </c>
      <c r="U144" t="s">
        <v>2992</v>
      </c>
      <c r="V144" t="s">
        <v>2993</v>
      </c>
      <c r="W144" t="s">
        <v>2994</v>
      </c>
      <c r="X144" t="s">
        <v>653</v>
      </c>
      <c r="Y144" t="s">
        <v>2995</v>
      </c>
      <c r="Z144" t="s">
        <v>2996</v>
      </c>
      <c r="AA144" t="s">
        <v>74</v>
      </c>
      <c r="AB144" t="s">
        <v>74</v>
      </c>
      <c r="AC144" t="s">
        <v>74</v>
      </c>
      <c r="AD144" t="s">
        <v>74</v>
      </c>
      <c r="AE144" t="s">
        <v>74</v>
      </c>
      <c r="AF144" t="s">
        <v>74</v>
      </c>
      <c r="AG144">
        <v>54</v>
      </c>
      <c r="AH144">
        <v>153</v>
      </c>
      <c r="AI144">
        <v>159</v>
      </c>
      <c r="AJ144">
        <v>4</v>
      </c>
      <c r="AK144">
        <v>109</v>
      </c>
      <c r="AL144" t="s">
        <v>146</v>
      </c>
      <c r="AM144" t="s">
        <v>147</v>
      </c>
      <c r="AN144" t="s">
        <v>148</v>
      </c>
      <c r="AO144" t="s">
        <v>2979</v>
      </c>
      <c r="AP144" t="s">
        <v>2980</v>
      </c>
      <c r="AQ144" t="s">
        <v>74</v>
      </c>
      <c r="AR144" t="s">
        <v>2981</v>
      </c>
      <c r="AS144" t="s">
        <v>2982</v>
      </c>
      <c r="AT144" t="s">
        <v>2870</v>
      </c>
      <c r="AU144">
        <v>2013</v>
      </c>
      <c r="AV144">
        <v>66</v>
      </c>
      <c r="AW144" t="s">
        <v>2789</v>
      </c>
      <c r="AX144" t="s">
        <v>74</v>
      </c>
      <c r="AY144" t="s">
        <v>74</v>
      </c>
      <c r="AZ144" t="s">
        <v>74</v>
      </c>
      <c r="BA144" t="s">
        <v>74</v>
      </c>
      <c r="BB144">
        <v>199</v>
      </c>
      <c r="BC144">
        <v>208</v>
      </c>
      <c r="BD144" t="s">
        <v>74</v>
      </c>
      <c r="BE144" t="s">
        <v>2997</v>
      </c>
      <c r="BF144" t="str">
        <f>HYPERLINK("http://dx.doi.org/10.1016/j.marpolbul.2012.08.026","http://dx.doi.org/10.1016/j.marpolbul.2012.08.026")</f>
        <v>http://dx.doi.org/10.1016/j.marpolbul.2012.08.026</v>
      </c>
      <c r="BG144" t="s">
        <v>74</v>
      </c>
      <c r="BH144" t="s">
        <v>74</v>
      </c>
      <c r="BI144">
        <v>10</v>
      </c>
      <c r="BJ144" t="s">
        <v>2984</v>
      </c>
      <c r="BK144" t="s">
        <v>102</v>
      </c>
      <c r="BL144" t="s">
        <v>2985</v>
      </c>
      <c r="BM144" t="s">
        <v>2986</v>
      </c>
      <c r="BN144">
        <v>23219394</v>
      </c>
      <c r="BO144" t="s">
        <v>74</v>
      </c>
      <c r="BP144" t="s">
        <v>74</v>
      </c>
      <c r="BQ144" t="s">
        <v>74</v>
      </c>
      <c r="BR144" t="s">
        <v>105</v>
      </c>
      <c r="BS144" t="s">
        <v>2998</v>
      </c>
      <c r="BT144" t="str">
        <f>HYPERLINK("https%3A%2F%2Fwww.webofscience.com%2Fwos%2Fwoscc%2Ffull-record%2FWOS:000315543500036","View Full Record in Web of Science")</f>
        <v>View Full Record in Web of Science</v>
      </c>
    </row>
    <row r="145" spans="1:72" x14ac:dyDescent="0.15">
      <c r="A145" t="s">
        <v>72</v>
      </c>
      <c r="B145" t="s">
        <v>2999</v>
      </c>
      <c r="C145" t="s">
        <v>74</v>
      </c>
      <c r="D145" t="s">
        <v>74</v>
      </c>
      <c r="E145" t="s">
        <v>74</v>
      </c>
      <c r="F145" t="s">
        <v>3000</v>
      </c>
      <c r="G145" t="s">
        <v>74</v>
      </c>
      <c r="H145" t="s">
        <v>74</v>
      </c>
      <c r="I145" t="s">
        <v>3001</v>
      </c>
      <c r="J145" t="s">
        <v>3002</v>
      </c>
      <c r="K145" t="s">
        <v>74</v>
      </c>
      <c r="L145" t="s">
        <v>74</v>
      </c>
      <c r="M145" t="s">
        <v>78</v>
      </c>
      <c r="N145" t="s">
        <v>79</v>
      </c>
      <c r="O145" t="s">
        <v>74</v>
      </c>
      <c r="P145" t="s">
        <v>74</v>
      </c>
      <c r="Q145" t="s">
        <v>74</v>
      </c>
      <c r="R145" t="s">
        <v>74</v>
      </c>
      <c r="S145" t="s">
        <v>74</v>
      </c>
      <c r="T145" t="s">
        <v>3003</v>
      </c>
      <c r="U145" t="s">
        <v>3004</v>
      </c>
      <c r="V145" t="s">
        <v>3005</v>
      </c>
      <c r="W145" t="s">
        <v>3006</v>
      </c>
      <c r="X145" t="s">
        <v>3007</v>
      </c>
      <c r="Y145" t="s">
        <v>3008</v>
      </c>
      <c r="Z145" t="s">
        <v>3009</v>
      </c>
      <c r="AA145" t="s">
        <v>3010</v>
      </c>
      <c r="AB145" t="s">
        <v>3011</v>
      </c>
      <c r="AC145" t="s">
        <v>3012</v>
      </c>
      <c r="AD145" t="s">
        <v>3013</v>
      </c>
      <c r="AE145" t="s">
        <v>3014</v>
      </c>
      <c r="AF145" t="s">
        <v>74</v>
      </c>
      <c r="AG145">
        <v>86</v>
      </c>
      <c r="AH145">
        <v>21</v>
      </c>
      <c r="AI145">
        <v>26</v>
      </c>
      <c r="AJ145">
        <v>0</v>
      </c>
      <c r="AK145">
        <v>13</v>
      </c>
      <c r="AL145" t="s">
        <v>3015</v>
      </c>
      <c r="AM145" t="s">
        <v>3016</v>
      </c>
      <c r="AN145" t="s">
        <v>3017</v>
      </c>
      <c r="AO145" t="s">
        <v>3018</v>
      </c>
      <c r="AP145" t="s">
        <v>3019</v>
      </c>
      <c r="AQ145" t="s">
        <v>74</v>
      </c>
      <c r="AR145" t="s">
        <v>3002</v>
      </c>
      <c r="AS145" t="s">
        <v>3020</v>
      </c>
      <c r="AT145" t="s">
        <v>3021</v>
      </c>
      <c r="AU145">
        <v>2013</v>
      </c>
      <c r="AV145">
        <v>3602</v>
      </c>
      <c r="AW145">
        <v>1</v>
      </c>
      <c r="AX145" t="s">
        <v>74</v>
      </c>
      <c r="AY145" t="s">
        <v>74</v>
      </c>
      <c r="AZ145" t="s">
        <v>74</v>
      </c>
      <c r="BA145" t="s">
        <v>74</v>
      </c>
      <c r="BB145">
        <v>1</v>
      </c>
      <c r="BC145">
        <v>105</v>
      </c>
      <c r="BD145" t="s">
        <v>74</v>
      </c>
      <c r="BE145" t="s">
        <v>3022</v>
      </c>
      <c r="BF145" t="str">
        <f>HYPERLINK("http://dx.doi.org/10.11646/zootaxa.3602.1.1","http://dx.doi.org/10.11646/zootaxa.3602.1.1")</f>
        <v>http://dx.doi.org/10.11646/zootaxa.3602.1.1</v>
      </c>
      <c r="BG145" t="s">
        <v>74</v>
      </c>
      <c r="BH145" t="s">
        <v>74</v>
      </c>
      <c r="BI145">
        <v>105</v>
      </c>
      <c r="BJ145" t="s">
        <v>3023</v>
      </c>
      <c r="BK145" t="s">
        <v>102</v>
      </c>
      <c r="BL145" t="s">
        <v>3023</v>
      </c>
      <c r="BM145" t="s">
        <v>3024</v>
      </c>
      <c r="BN145">
        <v>24614121</v>
      </c>
      <c r="BO145" t="s">
        <v>74</v>
      </c>
      <c r="BP145" t="s">
        <v>74</v>
      </c>
      <c r="BQ145" t="s">
        <v>74</v>
      </c>
      <c r="BR145" t="s">
        <v>105</v>
      </c>
      <c r="BS145" t="s">
        <v>3025</v>
      </c>
      <c r="BT145" t="str">
        <f>HYPERLINK("https%3A%2F%2Fwww.webofscience.com%2Fwos%2Fwoscc%2Ffull-record%2FWOS:000313795900001","View Full Record in Web of Science")</f>
        <v>View Full Record in Web of Science</v>
      </c>
    </row>
    <row r="146" spans="1:72" x14ac:dyDescent="0.15">
      <c r="A146" t="s">
        <v>72</v>
      </c>
      <c r="B146" t="s">
        <v>3026</v>
      </c>
      <c r="C146" t="s">
        <v>74</v>
      </c>
      <c r="D146" t="s">
        <v>74</v>
      </c>
      <c r="E146" t="s">
        <v>74</v>
      </c>
      <c r="F146" t="s">
        <v>3027</v>
      </c>
      <c r="G146" t="s">
        <v>74</v>
      </c>
      <c r="H146" t="s">
        <v>74</v>
      </c>
      <c r="I146" t="s">
        <v>3028</v>
      </c>
      <c r="J146" t="s">
        <v>3029</v>
      </c>
      <c r="K146" t="s">
        <v>74</v>
      </c>
      <c r="L146" t="s">
        <v>74</v>
      </c>
      <c r="M146" t="s">
        <v>78</v>
      </c>
      <c r="N146" t="s">
        <v>1120</v>
      </c>
      <c r="O146" t="s">
        <v>74</v>
      </c>
      <c r="P146" t="s">
        <v>74</v>
      </c>
      <c r="Q146" t="s">
        <v>74</v>
      </c>
      <c r="R146" t="s">
        <v>74</v>
      </c>
      <c r="S146" t="s">
        <v>74</v>
      </c>
      <c r="T146" t="s">
        <v>3030</v>
      </c>
      <c r="U146" t="s">
        <v>3031</v>
      </c>
      <c r="V146" t="s">
        <v>3032</v>
      </c>
      <c r="W146" t="s">
        <v>3033</v>
      </c>
      <c r="X146" t="s">
        <v>74</v>
      </c>
      <c r="Y146" t="s">
        <v>3034</v>
      </c>
      <c r="Z146" t="s">
        <v>3035</v>
      </c>
      <c r="AA146" t="s">
        <v>74</v>
      </c>
      <c r="AB146" t="s">
        <v>74</v>
      </c>
      <c r="AC146" t="s">
        <v>3036</v>
      </c>
      <c r="AD146" t="s">
        <v>3037</v>
      </c>
      <c r="AE146" t="s">
        <v>74</v>
      </c>
      <c r="AF146" t="s">
        <v>74</v>
      </c>
      <c r="AG146">
        <v>31</v>
      </c>
      <c r="AH146">
        <v>4</v>
      </c>
      <c r="AI146">
        <v>4</v>
      </c>
      <c r="AJ146">
        <v>0</v>
      </c>
      <c r="AK146">
        <v>21</v>
      </c>
      <c r="AL146" t="s">
        <v>3038</v>
      </c>
      <c r="AM146" t="s">
        <v>474</v>
      </c>
      <c r="AN146" t="s">
        <v>3039</v>
      </c>
      <c r="AO146" t="s">
        <v>3040</v>
      </c>
      <c r="AP146" t="s">
        <v>3041</v>
      </c>
      <c r="AQ146" t="s">
        <v>74</v>
      </c>
      <c r="AR146" t="s">
        <v>3042</v>
      </c>
      <c r="AS146" t="s">
        <v>3043</v>
      </c>
      <c r="AT146" t="s">
        <v>3044</v>
      </c>
      <c r="AU146">
        <v>2013</v>
      </c>
      <c r="AV146">
        <v>371</v>
      </c>
      <c r="AW146">
        <v>1982</v>
      </c>
      <c r="AX146" t="s">
        <v>74</v>
      </c>
      <c r="AY146" t="s">
        <v>74</v>
      </c>
      <c r="AZ146" t="s">
        <v>221</v>
      </c>
      <c r="BA146" t="s">
        <v>74</v>
      </c>
      <c r="BB146" t="s">
        <v>74</v>
      </c>
      <c r="BC146" t="s">
        <v>74</v>
      </c>
      <c r="BD146">
        <v>20120168</v>
      </c>
      <c r="BE146" t="s">
        <v>3045</v>
      </c>
      <c r="BF146" t="str">
        <f>HYPERLINK("http://dx.doi.org/10.1098/rsta.2012.0168","http://dx.doi.org/10.1098/rsta.2012.0168")</f>
        <v>http://dx.doi.org/10.1098/rsta.2012.0168</v>
      </c>
      <c r="BG146" t="s">
        <v>74</v>
      </c>
      <c r="BH146" t="s">
        <v>74</v>
      </c>
      <c r="BI146">
        <v>12</v>
      </c>
      <c r="BJ146" t="s">
        <v>328</v>
      </c>
      <c r="BK146" t="s">
        <v>102</v>
      </c>
      <c r="BL146" t="s">
        <v>329</v>
      </c>
      <c r="BM146" t="s">
        <v>3046</v>
      </c>
      <c r="BN146">
        <v>23185052</v>
      </c>
      <c r="BO146" t="s">
        <v>1427</v>
      </c>
      <c r="BP146" t="s">
        <v>74</v>
      </c>
      <c r="BQ146" t="s">
        <v>74</v>
      </c>
      <c r="BR146" t="s">
        <v>105</v>
      </c>
      <c r="BS146" t="s">
        <v>3047</v>
      </c>
      <c r="BT146" t="str">
        <f>HYPERLINK("https%3A%2F%2Fwww.webofscience.com%2Fwos%2Fwoscc%2Ffull-record%2FWOS:000312959000002","View Full Record in Web of Science")</f>
        <v>View Full Record in Web of Science</v>
      </c>
    </row>
    <row r="147" spans="1:72" x14ac:dyDescent="0.15">
      <c r="A147" t="s">
        <v>72</v>
      </c>
      <c r="B147" t="s">
        <v>3048</v>
      </c>
      <c r="C147" t="s">
        <v>74</v>
      </c>
      <c r="D147" t="s">
        <v>74</v>
      </c>
      <c r="E147" t="s">
        <v>74</v>
      </c>
      <c r="F147" t="s">
        <v>3049</v>
      </c>
      <c r="G147" t="s">
        <v>74</v>
      </c>
      <c r="H147" t="s">
        <v>74</v>
      </c>
      <c r="I147" t="s">
        <v>3050</v>
      </c>
      <c r="J147" t="s">
        <v>783</v>
      </c>
      <c r="K147" t="s">
        <v>74</v>
      </c>
      <c r="L147" t="s">
        <v>74</v>
      </c>
      <c r="M147" t="s">
        <v>78</v>
      </c>
      <c r="N147" t="s">
        <v>3051</v>
      </c>
      <c r="O147" t="s">
        <v>74</v>
      </c>
      <c r="P147" t="s">
        <v>74</v>
      </c>
      <c r="Q147" t="s">
        <v>74</v>
      </c>
      <c r="R147" t="s">
        <v>74</v>
      </c>
      <c r="S147" t="s">
        <v>74</v>
      </c>
      <c r="T147" t="s">
        <v>74</v>
      </c>
      <c r="U147" t="s">
        <v>74</v>
      </c>
      <c r="V147" t="s">
        <v>74</v>
      </c>
      <c r="W147" t="s">
        <v>3052</v>
      </c>
      <c r="X147" t="s">
        <v>3053</v>
      </c>
      <c r="Y147" t="s">
        <v>3054</v>
      </c>
      <c r="Z147" t="s">
        <v>3055</v>
      </c>
      <c r="AA147" t="s">
        <v>1665</v>
      </c>
      <c r="AB147" t="s">
        <v>3056</v>
      </c>
      <c r="AC147" t="s">
        <v>74</v>
      </c>
      <c r="AD147" t="s">
        <v>74</v>
      </c>
      <c r="AE147" t="s">
        <v>74</v>
      </c>
      <c r="AF147" t="s">
        <v>74</v>
      </c>
      <c r="AG147">
        <v>6</v>
      </c>
      <c r="AH147">
        <v>4</v>
      </c>
      <c r="AI147">
        <v>4</v>
      </c>
      <c r="AJ147">
        <v>0</v>
      </c>
      <c r="AK147">
        <v>44</v>
      </c>
      <c r="AL147" t="s">
        <v>785</v>
      </c>
      <c r="AM147" t="s">
        <v>786</v>
      </c>
      <c r="AN147" t="s">
        <v>787</v>
      </c>
      <c r="AO147" t="s">
        <v>788</v>
      </c>
      <c r="AP147" t="s">
        <v>74</v>
      </c>
      <c r="AQ147" t="s">
        <v>74</v>
      </c>
      <c r="AR147" t="s">
        <v>783</v>
      </c>
      <c r="AS147" t="s">
        <v>790</v>
      </c>
      <c r="AT147" t="s">
        <v>3057</v>
      </c>
      <c r="AU147">
        <v>2013</v>
      </c>
      <c r="AV147">
        <v>339</v>
      </c>
      <c r="AW147">
        <v>6116</v>
      </c>
      <c r="AX147" t="s">
        <v>74</v>
      </c>
      <c r="AY147" t="s">
        <v>74</v>
      </c>
      <c r="AZ147" t="s">
        <v>74</v>
      </c>
      <c r="BA147" t="s">
        <v>74</v>
      </c>
      <c r="BB147">
        <v>141</v>
      </c>
      <c r="BC147">
        <v>141</v>
      </c>
      <c r="BD147" t="s">
        <v>74</v>
      </c>
      <c r="BE147" t="s">
        <v>3058</v>
      </c>
      <c r="BF147" t="str">
        <f>HYPERLINK("http://dx.doi.org/10.1126/science.339.6116.141-a","http://dx.doi.org/10.1126/science.339.6116.141-a")</f>
        <v>http://dx.doi.org/10.1126/science.339.6116.141-a</v>
      </c>
      <c r="BG147" t="s">
        <v>74</v>
      </c>
      <c r="BH147" t="s">
        <v>74</v>
      </c>
      <c r="BI147">
        <v>1</v>
      </c>
      <c r="BJ147" t="s">
        <v>328</v>
      </c>
      <c r="BK147" t="s">
        <v>102</v>
      </c>
      <c r="BL147" t="s">
        <v>329</v>
      </c>
      <c r="BM147" t="s">
        <v>3059</v>
      </c>
      <c r="BN147">
        <v>23307721</v>
      </c>
      <c r="BO147" t="s">
        <v>74</v>
      </c>
      <c r="BP147" t="s">
        <v>74</v>
      </c>
      <c r="BQ147" t="s">
        <v>74</v>
      </c>
      <c r="BR147" t="s">
        <v>105</v>
      </c>
      <c r="BS147" t="s">
        <v>3060</v>
      </c>
      <c r="BT147" t="str">
        <f>HYPERLINK("https%3A%2F%2Fwww.webofscience.com%2Fwos%2Fwoscc%2Ffull-record%2FWOS:000313328200019","View Full Record in Web of Science")</f>
        <v>View Full Record in Web of Science</v>
      </c>
    </row>
    <row r="148" spans="1:72" x14ac:dyDescent="0.15">
      <c r="A148" t="s">
        <v>72</v>
      </c>
      <c r="B148" t="s">
        <v>3061</v>
      </c>
      <c r="C148" t="s">
        <v>74</v>
      </c>
      <c r="D148" t="s">
        <v>74</v>
      </c>
      <c r="E148" t="s">
        <v>74</v>
      </c>
      <c r="F148" t="s">
        <v>3062</v>
      </c>
      <c r="G148" t="s">
        <v>74</v>
      </c>
      <c r="H148" t="s">
        <v>74</v>
      </c>
      <c r="I148" t="s">
        <v>3063</v>
      </c>
      <c r="J148" t="s">
        <v>2341</v>
      </c>
      <c r="K148" t="s">
        <v>74</v>
      </c>
      <c r="L148" t="s">
        <v>74</v>
      </c>
      <c r="M148" t="s">
        <v>78</v>
      </c>
      <c r="N148" t="s">
        <v>79</v>
      </c>
      <c r="O148" t="s">
        <v>74</v>
      </c>
      <c r="P148" t="s">
        <v>74</v>
      </c>
      <c r="Q148" t="s">
        <v>74</v>
      </c>
      <c r="R148" t="s">
        <v>74</v>
      </c>
      <c r="S148" t="s">
        <v>74</v>
      </c>
      <c r="T148" t="s">
        <v>74</v>
      </c>
      <c r="U148" t="s">
        <v>3064</v>
      </c>
      <c r="V148" t="s">
        <v>3065</v>
      </c>
      <c r="W148" t="s">
        <v>3066</v>
      </c>
      <c r="X148" t="s">
        <v>3067</v>
      </c>
      <c r="Y148" t="s">
        <v>3068</v>
      </c>
      <c r="Z148" t="s">
        <v>3069</v>
      </c>
      <c r="AA148" t="s">
        <v>3070</v>
      </c>
      <c r="AB148" t="s">
        <v>3071</v>
      </c>
      <c r="AC148" t="s">
        <v>3072</v>
      </c>
      <c r="AD148" t="s">
        <v>3073</v>
      </c>
      <c r="AE148" t="s">
        <v>3074</v>
      </c>
      <c r="AF148" t="s">
        <v>74</v>
      </c>
      <c r="AG148">
        <v>70</v>
      </c>
      <c r="AH148">
        <v>50</v>
      </c>
      <c r="AI148">
        <v>56</v>
      </c>
      <c r="AJ148">
        <v>3</v>
      </c>
      <c r="AK148">
        <v>88</v>
      </c>
      <c r="AL148" t="s">
        <v>2350</v>
      </c>
      <c r="AM148" t="s">
        <v>2351</v>
      </c>
      <c r="AN148" t="s">
        <v>2352</v>
      </c>
      <c r="AO148" t="s">
        <v>2353</v>
      </c>
      <c r="AP148" t="s">
        <v>74</v>
      </c>
      <c r="AQ148" t="s">
        <v>74</v>
      </c>
      <c r="AR148" t="s">
        <v>2341</v>
      </c>
      <c r="AS148" t="s">
        <v>2354</v>
      </c>
      <c r="AT148" t="s">
        <v>3057</v>
      </c>
      <c r="AU148">
        <v>2013</v>
      </c>
      <c r="AV148">
        <v>8</v>
      </c>
      <c r="AW148">
        <v>1</v>
      </c>
      <c r="AX148" t="s">
        <v>74</v>
      </c>
      <c r="AY148" t="s">
        <v>74</v>
      </c>
      <c r="AZ148" t="s">
        <v>74</v>
      </c>
      <c r="BA148" t="s">
        <v>74</v>
      </c>
      <c r="BB148" t="s">
        <v>74</v>
      </c>
      <c r="BC148" t="s">
        <v>74</v>
      </c>
      <c r="BD148" t="s">
        <v>3075</v>
      </c>
      <c r="BE148" t="s">
        <v>3076</v>
      </c>
      <c r="BF148" t="str">
        <f>HYPERLINK("http://dx.doi.org/10.1371/journal.pone.0053598","http://dx.doi.org/10.1371/journal.pone.0053598")</f>
        <v>http://dx.doi.org/10.1371/journal.pone.0053598</v>
      </c>
      <c r="BG148" t="s">
        <v>74</v>
      </c>
      <c r="BH148" t="s">
        <v>74</v>
      </c>
      <c r="BI148">
        <v>13</v>
      </c>
      <c r="BJ148" t="s">
        <v>328</v>
      </c>
      <c r="BK148" t="s">
        <v>102</v>
      </c>
      <c r="BL148" t="s">
        <v>329</v>
      </c>
      <c r="BM148" t="s">
        <v>3077</v>
      </c>
      <c r="BN148">
        <v>23326463</v>
      </c>
      <c r="BO148" t="s">
        <v>3078</v>
      </c>
      <c r="BP148" t="s">
        <v>74</v>
      </c>
      <c r="BQ148" t="s">
        <v>74</v>
      </c>
      <c r="BR148" t="s">
        <v>105</v>
      </c>
      <c r="BS148" t="s">
        <v>3079</v>
      </c>
      <c r="BT148" t="str">
        <f>HYPERLINK("https%3A%2F%2Fwww.webofscience.com%2Fwos%2Fwoscc%2Ffull-record%2FWOS:000314705800057","View Full Record in Web of Science")</f>
        <v>View Full Record in Web of Science</v>
      </c>
    </row>
    <row r="149" spans="1:72" x14ac:dyDescent="0.15">
      <c r="A149" t="s">
        <v>72</v>
      </c>
      <c r="B149" t="s">
        <v>3080</v>
      </c>
      <c r="C149" t="s">
        <v>74</v>
      </c>
      <c r="D149" t="s">
        <v>74</v>
      </c>
      <c r="E149" t="s">
        <v>74</v>
      </c>
      <c r="F149" t="s">
        <v>3081</v>
      </c>
      <c r="G149" t="s">
        <v>74</v>
      </c>
      <c r="H149" t="s">
        <v>74</v>
      </c>
      <c r="I149" t="s">
        <v>3082</v>
      </c>
      <c r="J149" t="s">
        <v>2341</v>
      </c>
      <c r="K149" t="s">
        <v>74</v>
      </c>
      <c r="L149" t="s">
        <v>74</v>
      </c>
      <c r="M149" t="s">
        <v>78</v>
      </c>
      <c r="N149" t="s">
        <v>79</v>
      </c>
      <c r="O149" t="s">
        <v>74</v>
      </c>
      <c r="P149" t="s">
        <v>74</v>
      </c>
      <c r="Q149" t="s">
        <v>74</v>
      </c>
      <c r="R149" t="s">
        <v>74</v>
      </c>
      <c r="S149" t="s">
        <v>74</v>
      </c>
      <c r="T149" t="s">
        <v>74</v>
      </c>
      <c r="U149" t="s">
        <v>3083</v>
      </c>
      <c r="V149" t="s">
        <v>3084</v>
      </c>
      <c r="W149" t="s">
        <v>3085</v>
      </c>
      <c r="X149" t="s">
        <v>3086</v>
      </c>
      <c r="Y149" t="s">
        <v>3087</v>
      </c>
      <c r="Z149" t="s">
        <v>3088</v>
      </c>
      <c r="AA149" t="s">
        <v>3089</v>
      </c>
      <c r="AB149" t="s">
        <v>3090</v>
      </c>
      <c r="AC149" t="s">
        <v>3091</v>
      </c>
      <c r="AD149" t="s">
        <v>3092</v>
      </c>
      <c r="AE149" t="s">
        <v>3093</v>
      </c>
      <c r="AF149" t="s">
        <v>74</v>
      </c>
      <c r="AG149">
        <v>73</v>
      </c>
      <c r="AH149">
        <v>39</v>
      </c>
      <c r="AI149">
        <v>41</v>
      </c>
      <c r="AJ149">
        <v>1</v>
      </c>
      <c r="AK149">
        <v>86</v>
      </c>
      <c r="AL149" t="s">
        <v>2350</v>
      </c>
      <c r="AM149" t="s">
        <v>2351</v>
      </c>
      <c r="AN149" t="s">
        <v>2352</v>
      </c>
      <c r="AO149" t="s">
        <v>2353</v>
      </c>
      <c r="AP149" t="s">
        <v>74</v>
      </c>
      <c r="AQ149" t="s">
        <v>74</v>
      </c>
      <c r="AR149" t="s">
        <v>2341</v>
      </c>
      <c r="AS149" t="s">
        <v>2354</v>
      </c>
      <c r="AT149" t="s">
        <v>3094</v>
      </c>
      <c r="AU149">
        <v>2013</v>
      </c>
      <c r="AV149">
        <v>8</v>
      </c>
      <c r="AW149">
        <v>1</v>
      </c>
      <c r="AX149" t="s">
        <v>74</v>
      </c>
      <c r="AY149" t="s">
        <v>74</v>
      </c>
      <c r="AZ149" t="s">
        <v>74</v>
      </c>
      <c r="BA149" t="s">
        <v>74</v>
      </c>
      <c r="BB149" t="s">
        <v>74</v>
      </c>
      <c r="BC149" t="s">
        <v>74</v>
      </c>
      <c r="BD149" t="s">
        <v>3095</v>
      </c>
      <c r="BE149" t="s">
        <v>3096</v>
      </c>
      <c r="BF149" t="str">
        <f>HYPERLINK("http://dx.doi.org/10.1371/journal.pone.0052542","http://dx.doi.org/10.1371/journal.pone.0052542")</f>
        <v>http://dx.doi.org/10.1371/journal.pone.0052542</v>
      </c>
      <c r="BG149" t="s">
        <v>74</v>
      </c>
      <c r="BH149" t="s">
        <v>74</v>
      </c>
      <c r="BI149">
        <v>11</v>
      </c>
      <c r="BJ149" t="s">
        <v>328</v>
      </c>
      <c r="BK149" t="s">
        <v>102</v>
      </c>
      <c r="BL149" t="s">
        <v>329</v>
      </c>
      <c r="BM149" t="s">
        <v>3097</v>
      </c>
      <c r="BN149">
        <v>23326339</v>
      </c>
      <c r="BO149" t="s">
        <v>3098</v>
      </c>
      <c r="BP149" t="s">
        <v>74</v>
      </c>
      <c r="BQ149" t="s">
        <v>74</v>
      </c>
      <c r="BR149" t="s">
        <v>105</v>
      </c>
      <c r="BS149" t="s">
        <v>3099</v>
      </c>
      <c r="BT149" t="str">
        <f>HYPERLINK("https%3A%2F%2Fwww.webofscience.com%2Fwos%2Fwoscc%2Ffull-record%2FWOS:000313551500016","View Full Record in Web of Science")</f>
        <v>View Full Record in Web of Science</v>
      </c>
    </row>
    <row r="150" spans="1:72" x14ac:dyDescent="0.15">
      <c r="A150" t="s">
        <v>72</v>
      </c>
      <c r="B150" t="s">
        <v>3100</v>
      </c>
      <c r="C150" t="s">
        <v>74</v>
      </c>
      <c r="D150" t="s">
        <v>74</v>
      </c>
      <c r="E150" t="s">
        <v>74</v>
      </c>
      <c r="F150" t="s">
        <v>3101</v>
      </c>
      <c r="G150" t="s">
        <v>74</v>
      </c>
      <c r="H150" t="s">
        <v>74</v>
      </c>
      <c r="I150" t="s">
        <v>3102</v>
      </c>
      <c r="J150" t="s">
        <v>3103</v>
      </c>
      <c r="K150" t="s">
        <v>74</v>
      </c>
      <c r="L150" t="s">
        <v>74</v>
      </c>
      <c r="M150" t="s">
        <v>78</v>
      </c>
      <c r="N150" t="s">
        <v>79</v>
      </c>
      <c r="O150" t="s">
        <v>74</v>
      </c>
      <c r="P150" t="s">
        <v>74</v>
      </c>
      <c r="Q150" t="s">
        <v>74</v>
      </c>
      <c r="R150" t="s">
        <v>74</v>
      </c>
      <c r="S150" t="s">
        <v>74</v>
      </c>
      <c r="T150" t="s">
        <v>3104</v>
      </c>
      <c r="U150" t="s">
        <v>3105</v>
      </c>
      <c r="V150" t="s">
        <v>3106</v>
      </c>
      <c r="W150" t="s">
        <v>3107</v>
      </c>
      <c r="X150" t="s">
        <v>3108</v>
      </c>
      <c r="Y150" t="s">
        <v>3109</v>
      </c>
      <c r="Z150" t="s">
        <v>3110</v>
      </c>
      <c r="AA150" t="s">
        <v>3111</v>
      </c>
      <c r="AB150" t="s">
        <v>3112</v>
      </c>
      <c r="AC150" t="s">
        <v>3113</v>
      </c>
      <c r="AD150" t="s">
        <v>3114</v>
      </c>
      <c r="AE150" t="s">
        <v>3115</v>
      </c>
      <c r="AF150" t="s">
        <v>74</v>
      </c>
      <c r="AG150">
        <v>45</v>
      </c>
      <c r="AH150">
        <v>76</v>
      </c>
      <c r="AI150">
        <v>85</v>
      </c>
      <c r="AJ150">
        <v>2</v>
      </c>
      <c r="AK150">
        <v>153</v>
      </c>
      <c r="AL150" t="s">
        <v>3038</v>
      </c>
      <c r="AM150" t="s">
        <v>474</v>
      </c>
      <c r="AN150" t="s">
        <v>3039</v>
      </c>
      <c r="AO150" t="s">
        <v>3116</v>
      </c>
      <c r="AP150" t="s">
        <v>3117</v>
      </c>
      <c r="AQ150" t="s">
        <v>74</v>
      </c>
      <c r="AR150" t="s">
        <v>3118</v>
      </c>
      <c r="AS150" t="s">
        <v>3119</v>
      </c>
      <c r="AT150" t="s">
        <v>3120</v>
      </c>
      <c r="AU150">
        <v>2013</v>
      </c>
      <c r="AV150">
        <v>280</v>
      </c>
      <c r="AW150">
        <v>1750</v>
      </c>
      <c r="AX150" t="s">
        <v>74</v>
      </c>
      <c r="AY150" t="s">
        <v>74</v>
      </c>
      <c r="AZ150" t="s">
        <v>74</v>
      </c>
      <c r="BA150" t="s">
        <v>74</v>
      </c>
      <c r="BB150" t="s">
        <v>74</v>
      </c>
      <c r="BC150" t="s">
        <v>74</v>
      </c>
      <c r="BD150">
        <v>20122262</v>
      </c>
      <c r="BE150" t="s">
        <v>3121</v>
      </c>
      <c r="BF150" t="str">
        <f>HYPERLINK("http://dx.doi.org/10.1098/rspb.2012.2262","http://dx.doi.org/10.1098/rspb.2012.2262")</f>
        <v>http://dx.doi.org/10.1098/rspb.2012.2262</v>
      </c>
      <c r="BG150" t="s">
        <v>74</v>
      </c>
      <c r="BH150" t="s">
        <v>74</v>
      </c>
      <c r="BI150">
        <v>9</v>
      </c>
      <c r="BJ150" t="s">
        <v>3122</v>
      </c>
      <c r="BK150" t="s">
        <v>102</v>
      </c>
      <c r="BL150" t="s">
        <v>3123</v>
      </c>
      <c r="BM150" t="s">
        <v>3124</v>
      </c>
      <c r="BN150">
        <v>23135676</v>
      </c>
      <c r="BO150" t="s">
        <v>2097</v>
      </c>
      <c r="BP150" t="s">
        <v>74</v>
      </c>
      <c r="BQ150" t="s">
        <v>74</v>
      </c>
      <c r="BR150" t="s">
        <v>105</v>
      </c>
      <c r="BS150" t="s">
        <v>3125</v>
      </c>
      <c r="BT150" t="str">
        <f>HYPERLINK("https%3A%2F%2Fwww.webofscience.com%2Fwos%2Fwoscc%2Ffull-record%2FWOS:000311943100028","View Full Record in Web of Science")</f>
        <v>View Full Record in Web of Science</v>
      </c>
    </row>
    <row r="151" spans="1:72" x14ac:dyDescent="0.15">
      <c r="A151" t="s">
        <v>72</v>
      </c>
      <c r="B151" t="s">
        <v>3126</v>
      </c>
      <c r="C151" t="s">
        <v>74</v>
      </c>
      <c r="D151" t="s">
        <v>74</v>
      </c>
      <c r="E151" t="s">
        <v>74</v>
      </c>
      <c r="F151" t="s">
        <v>3127</v>
      </c>
      <c r="G151" t="s">
        <v>74</v>
      </c>
      <c r="H151" t="s">
        <v>74</v>
      </c>
      <c r="I151" t="s">
        <v>3128</v>
      </c>
      <c r="J151" t="s">
        <v>3129</v>
      </c>
      <c r="K151" t="s">
        <v>74</v>
      </c>
      <c r="L151" t="s">
        <v>74</v>
      </c>
      <c r="M151" t="s">
        <v>78</v>
      </c>
      <c r="N151" t="s">
        <v>79</v>
      </c>
      <c r="O151" t="s">
        <v>74</v>
      </c>
      <c r="P151" t="s">
        <v>74</v>
      </c>
      <c r="Q151" t="s">
        <v>74</v>
      </c>
      <c r="R151" t="s">
        <v>74</v>
      </c>
      <c r="S151" t="s">
        <v>74</v>
      </c>
      <c r="T151" t="s">
        <v>3130</v>
      </c>
      <c r="U151" t="s">
        <v>3131</v>
      </c>
      <c r="V151" t="s">
        <v>3132</v>
      </c>
      <c r="W151" t="s">
        <v>3133</v>
      </c>
      <c r="X151" t="s">
        <v>3134</v>
      </c>
      <c r="Y151" t="s">
        <v>3135</v>
      </c>
      <c r="Z151" t="s">
        <v>3136</v>
      </c>
      <c r="AA151" t="s">
        <v>3137</v>
      </c>
      <c r="AB151" t="s">
        <v>3138</v>
      </c>
      <c r="AC151" t="s">
        <v>3139</v>
      </c>
      <c r="AD151" t="s">
        <v>3140</v>
      </c>
      <c r="AE151" t="s">
        <v>3141</v>
      </c>
      <c r="AF151" t="s">
        <v>74</v>
      </c>
      <c r="AG151">
        <v>51</v>
      </c>
      <c r="AH151">
        <v>73</v>
      </c>
      <c r="AI151">
        <v>78</v>
      </c>
      <c r="AJ151">
        <v>3</v>
      </c>
      <c r="AK151">
        <v>113</v>
      </c>
      <c r="AL151" t="s">
        <v>3038</v>
      </c>
      <c r="AM151" t="s">
        <v>474</v>
      </c>
      <c r="AN151" t="s">
        <v>3039</v>
      </c>
      <c r="AO151" t="s">
        <v>3142</v>
      </c>
      <c r="AP151" t="s">
        <v>3143</v>
      </c>
      <c r="AQ151" t="s">
        <v>74</v>
      </c>
      <c r="AR151" t="s">
        <v>3144</v>
      </c>
      <c r="AS151" t="s">
        <v>3145</v>
      </c>
      <c r="AT151" t="s">
        <v>3146</v>
      </c>
      <c r="AU151">
        <v>2013</v>
      </c>
      <c r="AV151">
        <v>10</v>
      </c>
      <c r="AW151">
        <v>78</v>
      </c>
      <c r="AX151" t="s">
        <v>74</v>
      </c>
      <c r="AY151" t="s">
        <v>74</v>
      </c>
      <c r="AZ151" t="s">
        <v>74</v>
      </c>
      <c r="BA151" t="s">
        <v>74</v>
      </c>
      <c r="BB151" t="s">
        <v>74</v>
      </c>
      <c r="BC151" t="s">
        <v>74</v>
      </c>
      <c r="BD151">
        <v>20120570</v>
      </c>
      <c r="BE151" t="s">
        <v>3147</v>
      </c>
      <c r="BF151" t="str">
        <f>HYPERLINK("http://dx.doi.org/10.1098/rsif.2012.0570","http://dx.doi.org/10.1098/rsif.2012.0570")</f>
        <v>http://dx.doi.org/10.1098/rsif.2012.0570</v>
      </c>
      <c r="BG151" t="s">
        <v>74</v>
      </c>
      <c r="BH151" t="s">
        <v>74</v>
      </c>
      <c r="BI151">
        <v>12</v>
      </c>
      <c r="BJ151" t="s">
        <v>328</v>
      </c>
      <c r="BK151" t="s">
        <v>102</v>
      </c>
      <c r="BL151" t="s">
        <v>329</v>
      </c>
      <c r="BM151" t="s">
        <v>3148</v>
      </c>
      <c r="BN151">
        <v>23635496</v>
      </c>
      <c r="BO151" t="s">
        <v>2097</v>
      </c>
      <c r="BP151" t="s">
        <v>74</v>
      </c>
      <c r="BQ151" t="s">
        <v>74</v>
      </c>
      <c r="BR151" t="s">
        <v>105</v>
      </c>
      <c r="BS151" t="s">
        <v>3149</v>
      </c>
      <c r="BT151" t="str">
        <f>HYPERLINK("https%3A%2F%2Fwww.webofscience.com%2Fwos%2Fwoscc%2Ffull-record%2FWOS:000311939400009","View Full Record in Web of Science")</f>
        <v>View Full Record in Web of Science</v>
      </c>
    </row>
    <row r="152" spans="1:72" x14ac:dyDescent="0.15">
      <c r="A152" t="s">
        <v>72</v>
      </c>
      <c r="B152" t="s">
        <v>3150</v>
      </c>
      <c r="C152" t="s">
        <v>74</v>
      </c>
      <c r="D152" t="s">
        <v>74</v>
      </c>
      <c r="E152" t="s">
        <v>74</v>
      </c>
      <c r="F152" t="s">
        <v>3151</v>
      </c>
      <c r="G152" t="s">
        <v>74</v>
      </c>
      <c r="H152" t="s">
        <v>74</v>
      </c>
      <c r="I152" t="s">
        <v>3152</v>
      </c>
      <c r="J152" t="s">
        <v>2341</v>
      </c>
      <c r="K152" t="s">
        <v>74</v>
      </c>
      <c r="L152" t="s">
        <v>74</v>
      </c>
      <c r="M152" t="s">
        <v>78</v>
      </c>
      <c r="N152" t="s">
        <v>79</v>
      </c>
      <c r="O152" t="s">
        <v>74</v>
      </c>
      <c r="P152" t="s">
        <v>74</v>
      </c>
      <c r="Q152" t="s">
        <v>74</v>
      </c>
      <c r="R152" t="s">
        <v>74</v>
      </c>
      <c r="S152" t="s">
        <v>74</v>
      </c>
      <c r="T152" t="s">
        <v>74</v>
      </c>
      <c r="U152" t="s">
        <v>3153</v>
      </c>
      <c r="V152" t="s">
        <v>3154</v>
      </c>
      <c r="W152" t="s">
        <v>3155</v>
      </c>
      <c r="X152" t="s">
        <v>3156</v>
      </c>
      <c r="Y152" t="s">
        <v>3157</v>
      </c>
      <c r="Z152" t="s">
        <v>3158</v>
      </c>
      <c r="AA152" t="s">
        <v>3159</v>
      </c>
      <c r="AB152" t="s">
        <v>3160</v>
      </c>
      <c r="AC152" t="s">
        <v>3161</v>
      </c>
      <c r="AD152" t="s">
        <v>3161</v>
      </c>
      <c r="AE152" t="s">
        <v>3162</v>
      </c>
      <c r="AF152" t="s">
        <v>74</v>
      </c>
      <c r="AG152">
        <v>87</v>
      </c>
      <c r="AH152">
        <v>161</v>
      </c>
      <c r="AI152">
        <v>181</v>
      </c>
      <c r="AJ152">
        <v>2</v>
      </c>
      <c r="AK152">
        <v>134</v>
      </c>
      <c r="AL152" t="s">
        <v>2350</v>
      </c>
      <c r="AM152" t="s">
        <v>2351</v>
      </c>
      <c r="AN152" t="s">
        <v>2352</v>
      </c>
      <c r="AO152" t="s">
        <v>2353</v>
      </c>
      <c r="AP152" t="s">
        <v>74</v>
      </c>
      <c r="AQ152" t="s">
        <v>74</v>
      </c>
      <c r="AR152" t="s">
        <v>2341</v>
      </c>
      <c r="AS152" t="s">
        <v>2354</v>
      </c>
      <c r="AT152" t="s">
        <v>3163</v>
      </c>
      <c r="AU152">
        <v>2013</v>
      </c>
      <c r="AV152">
        <v>8</v>
      </c>
      <c r="AW152">
        <v>1</v>
      </c>
      <c r="AX152" t="s">
        <v>74</v>
      </c>
      <c r="AY152" t="s">
        <v>74</v>
      </c>
      <c r="AZ152" t="s">
        <v>74</v>
      </c>
      <c r="BA152" t="s">
        <v>74</v>
      </c>
      <c r="BB152" t="s">
        <v>74</v>
      </c>
      <c r="BC152" t="s">
        <v>74</v>
      </c>
      <c r="BD152" t="s">
        <v>3164</v>
      </c>
      <c r="BE152" t="s">
        <v>3165</v>
      </c>
      <c r="BF152" t="str">
        <f>HYPERLINK("http://dx.doi.org/10.1371/journal.pone.0053348","http://dx.doi.org/10.1371/journal.pone.0053348")</f>
        <v>http://dx.doi.org/10.1371/journal.pone.0053348</v>
      </c>
      <c r="BG152" t="s">
        <v>74</v>
      </c>
      <c r="BH152" t="s">
        <v>74</v>
      </c>
      <c r="BI152">
        <v>12</v>
      </c>
      <c r="BJ152" t="s">
        <v>328</v>
      </c>
      <c r="BK152" t="s">
        <v>102</v>
      </c>
      <c r="BL152" t="s">
        <v>329</v>
      </c>
      <c r="BM152" t="s">
        <v>3166</v>
      </c>
      <c r="BN152">
        <v>23301063</v>
      </c>
      <c r="BO152" t="s">
        <v>2815</v>
      </c>
      <c r="BP152" t="s">
        <v>74</v>
      </c>
      <c r="BQ152" t="s">
        <v>74</v>
      </c>
      <c r="BR152" t="s">
        <v>105</v>
      </c>
      <c r="BS152" t="s">
        <v>3167</v>
      </c>
      <c r="BT152" t="str">
        <f>HYPERLINK("https%3A%2F%2Fwww.webofscience.com%2Fwos%2Fwoscc%2Ffull-record%2FWOS:000313480000051","View Full Record in Web of Science")</f>
        <v>View Full Record in Web of Science</v>
      </c>
    </row>
    <row r="153" spans="1:72" x14ac:dyDescent="0.15">
      <c r="A153" t="s">
        <v>72</v>
      </c>
      <c r="B153" t="s">
        <v>3168</v>
      </c>
      <c r="C153" t="s">
        <v>74</v>
      </c>
      <c r="D153" t="s">
        <v>74</v>
      </c>
      <c r="E153" t="s">
        <v>74</v>
      </c>
      <c r="F153" t="s">
        <v>3169</v>
      </c>
      <c r="G153" t="s">
        <v>74</v>
      </c>
      <c r="H153" t="s">
        <v>3170</v>
      </c>
      <c r="I153" t="s">
        <v>3171</v>
      </c>
      <c r="J153" t="s">
        <v>2244</v>
      </c>
      <c r="K153" t="s">
        <v>74</v>
      </c>
      <c r="L153" t="s">
        <v>74</v>
      </c>
      <c r="M153" t="s">
        <v>78</v>
      </c>
      <c r="N153" t="s">
        <v>79</v>
      </c>
      <c r="O153" t="s">
        <v>74</v>
      </c>
      <c r="P153" t="s">
        <v>74</v>
      </c>
      <c r="Q153" t="s">
        <v>74</v>
      </c>
      <c r="R153" t="s">
        <v>74</v>
      </c>
      <c r="S153" t="s">
        <v>74</v>
      </c>
      <c r="T153" t="s">
        <v>3172</v>
      </c>
      <c r="U153" t="s">
        <v>3173</v>
      </c>
      <c r="V153" t="s">
        <v>3174</v>
      </c>
      <c r="W153" t="s">
        <v>3175</v>
      </c>
      <c r="X153" t="s">
        <v>3176</v>
      </c>
      <c r="Y153" t="s">
        <v>3177</v>
      </c>
      <c r="Z153" t="s">
        <v>3178</v>
      </c>
      <c r="AA153" t="s">
        <v>3179</v>
      </c>
      <c r="AB153" t="s">
        <v>3180</v>
      </c>
      <c r="AC153" t="s">
        <v>3181</v>
      </c>
      <c r="AD153" t="s">
        <v>3182</v>
      </c>
      <c r="AE153" t="s">
        <v>3183</v>
      </c>
      <c r="AF153" t="s">
        <v>74</v>
      </c>
      <c r="AG153">
        <v>29</v>
      </c>
      <c r="AH153">
        <v>39</v>
      </c>
      <c r="AI153">
        <v>43</v>
      </c>
      <c r="AJ153">
        <v>0</v>
      </c>
      <c r="AK153">
        <v>29</v>
      </c>
      <c r="AL153" t="s">
        <v>146</v>
      </c>
      <c r="AM153" t="s">
        <v>147</v>
      </c>
      <c r="AN153" t="s">
        <v>148</v>
      </c>
      <c r="AO153" t="s">
        <v>2257</v>
      </c>
      <c r="AP153" t="s">
        <v>74</v>
      </c>
      <c r="AQ153" t="s">
        <v>74</v>
      </c>
      <c r="AR153" t="s">
        <v>2258</v>
      </c>
      <c r="AS153" t="s">
        <v>2259</v>
      </c>
      <c r="AT153" t="s">
        <v>3163</v>
      </c>
      <c r="AU153">
        <v>2013</v>
      </c>
      <c r="AV153">
        <v>59</v>
      </c>
      <c r="AW153" t="s">
        <v>74</v>
      </c>
      <c r="AX153" t="s">
        <v>74</v>
      </c>
      <c r="AY153" t="s">
        <v>74</v>
      </c>
      <c r="AZ153" t="s">
        <v>74</v>
      </c>
      <c r="BA153" t="s">
        <v>74</v>
      </c>
      <c r="BB153">
        <v>101</v>
      </c>
      <c r="BC153">
        <v>111</v>
      </c>
      <c r="BD153" t="s">
        <v>74</v>
      </c>
      <c r="BE153" t="s">
        <v>3184</v>
      </c>
      <c r="BF153" t="str">
        <f>HYPERLINK("http://dx.doi.org/10.1016/j.quascirev.2012.10.022","http://dx.doi.org/10.1016/j.quascirev.2012.10.022")</f>
        <v>http://dx.doi.org/10.1016/j.quascirev.2012.10.022</v>
      </c>
      <c r="BG153" t="s">
        <v>74</v>
      </c>
      <c r="BH153" t="s">
        <v>74</v>
      </c>
      <c r="BI153">
        <v>11</v>
      </c>
      <c r="BJ153" t="s">
        <v>2261</v>
      </c>
      <c r="BK153" t="s">
        <v>102</v>
      </c>
      <c r="BL153" t="s">
        <v>2262</v>
      </c>
      <c r="BM153" t="s">
        <v>3185</v>
      </c>
      <c r="BN153" t="s">
        <v>74</v>
      </c>
      <c r="BO153" t="s">
        <v>429</v>
      </c>
      <c r="BP153" t="s">
        <v>74</v>
      </c>
      <c r="BQ153" t="s">
        <v>74</v>
      </c>
      <c r="BR153" t="s">
        <v>105</v>
      </c>
      <c r="BS153" t="s">
        <v>3186</v>
      </c>
      <c r="BT153" t="str">
        <f>HYPERLINK("https%3A%2F%2Fwww.webofscience.com%2Fwos%2Fwoscc%2Ffull-record%2FWOS:000313996200009","View Full Record in Web of Science")</f>
        <v>View Full Record in Web of Science</v>
      </c>
    </row>
    <row r="154" spans="1:72" x14ac:dyDescent="0.15">
      <c r="A154" t="s">
        <v>72</v>
      </c>
      <c r="B154" t="s">
        <v>3187</v>
      </c>
      <c r="C154" t="s">
        <v>74</v>
      </c>
      <c r="D154" t="s">
        <v>74</v>
      </c>
      <c r="E154" t="s">
        <v>74</v>
      </c>
      <c r="F154" t="s">
        <v>3188</v>
      </c>
      <c r="G154" t="s">
        <v>74</v>
      </c>
      <c r="H154" t="s">
        <v>74</v>
      </c>
      <c r="I154" t="s">
        <v>3189</v>
      </c>
      <c r="J154" t="s">
        <v>2341</v>
      </c>
      <c r="K154" t="s">
        <v>74</v>
      </c>
      <c r="L154" t="s">
        <v>74</v>
      </c>
      <c r="M154" t="s">
        <v>78</v>
      </c>
      <c r="N154" t="s">
        <v>79</v>
      </c>
      <c r="O154" t="s">
        <v>74</v>
      </c>
      <c r="P154" t="s">
        <v>74</v>
      </c>
      <c r="Q154" t="s">
        <v>74</v>
      </c>
      <c r="R154" t="s">
        <v>74</v>
      </c>
      <c r="S154" t="s">
        <v>74</v>
      </c>
      <c r="T154" t="s">
        <v>74</v>
      </c>
      <c r="U154" t="s">
        <v>3190</v>
      </c>
      <c r="V154" t="s">
        <v>3191</v>
      </c>
      <c r="W154" t="s">
        <v>3192</v>
      </c>
      <c r="X154" t="s">
        <v>3193</v>
      </c>
      <c r="Y154" t="s">
        <v>3194</v>
      </c>
      <c r="Z154" t="s">
        <v>3195</v>
      </c>
      <c r="AA154" t="s">
        <v>3196</v>
      </c>
      <c r="AB154" t="s">
        <v>3197</v>
      </c>
      <c r="AC154" t="s">
        <v>3198</v>
      </c>
      <c r="AD154" t="s">
        <v>3199</v>
      </c>
      <c r="AE154" t="s">
        <v>3200</v>
      </c>
      <c r="AF154" t="s">
        <v>74</v>
      </c>
      <c r="AG154">
        <v>43</v>
      </c>
      <c r="AH154">
        <v>13</v>
      </c>
      <c r="AI154">
        <v>13</v>
      </c>
      <c r="AJ154">
        <v>0</v>
      </c>
      <c r="AK154">
        <v>40</v>
      </c>
      <c r="AL154" t="s">
        <v>2350</v>
      </c>
      <c r="AM154" t="s">
        <v>2351</v>
      </c>
      <c r="AN154" t="s">
        <v>2352</v>
      </c>
      <c r="AO154" t="s">
        <v>2353</v>
      </c>
      <c r="AP154" t="s">
        <v>74</v>
      </c>
      <c r="AQ154" t="s">
        <v>74</v>
      </c>
      <c r="AR154" t="s">
        <v>2341</v>
      </c>
      <c r="AS154" t="s">
        <v>2354</v>
      </c>
      <c r="AT154" t="s">
        <v>3201</v>
      </c>
      <c r="AU154">
        <v>2013</v>
      </c>
      <c r="AV154">
        <v>8</v>
      </c>
      <c r="AW154">
        <v>1</v>
      </c>
      <c r="AX154" t="s">
        <v>74</v>
      </c>
      <c r="AY154" t="s">
        <v>74</v>
      </c>
      <c r="AZ154" t="s">
        <v>74</v>
      </c>
      <c r="BA154" t="s">
        <v>74</v>
      </c>
      <c r="BB154" t="s">
        <v>74</v>
      </c>
      <c r="BC154" t="s">
        <v>74</v>
      </c>
      <c r="BD154" t="s">
        <v>3202</v>
      </c>
      <c r="BE154" t="s">
        <v>3203</v>
      </c>
      <c r="BF154" t="str">
        <f>HYPERLINK("http://dx.doi.org/10.1371/journal.pone.0052632","http://dx.doi.org/10.1371/journal.pone.0052632")</f>
        <v>http://dx.doi.org/10.1371/journal.pone.0052632</v>
      </c>
      <c r="BG154" t="s">
        <v>74</v>
      </c>
      <c r="BH154" t="s">
        <v>74</v>
      </c>
      <c r="BI154">
        <v>5</v>
      </c>
      <c r="BJ154" t="s">
        <v>328</v>
      </c>
      <c r="BK154" t="s">
        <v>102</v>
      </c>
      <c r="BL154" t="s">
        <v>329</v>
      </c>
      <c r="BM154" t="s">
        <v>3204</v>
      </c>
      <c r="BN154">
        <v>23300983</v>
      </c>
      <c r="BO154" t="s">
        <v>3098</v>
      </c>
      <c r="BP154" t="s">
        <v>74</v>
      </c>
      <c r="BQ154" t="s">
        <v>74</v>
      </c>
      <c r="BR154" t="s">
        <v>105</v>
      </c>
      <c r="BS154" t="s">
        <v>3205</v>
      </c>
      <c r="BT154" t="str">
        <f>HYPERLINK("https%3A%2F%2Fwww.webofscience.com%2Fwos%2Fwoscc%2Ffull-record%2FWOS:000313320900035","View Full Record in Web of Science")</f>
        <v>View Full Record in Web of Science</v>
      </c>
    </row>
    <row r="155" spans="1:72" x14ac:dyDescent="0.15">
      <c r="A155" t="s">
        <v>72</v>
      </c>
      <c r="B155" t="s">
        <v>3206</v>
      </c>
      <c r="C155" t="s">
        <v>74</v>
      </c>
      <c r="D155" t="s">
        <v>74</v>
      </c>
      <c r="E155" t="s">
        <v>74</v>
      </c>
      <c r="F155" t="s">
        <v>3207</v>
      </c>
      <c r="G155" t="s">
        <v>74</v>
      </c>
      <c r="H155" t="s">
        <v>74</v>
      </c>
      <c r="I155" t="s">
        <v>3208</v>
      </c>
      <c r="J155" t="s">
        <v>2341</v>
      </c>
      <c r="K155" t="s">
        <v>74</v>
      </c>
      <c r="L155" t="s">
        <v>74</v>
      </c>
      <c r="M155" t="s">
        <v>78</v>
      </c>
      <c r="N155" t="s">
        <v>79</v>
      </c>
      <c r="O155" t="s">
        <v>74</v>
      </c>
      <c r="P155" t="s">
        <v>74</v>
      </c>
      <c r="Q155" t="s">
        <v>74</v>
      </c>
      <c r="R155" t="s">
        <v>74</v>
      </c>
      <c r="S155" t="s">
        <v>74</v>
      </c>
      <c r="T155" t="s">
        <v>74</v>
      </c>
      <c r="U155" t="s">
        <v>3209</v>
      </c>
      <c r="V155" t="s">
        <v>3210</v>
      </c>
      <c r="W155" t="s">
        <v>3211</v>
      </c>
      <c r="X155" t="s">
        <v>3212</v>
      </c>
      <c r="Y155" t="s">
        <v>3213</v>
      </c>
      <c r="Z155" t="s">
        <v>3214</v>
      </c>
      <c r="AA155" t="s">
        <v>3215</v>
      </c>
      <c r="AB155" t="s">
        <v>3216</v>
      </c>
      <c r="AC155" t="s">
        <v>3217</v>
      </c>
      <c r="AD155" t="s">
        <v>3218</v>
      </c>
      <c r="AE155" t="s">
        <v>3219</v>
      </c>
      <c r="AF155" t="s">
        <v>74</v>
      </c>
      <c r="AG155">
        <v>89</v>
      </c>
      <c r="AH155">
        <v>35</v>
      </c>
      <c r="AI155">
        <v>39</v>
      </c>
      <c r="AJ155">
        <v>2</v>
      </c>
      <c r="AK155">
        <v>55</v>
      </c>
      <c r="AL155" t="s">
        <v>2350</v>
      </c>
      <c r="AM155" t="s">
        <v>2351</v>
      </c>
      <c r="AN155" t="s">
        <v>2352</v>
      </c>
      <c r="AO155" t="s">
        <v>2353</v>
      </c>
      <c r="AP155" t="s">
        <v>74</v>
      </c>
      <c r="AQ155" t="s">
        <v>74</v>
      </c>
      <c r="AR155" t="s">
        <v>2341</v>
      </c>
      <c r="AS155" t="s">
        <v>2354</v>
      </c>
      <c r="AT155" t="s">
        <v>3201</v>
      </c>
      <c r="AU155">
        <v>2013</v>
      </c>
      <c r="AV155">
        <v>8</v>
      </c>
      <c r="AW155">
        <v>1</v>
      </c>
      <c r="AX155" t="s">
        <v>74</v>
      </c>
      <c r="AY155" t="s">
        <v>74</v>
      </c>
      <c r="AZ155" t="s">
        <v>74</v>
      </c>
      <c r="BA155" t="s">
        <v>74</v>
      </c>
      <c r="BB155" t="s">
        <v>74</v>
      </c>
      <c r="BC155" t="s">
        <v>74</v>
      </c>
      <c r="BD155" t="s">
        <v>3220</v>
      </c>
      <c r="BE155" t="s">
        <v>3221</v>
      </c>
      <c r="BF155" t="str">
        <f>HYPERLINK("http://dx.doi.org/10.1371/journal.pone.0052448","http://dx.doi.org/10.1371/journal.pone.0052448")</f>
        <v>http://dx.doi.org/10.1371/journal.pone.0052448</v>
      </c>
      <c r="BG155" t="s">
        <v>74</v>
      </c>
      <c r="BH155" t="s">
        <v>74</v>
      </c>
      <c r="BI155">
        <v>13</v>
      </c>
      <c r="BJ155" t="s">
        <v>328</v>
      </c>
      <c r="BK155" t="s">
        <v>102</v>
      </c>
      <c r="BL155" t="s">
        <v>329</v>
      </c>
      <c r="BM155" t="s">
        <v>3204</v>
      </c>
      <c r="BN155">
        <v>23300974</v>
      </c>
      <c r="BO155" t="s">
        <v>3222</v>
      </c>
      <c r="BP155" t="s">
        <v>74</v>
      </c>
      <c r="BQ155" t="s">
        <v>74</v>
      </c>
      <c r="BR155" t="s">
        <v>105</v>
      </c>
      <c r="BS155" t="s">
        <v>3223</v>
      </c>
      <c r="BT155" t="str">
        <f>HYPERLINK("https%3A%2F%2Fwww.webofscience.com%2Fwos%2Fwoscc%2Ffull-record%2FWOS:000313320900026","View Full Record in Web of Science")</f>
        <v>View Full Record in Web of Science</v>
      </c>
    </row>
    <row r="156" spans="1:72" x14ac:dyDescent="0.15">
      <c r="A156" t="s">
        <v>3224</v>
      </c>
      <c r="B156" t="s">
        <v>3225</v>
      </c>
      <c r="C156" t="s">
        <v>74</v>
      </c>
      <c r="D156" t="s">
        <v>74</v>
      </c>
      <c r="E156" t="s">
        <v>3226</v>
      </c>
      <c r="F156" t="s">
        <v>3227</v>
      </c>
      <c r="G156" t="s">
        <v>74</v>
      </c>
      <c r="H156" t="s">
        <v>74</v>
      </c>
      <c r="I156" t="s">
        <v>3228</v>
      </c>
      <c r="J156" t="s">
        <v>3229</v>
      </c>
      <c r="K156" t="s">
        <v>3230</v>
      </c>
      <c r="L156" t="s">
        <v>74</v>
      </c>
      <c r="M156" t="s">
        <v>78</v>
      </c>
      <c r="N156" t="s">
        <v>3231</v>
      </c>
      <c r="O156" t="s">
        <v>3232</v>
      </c>
      <c r="P156" t="s">
        <v>3233</v>
      </c>
      <c r="Q156" t="s">
        <v>3234</v>
      </c>
      <c r="R156" t="s">
        <v>74</v>
      </c>
      <c r="S156" t="s">
        <v>74</v>
      </c>
      <c r="T156" t="s">
        <v>3235</v>
      </c>
      <c r="U156" t="s">
        <v>3236</v>
      </c>
      <c r="V156" t="s">
        <v>3237</v>
      </c>
      <c r="W156" t="s">
        <v>3238</v>
      </c>
      <c r="X156" t="s">
        <v>3239</v>
      </c>
      <c r="Y156" t="s">
        <v>3240</v>
      </c>
      <c r="Z156" t="s">
        <v>3241</v>
      </c>
      <c r="AA156" t="s">
        <v>3242</v>
      </c>
      <c r="AB156" t="s">
        <v>3243</v>
      </c>
      <c r="AC156" t="s">
        <v>74</v>
      </c>
      <c r="AD156" t="s">
        <v>74</v>
      </c>
      <c r="AE156" t="s">
        <v>74</v>
      </c>
      <c r="AF156" t="s">
        <v>74</v>
      </c>
      <c r="AG156">
        <v>27</v>
      </c>
      <c r="AH156">
        <v>0</v>
      </c>
      <c r="AI156">
        <v>0</v>
      </c>
      <c r="AJ156">
        <v>0</v>
      </c>
      <c r="AK156">
        <v>6</v>
      </c>
      <c r="AL156" t="s">
        <v>3226</v>
      </c>
      <c r="AM156" t="s">
        <v>296</v>
      </c>
      <c r="AN156" t="s">
        <v>3244</v>
      </c>
      <c r="AO156" t="s">
        <v>74</v>
      </c>
      <c r="AP156" t="s">
        <v>74</v>
      </c>
      <c r="AQ156" t="s">
        <v>74</v>
      </c>
      <c r="AR156" t="s">
        <v>3245</v>
      </c>
      <c r="AS156" t="s">
        <v>74</v>
      </c>
      <c r="AT156" t="s">
        <v>74</v>
      </c>
      <c r="AU156">
        <v>2013</v>
      </c>
      <c r="AV156" t="s">
        <v>74</v>
      </c>
      <c r="AW156" t="s">
        <v>74</v>
      </c>
      <c r="AX156" t="s">
        <v>74</v>
      </c>
      <c r="AY156" t="s">
        <v>74</v>
      </c>
      <c r="AZ156" t="s">
        <v>74</v>
      </c>
      <c r="BA156" t="s">
        <v>74</v>
      </c>
      <c r="BB156" t="s">
        <v>74</v>
      </c>
      <c r="BC156" t="s">
        <v>74</v>
      </c>
      <c r="BD156" t="s">
        <v>74</v>
      </c>
      <c r="BE156" t="s">
        <v>74</v>
      </c>
      <c r="BF156" t="s">
        <v>74</v>
      </c>
      <c r="BG156" t="s">
        <v>74</v>
      </c>
      <c r="BH156" t="s">
        <v>74</v>
      </c>
      <c r="BI156">
        <v>6</v>
      </c>
      <c r="BJ156" t="s">
        <v>3246</v>
      </c>
      <c r="BK156" t="s">
        <v>3247</v>
      </c>
      <c r="BL156" t="s">
        <v>3248</v>
      </c>
      <c r="BM156" t="s">
        <v>3249</v>
      </c>
      <c r="BN156" t="s">
        <v>74</v>
      </c>
      <c r="BO156" t="s">
        <v>74</v>
      </c>
      <c r="BP156" t="s">
        <v>74</v>
      </c>
      <c r="BQ156" t="s">
        <v>74</v>
      </c>
      <c r="BR156" t="s">
        <v>105</v>
      </c>
      <c r="BS156" t="s">
        <v>3250</v>
      </c>
      <c r="BT156" t="str">
        <f>HYPERLINK("https%3A%2F%2Fwww.webofscience.com%2Fwos%2Fwoscc%2Ffull-record%2FWOS:000345773000028","View Full Record in Web of Science")</f>
        <v>View Full Record in Web of Science</v>
      </c>
    </row>
    <row r="157" spans="1:72" x14ac:dyDescent="0.15">
      <c r="A157" t="s">
        <v>3251</v>
      </c>
      <c r="B157" t="s">
        <v>3252</v>
      </c>
      <c r="C157" t="s">
        <v>74</v>
      </c>
      <c r="D157" t="s">
        <v>3253</v>
      </c>
      <c r="E157" t="s">
        <v>74</v>
      </c>
      <c r="F157" t="s">
        <v>3254</v>
      </c>
      <c r="G157" t="s">
        <v>74</v>
      </c>
      <c r="H157" t="s">
        <v>74</v>
      </c>
      <c r="I157" t="s">
        <v>3255</v>
      </c>
      <c r="J157" t="s">
        <v>3256</v>
      </c>
      <c r="K157" t="s">
        <v>3257</v>
      </c>
      <c r="L157" t="s">
        <v>74</v>
      </c>
      <c r="M157" t="s">
        <v>78</v>
      </c>
      <c r="N157" t="s">
        <v>3258</v>
      </c>
      <c r="O157" t="s">
        <v>74</v>
      </c>
      <c r="P157" t="s">
        <v>74</v>
      </c>
      <c r="Q157" t="s">
        <v>74</v>
      </c>
      <c r="R157" t="s">
        <v>74</v>
      </c>
      <c r="S157" t="s">
        <v>74</v>
      </c>
      <c r="T157" t="s">
        <v>74</v>
      </c>
      <c r="U157" t="s">
        <v>3259</v>
      </c>
      <c r="V157" t="s">
        <v>74</v>
      </c>
      <c r="W157" t="s">
        <v>3260</v>
      </c>
      <c r="X157" t="s">
        <v>3261</v>
      </c>
      <c r="Y157" t="s">
        <v>3262</v>
      </c>
      <c r="Z157" t="s">
        <v>74</v>
      </c>
      <c r="AA157" t="s">
        <v>74</v>
      </c>
      <c r="AB157" t="s">
        <v>74</v>
      </c>
      <c r="AC157" t="s">
        <v>74</v>
      </c>
      <c r="AD157" t="s">
        <v>74</v>
      </c>
      <c r="AE157" t="s">
        <v>74</v>
      </c>
      <c r="AF157" t="s">
        <v>74</v>
      </c>
      <c r="AG157">
        <v>75</v>
      </c>
      <c r="AH157">
        <v>3</v>
      </c>
      <c r="AI157">
        <v>3</v>
      </c>
      <c r="AJ157">
        <v>0</v>
      </c>
      <c r="AK157">
        <v>2</v>
      </c>
      <c r="AL157" t="s">
        <v>3263</v>
      </c>
      <c r="AM157" t="s">
        <v>3264</v>
      </c>
      <c r="AN157" t="s">
        <v>3265</v>
      </c>
      <c r="AO157" t="s">
        <v>74</v>
      </c>
      <c r="AP157" t="s">
        <v>74</v>
      </c>
      <c r="AQ157" t="s">
        <v>3266</v>
      </c>
      <c r="AR157" t="s">
        <v>3267</v>
      </c>
      <c r="AS157" t="s">
        <v>74</v>
      </c>
      <c r="AT157" t="s">
        <v>74</v>
      </c>
      <c r="AU157">
        <v>2013</v>
      </c>
      <c r="AV157" t="s">
        <v>74</v>
      </c>
      <c r="AW157" t="s">
        <v>74</v>
      </c>
      <c r="AX157" t="s">
        <v>74</v>
      </c>
      <c r="AY157" t="s">
        <v>74</v>
      </c>
      <c r="AZ157" t="s">
        <v>74</v>
      </c>
      <c r="BA157" t="s">
        <v>74</v>
      </c>
      <c r="BB157">
        <v>79</v>
      </c>
      <c r="BC157">
        <v>107</v>
      </c>
      <c r="BD157" t="s">
        <v>74</v>
      </c>
      <c r="BE157" t="s">
        <v>74</v>
      </c>
      <c r="BF157" t="s">
        <v>74</v>
      </c>
      <c r="BG157" t="s">
        <v>74</v>
      </c>
      <c r="BH157" t="s">
        <v>74</v>
      </c>
      <c r="BI157">
        <v>29</v>
      </c>
      <c r="BJ157" t="s">
        <v>3268</v>
      </c>
      <c r="BK157" t="s">
        <v>3269</v>
      </c>
      <c r="BL157" t="s">
        <v>3268</v>
      </c>
      <c r="BM157" t="s">
        <v>3270</v>
      </c>
      <c r="BN157" t="s">
        <v>74</v>
      </c>
      <c r="BO157" t="s">
        <v>74</v>
      </c>
      <c r="BP157" t="s">
        <v>74</v>
      </c>
      <c r="BQ157" t="s">
        <v>74</v>
      </c>
      <c r="BR157" t="s">
        <v>105</v>
      </c>
      <c r="BS157" t="s">
        <v>3271</v>
      </c>
      <c r="BT157" t="str">
        <f>HYPERLINK("https%3A%2F%2Fwww.webofscience.com%2Fwos%2Fwoscc%2Ffull-record%2FWOS:000342417400005","View Full Record in Web of Science")</f>
        <v>View Full Record in Web of Science</v>
      </c>
    </row>
    <row r="158" spans="1:72" x14ac:dyDescent="0.15">
      <c r="A158" t="s">
        <v>72</v>
      </c>
      <c r="B158" t="s">
        <v>3272</v>
      </c>
      <c r="C158" t="s">
        <v>74</v>
      </c>
      <c r="D158" t="s">
        <v>74</v>
      </c>
      <c r="E158" t="s">
        <v>74</v>
      </c>
      <c r="F158" t="s">
        <v>3273</v>
      </c>
      <c r="G158" t="s">
        <v>74</v>
      </c>
      <c r="H158" t="s">
        <v>74</v>
      </c>
      <c r="I158" t="s">
        <v>3274</v>
      </c>
      <c r="J158" t="s">
        <v>3275</v>
      </c>
      <c r="K158" t="s">
        <v>74</v>
      </c>
      <c r="L158" t="s">
        <v>74</v>
      </c>
      <c r="M158" t="s">
        <v>78</v>
      </c>
      <c r="N158" t="s">
        <v>79</v>
      </c>
      <c r="O158" t="s">
        <v>74</v>
      </c>
      <c r="P158" t="s">
        <v>74</v>
      </c>
      <c r="Q158" t="s">
        <v>74</v>
      </c>
      <c r="R158" t="s">
        <v>74</v>
      </c>
      <c r="S158" t="s">
        <v>74</v>
      </c>
      <c r="T158" t="s">
        <v>3276</v>
      </c>
      <c r="U158" t="s">
        <v>3277</v>
      </c>
      <c r="V158" t="s">
        <v>3278</v>
      </c>
      <c r="W158" t="s">
        <v>3279</v>
      </c>
      <c r="X158" t="s">
        <v>3280</v>
      </c>
      <c r="Y158" t="s">
        <v>3281</v>
      </c>
      <c r="Z158" t="s">
        <v>3282</v>
      </c>
      <c r="AA158" t="s">
        <v>74</v>
      </c>
      <c r="AB158" t="s">
        <v>3283</v>
      </c>
      <c r="AC158" t="s">
        <v>3284</v>
      </c>
      <c r="AD158" t="s">
        <v>3285</v>
      </c>
      <c r="AE158" t="s">
        <v>3286</v>
      </c>
      <c r="AF158" t="s">
        <v>74</v>
      </c>
      <c r="AG158">
        <v>25</v>
      </c>
      <c r="AH158">
        <v>6</v>
      </c>
      <c r="AI158">
        <v>6</v>
      </c>
      <c r="AJ158">
        <v>0</v>
      </c>
      <c r="AK158">
        <v>3</v>
      </c>
      <c r="AL158" t="s">
        <v>3287</v>
      </c>
      <c r="AM158" t="s">
        <v>3288</v>
      </c>
      <c r="AN158" t="s">
        <v>3289</v>
      </c>
      <c r="AO158" t="s">
        <v>3290</v>
      </c>
      <c r="AP158" t="s">
        <v>74</v>
      </c>
      <c r="AQ158" t="s">
        <v>74</v>
      </c>
      <c r="AR158" t="s">
        <v>3291</v>
      </c>
      <c r="AS158" t="s">
        <v>3292</v>
      </c>
      <c r="AT158" t="s">
        <v>74</v>
      </c>
      <c r="AU158">
        <v>2013</v>
      </c>
      <c r="AV158">
        <v>253</v>
      </c>
      <c r="AW158">
        <v>1</v>
      </c>
      <c r="AX158" t="s">
        <v>74</v>
      </c>
      <c r="AY158" t="s">
        <v>74</v>
      </c>
      <c r="AZ158" t="s">
        <v>74</v>
      </c>
      <c r="BA158" t="s">
        <v>74</v>
      </c>
      <c r="BB158">
        <v>21</v>
      </c>
      <c r="BC158">
        <v>35</v>
      </c>
      <c r="BD158" t="s">
        <v>74</v>
      </c>
      <c r="BE158" t="s">
        <v>3293</v>
      </c>
      <c r="BF158" t="str">
        <f>HYPERLINK("http://dx.doi.org/10.1016/j.jcz.2013.08.002","http://dx.doi.org/10.1016/j.jcz.2013.08.002")</f>
        <v>http://dx.doi.org/10.1016/j.jcz.2013.08.002</v>
      </c>
      <c r="BG158" t="s">
        <v>74</v>
      </c>
      <c r="BH158" t="s">
        <v>74</v>
      </c>
      <c r="BI158">
        <v>15</v>
      </c>
      <c r="BJ158" t="s">
        <v>3023</v>
      </c>
      <c r="BK158" t="s">
        <v>102</v>
      </c>
      <c r="BL158" t="s">
        <v>3023</v>
      </c>
      <c r="BM158" t="s">
        <v>3294</v>
      </c>
      <c r="BN158" t="s">
        <v>74</v>
      </c>
      <c r="BO158" t="s">
        <v>74</v>
      </c>
      <c r="BP158" t="s">
        <v>74</v>
      </c>
      <c r="BQ158" t="s">
        <v>74</v>
      </c>
      <c r="BR158" t="s">
        <v>105</v>
      </c>
      <c r="BS158" t="s">
        <v>3295</v>
      </c>
      <c r="BT158" t="str">
        <f>HYPERLINK("https%3A%2F%2Fwww.webofscience.com%2Fwos%2Fwoscc%2Ffull-record%2FWOS:000328098600004","View Full Record in Web of Science")</f>
        <v>View Full Record in Web of Science</v>
      </c>
    </row>
    <row r="159" spans="1:72" x14ac:dyDescent="0.15">
      <c r="A159" t="s">
        <v>72</v>
      </c>
      <c r="B159" t="s">
        <v>3296</v>
      </c>
      <c r="C159" t="s">
        <v>74</v>
      </c>
      <c r="D159" t="s">
        <v>74</v>
      </c>
      <c r="E159" t="s">
        <v>74</v>
      </c>
      <c r="F159" t="s">
        <v>3297</v>
      </c>
      <c r="G159" t="s">
        <v>74</v>
      </c>
      <c r="H159" t="s">
        <v>74</v>
      </c>
      <c r="I159" t="s">
        <v>3298</v>
      </c>
      <c r="J159" t="s">
        <v>3299</v>
      </c>
      <c r="K159" t="s">
        <v>74</v>
      </c>
      <c r="L159" t="s">
        <v>74</v>
      </c>
      <c r="M159" t="s">
        <v>78</v>
      </c>
      <c r="N159" t="s">
        <v>79</v>
      </c>
      <c r="O159" t="s">
        <v>74</v>
      </c>
      <c r="P159" t="s">
        <v>74</v>
      </c>
      <c r="Q159" t="s">
        <v>74</v>
      </c>
      <c r="R159" t="s">
        <v>74</v>
      </c>
      <c r="S159" t="s">
        <v>74</v>
      </c>
      <c r="T159" t="s">
        <v>74</v>
      </c>
      <c r="U159" t="s">
        <v>3300</v>
      </c>
      <c r="V159" t="s">
        <v>3301</v>
      </c>
      <c r="W159" t="s">
        <v>3302</v>
      </c>
      <c r="X159" t="s">
        <v>3303</v>
      </c>
      <c r="Y159" t="s">
        <v>3304</v>
      </c>
      <c r="Z159" t="s">
        <v>3305</v>
      </c>
      <c r="AA159" t="s">
        <v>3306</v>
      </c>
      <c r="AB159" t="s">
        <v>3307</v>
      </c>
      <c r="AC159" t="s">
        <v>3308</v>
      </c>
      <c r="AD159" t="s">
        <v>3308</v>
      </c>
      <c r="AE159" t="s">
        <v>3309</v>
      </c>
      <c r="AF159" t="s">
        <v>74</v>
      </c>
      <c r="AG159">
        <v>82</v>
      </c>
      <c r="AH159">
        <v>21</v>
      </c>
      <c r="AI159">
        <v>25</v>
      </c>
      <c r="AJ159">
        <v>1</v>
      </c>
      <c r="AK159">
        <v>23</v>
      </c>
      <c r="AL159" t="s">
        <v>3310</v>
      </c>
      <c r="AM159" t="s">
        <v>3311</v>
      </c>
      <c r="AN159" t="s">
        <v>3312</v>
      </c>
      <c r="AO159" t="s">
        <v>3313</v>
      </c>
      <c r="AP159" t="s">
        <v>74</v>
      </c>
      <c r="AQ159" t="s">
        <v>74</v>
      </c>
      <c r="AR159" t="s">
        <v>3314</v>
      </c>
      <c r="AS159" t="s">
        <v>3315</v>
      </c>
      <c r="AT159" t="s">
        <v>74</v>
      </c>
      <c r="AU159">
        <v>2013</v>
      </c>
      <c r="AV159">
        <v>63</v>
      </c>
      <c r="AW159">
        <v>3</v>
      </c>
      <c r="AX159" t="s">
        <v>74</v>
      </c>
      <c r="AY159" t="s">
        <v>74</v>
      </c>
      <c r="AZ159" t="s">
        <v>74</v>
      </c>
      <c r="BA159" t="s">
        <v>74</v>
      </c>
      <c r="BB159">
        <v>365</v>
      </c>
      <c r="BC159">
        <v>376</v>
      </c>
      <c r="BD159" t="s">
        <v>74</v>
      </c>
      <c r="BE159" t="s">
        <v>3316</v>
      </c>
      <c r="BF159" t="str">
        <f>HYPERLINK("http://dx.doi.org/10.22499/2.6303.002","http://dx.doi.org/10.22499/2.6303.002")</f>
        <v>http://dx.doi.org/10.22499/2.6303.002</v>
      </c>
      <c r="BG159" t="s">
        <v>74</v>
      </c>
      <c r="BH159" t="s">
        <v>74</v>
      </c>
      <c r="BI159">
        <v>12</v>
      </c>
      <c r="BJ159" t="s">
        <v>617</v>
      </c>
      <c r="BK159" t="s">
        <v>102</v>
      </c>
      <c r="BL159" t="s">
        <v>617</v>
      </c>
      <c r="BM159" t="s">
        <v>3317</v>
      </c>
      <c r="BN159" t="s">
        <v>74</v>
      </c>
      <c r="BO159" t="s">
        <v>128</v>
      </c>
      <c r="BP159" t="s">
        <v>74</v>
      </c>
      <c r="BQ159" t="s">
        <v>74</v>
      </c>
      <c r="BR159" t="s">
        <v>105</v>
      </c>
      <c r="BS159" t="s">
        <v>3318</v>
      </c>
      <c r="BT159" t="str">
        <f>HYPERLINK("https%3A%2F%2Fwww.webofscience.com%2Fwos%2Fwoscc%2Ffull-record%2FWOS:000343957200002","View Full Record in Web of Science")</f>
        <v>View Full Record in Web of Science</v>
      </c>
    </row>
    <row r="160" spans="1:72" x14ac:dyDescent="0.15">
      <c r="A160" t="s">
        <v>72</v>
      </c>
      <c r="B160" t="s">
        <v>3319</v>
      </c>
      <c r="C160" t="s">
        <v>74</v>
      </c>
      <c r="D160" t="s">
        <v>74</v>
      </c>
      <c r="E160" t="s">
        <v>74</v>
      </c>
      <c r="F160" t="s">
        <v>3320</v>
      </c>
      <c r="G160" t="s">
        <v>74</v>
      </c>
      <c r="H160" t="s">
        <v>74</v>
      </c>
      <c r="I160" t="s">
        <v>3321</v>
      </c>
      <c r="J160" t="s">
        <v>3299</v>
      </c>
      <c r="K160" t="s">
        <v>74</v>
      </c>
      <c r="L160" t="s">
        <v>74</v>
      </c>
      <c r="M160" t="s">
        <v>78</v>
      </c>
      <c r="N160" t="s">
        <v>79</v>
      </c>
      <c r="O160" t="s">
        <v>74</v>
      </c>
      <c r="P160" t="s">
        <v>74</v>
      </c>
      <c r="Q160" t="s">
        <v>74</v>
      </c>
      <c r="R160" t="s">
        <v>74</v>
      </c>
      <c r="S160" t="s">
        <v>74</v>
      </c>
      <c r="T160" t="s">
        <v>74</v>
      </c>
      <c r="U160" t="s">
        <v>3322</v>
      </c>
      <c r="V160" t="s">
        <v>3323</v>
      </c>
      <c r="W160" t="s">
        <v>3324</v>
      </c>
      <c r="X160" t="s">
        <v>3325</v>
      </c>
      <c r="Y160" t="s">
        <v>3326</v>
      </c>
      <c r="Z160" t="s">
        <v>74</v>
      </c>
      <c r="AA160" t="s">
        <v>3327</v>
      </c>
      <c r="AB160" t="s">
        <v>3328</v>
      </c>
      <c r="AC160" t="s">
        <v>74</v>
      </c>
      <c r="AD160" t="s">
        <v>74</v>
      </c>
      <c r="AE160" t="s">
        <v>74</v>
      </c>
      <c r="AF160" t="s">
        <v>74</v>
      </c>
      <c r="AG160">
        <v>24</v>
      </c>
      <c r="AH160">
        <v>4</v>
      </c>
      <c r="AI160">
        <v>4</v>
      </c>
      <c r="AJ160">
        <v>0</v>
      </c>
      <c r="AK160">
        <v>3</v>
      </c>
      <c r="AL160" t="s">
        <v>3310</v>
      </c>
      <c r="AM160" t="s">
        <v>3311</v>
      </c>
      <c r="AN160" t="s">
        <v>3312</v>
      </c>
      <c r="AO160" t="s">
        <v>3313</v>
      </c>
      <c r="AP160" t="s">
        <v>74</v>
      </c>
      <c r="AQ160" t="s">
        <v>74</v>
      </c>
      <c r="AR160" t="s">
        <v>3314</v>
      </c>
      <c r="AS160" t="s">
        <v>3315</v>
      </c>
      <c r="AT160" t="s">
        <v>74</v>
      </c>
      <c r="AU160">
        <v>2013</v>
      </c>
      <c r="AV160">
        <v>63</v>
      </c>
      <c r="AW160">
        <v>3</v>
      </c>
      <c r="AX160" t="s">
        <v>74</v>
      </c>
      <c r="AY160" t="s">
        <v>74</v>
      </c>
      <c r="AZ160" t="s">
        <v>74</v>
      </c>
      <c r="BA160" t="s">
        <v>74</v>
      </c>
      <c r="BB160">
        <v>427</v>
      </c>
      <c r="BC160">
        <v>442</v>
      </c>
      <c r="BD160" t="s">
        <v>74</v>
      </c>
      <c r="BE160" t="s">
        <v>3329</v>
      </c>
      <c r="BF160" t="str">
        <f>HYPERLINK("http://dx.doi.org/10.22499/2.6303.008","http://dx.doi.org/10.22499/2.6303.008")</f>
        <v>http://dx.doi.org/10.22499/2.6303.008</v>
      </c>
      <c r="BG160" t="s">
        <v>74</v>
      </c>
      <c r="BH160" t="s">
        <v>74</v>
      </c>
      <c r="BI160">
        <v>16</v>
      </c>
      <c r="BJ160" t="s">
        <v>617</v>
      </c>
      <c r="BK160" t="s">
        <v>102</v>
      </c>
      <c r="BL160" t="s">
        <v>617</v>
      </c>
      <c r="BM160" t="s">
        <v>3317</v>
      </c>
      <c r="BN160" t="s">
        <v>74</v>
      </c>
      <c r="BO160" t="s">
        <v>128</v>
      </c>
      <c r="BP160" t="s">
        <v>74</v>
      </c>
      <c r="BQ160" t="s">
        <v>74</v>
      </c>
      <c r="BR160" t="s">
        <v>105</v>
      </c>
      <c r="BS160" t="s">
        <v>3330</v>
      </c>
      <c r="BT160" t="str">
        <f>HYPERLINK("https%3A%2F%2Fwww.webofscience.com%2Fwos%2Fwoscc%2Ffull-record%2FWOS:000343957200008","View Full Record in Web of Science")</f>
        <v>View Full Record in Web of Science</v>
      </c>
    </row>
    <row r="161" spans="1:72" x14ac:dyDescent="0.15">
      <c r="A161" t="s">
        <v>72</v>
      </c>
      <c r="B161" t="s">
        <v>3331</v>
      </c>
      <c r="C161" t="s">
        <v>74</v>
      </c>
      <c r="D161" t="s">
        <v>74</v>
      </c>
      <c r="E161" t="s">
        <v>74</v>
      </c>
      <c r="F161" t="s">
        <v>3332</v>
      </c>
      <c r="G161" t="s">
        <v>74</v>
      </c>
      <c r="H161" t="s">
        <v>74</v>
      </c>
      <c r="I161" t="s">
        <v>3333</v>
      </c>
      <c r="J161" t="s">
        <v>3299</v>
      </c>
      <c r="K161" t="s">
        <v>74</v>
      </c>
      <c r="L161" t="s">
        <v>74</v>
      </c>
      <c r="M161" t="s">
        <v>78</v>
      </c>
      <c r="N161" t="s">
        <v>79</v>
      </c>
      <c r="O161" t="s">
        <v>74</v>
      </c>
      <c r="P161" t="s">
        <v>74</v>
      </c>
      <c r="Q161" t="s">
        <v>74</v>
      </c>
      <c r="R161" t="s">
        <v>74</v>
      </c>
      <c r="S161" t="s">
        <v>74</v>
      </c>
      <c r="T161" t="s">
        <v>74</v>
      </c>
      <c r="U161" t="s">
        <v>3322</v>
      </c>
      <c r="V161" t="s">
        <v>3334</v>
      </c>
      <c r="W161" t="s">
        <v>3335</v>
      </c>
      <c r="X161" t="s">
        <v>3336</v>
      </c>
      <c r="Y161" t="s">
        <v>3337</v>
      </c>
      <c r="Z161" t="s">
        <v>74</v>
      </c>
      <c r="AA161" t="s">
        <v>3338</v>
      </c>
      <c r="AB161" t="s">
        <v>74</v>
      </c>
      <c r="AC161" t="s">
        <v>74</v>
      </c>
      <c r="AD161" t="s">
        <v>74</v>
      </c>
      <c r="AE161" t="s">
        <v>74</v>
      </c>
      <c r="AF161" t="s">
        <v>74</v>
      </c>
      <c r="AG161">
        <v>17</v>
      </c>
      <c r="AH161">
        <v>5</v>
      </c>
      <c r="AI161">
        <v>6</v>
      </c>
      <c r="AJ161">
        <v>0</v>
      </c>
      <c r="AK161">
        <v>6</v>
      </c>
      <c r="AL161" t="s">
        <v>3310</v>
      </c>
      <c r="AM161" t="s">
        <v>3311</v>
      </c>
      <c r="AN161" t="s">
        <v>3312</v>
      </c>
      <c r="AO161" t="s">
        <v>3313</v>
      </c>
      <c r="AP161" t="s">
        <v>74</v>
      </c>
      <c r="AQ161" t="s">
        <v>74</v>
      </c>
      <c r="AR161" t="s">
        <v>3314</v>
      </c>
      <c r="AS161" t="s">
        <v>3315</v>
      </c>
      <c r="AT161" t="s">
        <v>74</v>
      </c>
      <c r="AU161">
        <v>2013</v>
      </c>
      <c r="AV161">
        <v>63</v>
      </c>
      <c r="AW161">
        <v>3</v>
      </c>
      <c r="AX161" t="s">
        <v>74</v>
      </c>
      <c r="AY161" t="s">
        <v>74</v>
      </c>
      <c r="AZ161" t="s">
        <v>74</v>
      </c>
      <c r="BA161" t="s">
        <v>74</v>
      </c>
      <c r="BB161">
        <v>443</v>
      </c>
      <c r="BC161">
        <v>456</v>
      </c>
      <c r="BD161" t="s">
        <v>74</v>
      </c>
      <c r="BE161" t="s">
        <v>3339</v>
      </c>
      <c r="BF161" t="str">
        <f>HYPERLINK("http://dx.doi.org/10.22499/2.6303.009","http://dx.doi.org/10.22499/2.6303.009")</f>
        <v>http://dx.doi.org/10.22499/2.6303.009</v>
      </c>
      <c r="BG161" t="s">
        <v>74</v>
      </c>
      <c r="BH161" t="s">
        <v>74</v>
      </c>
      <c r="BI161">
        <v>14</v>
      </c>
      <c r="BJ161" t="s">
        <v>617</v>
      </c>
      <c r="BK161" t="s">
        <v>102</v>
      </c>
      <c r="BL161" t="s">
        <v>617</v>
      </c>
      <c r="BM161" t="s">
        <v>3317</v>
      </c>
      <c r="BN161" t="s">
        <v>74</v>
      </c>
      <c r="BO161" t="s">
        <v>128</v>
      </c>
      <c r="BP161" t="s">
        <v>74</v>
      </c>
      <c r="BQ161" t="s">
        <v>74</v>
      </c>
      <c r="BR161" t="s">
        <v>105</v>
      </c>
      <c r="BS161" t="s">
        <v>3340</v>
      </c>
      <c r="BT161" t="str">
        <f>HYPERLINK("https%3A%2F%2Fwww.webofscience.com%2Fwos%2Fwoscc%2Ffull-record%2FWOS:000343957200009","View Full Record in Web of Science")</f>
        <v>View Full Record in Web of Science</v>
      </c>
    </row>
    <row r="162" spans="1:72" x14ac:dyDescent="0.15">
      <c r="A162" t="s">
        <v>3341</v>
      </c>
      <c r="B162" t="s">
        <v>3342</v>
      </c>
      <c r="C162" t="s">
        <v>74</v>
      </c>
      <c r="D162" t="s">
        <v>3343</v>
      </c>
      <c r="E162" t="s">
        <v>74</v>
      </c>
      <c r="F162" t="s">
        <v>3344</v>
      </c>
      <c r="G162" t="s">
        <v>74</v>
      </c>
      <c r="H162" t="s">
        <v>74</v>
      </c>
      <c r="I162" t="s">
        <v>3345</v>
      </c>
      <c r="J162" t="s">
        <v>3346</v>
      </c>
      <c r="K162" t="s">
        <v>3347</v>
      </c>
      <c r="L162" t="s">
        <v>74</v>
      </c>
      <c r="M162" t="s">
        <v>78</v>
      </c>
      <c r="N162" t="s">
        <v>3258</v>
      </c>
      <c r="O162" t="s">
        <v>74</v>
      </c>
      <c r="P162" t="s">
        <v>74</v>
      </c>
      <c r="Q162" t="s">
        <v>74</v>
      </c>
      <c r="R162" t="s">
        <v>74</v>
      </c>
      <c r="S162" t="s">
        <v>74</v>
      </c>
      <c r="T162" t="s">
        <v>74</v>
      </c>
      <c r="U162" t="s">
        <v>74</v>
      </c>
      <c r="V162" t="s">
        <v>3348</v>
      </c>
      <c r="W162" t="s">
        <v>3349</v>
      </c>
      <c r="X162" t="s">
        <v>74</v>
      </c>
      <c r="Y162" t="s">
        <v>3350</v>
      </c>
      <c r="Z162" t="s">
        <v>3351</v>
      </c>
      <c r="AA162" t="s">
        <v>74</v>
      </c>
      <c r="AB162" t="s">
        <v>74</v>
      </c>
      <c r="AC162" t="s">
        <v>74</v>
      </c>
      <c r="AD162" t="s">
        <v>74</v>
      </c>
      <c r="AE162" t="s">
        <v>74</v>
      </c>
      <c r="AF162" t="s">
        <v>74</v>
      </c>
      <c r="AG162">
        <v>59</v>
      </c>
      <c r="AH162">
        <v>2</v>
      </c>
      <c r="AI162">
        <v>2</v>
      </c>
      <c r="AJ162">
        <v>0</v>
      </c>
      <c r="AK162">
        <v>0</v>
      </c>
      <c r="AL162" t="s">
        <v>3352</v>
      </c>
      <c r="AM162" t="s">
        <v>3353</v>
      </c>
      <c r="AN162" t="s">
        <v>3354</v>
      </c>
      <c r="AO162" t="s">
        <v>3355</v>
      </c>
      <c r="AP162" t="s">
        <v>74</v>
      </c>
      <c r="AQ162" t="s">
        <v>3356</v>
      </c>
      <c r="AR162" t="s">
        <v>3357</v>
      </c>
      <c r="AS162" t="s">
        <v>3358</v>
      </c>
      <c r="AT162" t="s">
        <v>74</v>
      </c>
      <c r="AU162">
        <v>2013</v>
      </c>
      <c r="AV162">
        <v>375</v>
      </c>
      <c r="AW162" t="s">
        <v>74</v>
      </c>
      <c r="AX162" t="s">
        <v>74</v>
      </c>
      <c r="AY162" t="s">
        <v>74</v>
      </c>
      <c r="AZ162" t="s">
        <v>74</v>
      </c>
      <c r="BA162" t="s">
        <v>74</v>
      </c>
      <c r="BB162">
        <v>455</v>
      </c>
      <c r="BC162">
        <v>461</v>
      </c>
      <c r="BD162" t="s">
        <v>74</v>
      </c>
      <c r="BE162" t="s">
        <v>3359</v>
      </c>
      <c r="BF162" t="str">
        <f>HYPERLINK("http://dx.doi.org/10.1144/SP375.2","http://dx.doi.org/10.1144/SP375.2")</f>
        <v>http://dx.doi.org/10.1144/SP375.2</v>
      </c>
      <c r="BG162" t="s">
        <v>74</v>
      </c>
      <c r="BH162" t="s">
        <v>74</v>
      </c>
      <c r="BI162">
        <v>7</v>
      </c>
      <c r="BJ162" t="s">
        <v>3360</v>
      </c>
      <c r="BK162" t="s">
        <v>3361</v>
      </c>
      <c r="BL162" t="s">
        <v>3362</v>
      </c>
      <c r="BM162" t="s">
        <v>3363</v>
      </c>
      <c r="BN162" t="s">
        <v>74</v>
      </c>
      <c r="BO162" t="s">
        <v>155</v>
      </c>
      <c r="BP162" t="s">
        <v>74</v>
      </c>
      <c r="BQ162" t="s">
        <v>74</v>
      </c>
      <c r="BR162" t="s">
        <v>105</v>
      </c>
      <c r="BS162" t="s">
        <v>3364</v>
      </c>
      <c r="BT162" t="str">
        <f>HYPERLINK("https%3A%2F%2Fwww.webofscience.com%2Fwos%2Fwoscc%2Ffull-record%2FWOS:000343084200027","View Full Record in Web of Science")</f>
        <v>View Full Record in Web of Science</v>
      </c>
    </row>
    <row r="163" spans="1:72" x14ac:dyDescent="0.15">
      <c r="A163" t="s">
        <v>3341</v>
      </c>
      <c r="B163" t="s">
        <v>3365</v>
      </c>
      <c r="C163" t="s">
        <v>74</v>
      </c>
      <c r="D163" t="s">
        <v>3366</v>
      </c>
      <c r="E163" t="s">
        <v>74</v>
      </c>
      <c r="F163" t="s">
        <v>3367</v>
      </c>
      <c r="G163" t="s">
        <v>74</v>
      </c>
      <c r="H163" t="s">
        <v>74</v>
      </c>
      <c r="I163" t="s">
        <v>3368</v>
      </c>
      <c r="J163" t="s">
        <v>3369</v>
      </c>
      <c r="K163" t="s">
        <v>3347</v>
      </c>
      <c r="L163" t="s">
        <v>74</v>
      </c>
      <c r="M163" t="s">
        <v>78</v>
      </c>
      <c r="N163" t="s">
        <v>3258</v>
      </c>
      <c r="O163" t="s">
        <v>74</v>
      </c>
      <c r="P163" t="s">
        <v>74</v>
      </c>
      <c r="Q163" t="s">
        <v>74</v>
      </c>
      <c r="R163" t="s">
        <v>74</v>
      </c>
      <c r="S163" t="s">
        <v>74</v>
      </c>
      <c r="T163" t="s">
        <v>74</v>
      </c>
      <c r="U163" t="s">
        <v>74</v>
      </c>
      <c r="V163" t="s">
        <v>3370</v>
      </c>
      <c r="W163" t="s">
        <v>3371</v>
      </c>
      <c r="X163" t="s">
        <v>3372</v>
      </c>
      <c r="Y163" t="s">
        <v>3373</v>
      </c>
      <c r="Z163" t="s">
        <v>3374</v>
      </c>
      <c r="AA163" t="s">
        <v>74</v>
      </c>
      <c r="AB163" t="s">
        <v>3375</v>
      </c>
      <c r="AC163" t="s">
        <v>74</v>
      </c>
      <c r="AD163" t="s">
        <v>74</v>
      </c>
      <c r="AE163" t="s">
        <v>74</v>
      </c>
      <c r="AF163" t="s">
        <v>74</v>
      </c>
      <c r="AG163">
        <v>2</v>
      </c>
      <c r="AH163">
        <v>1</v>
      </c>
      <c r="AI163">
        <v>2</v>
      </c>
      <c r="AJ163">
        <v>0</v>
      </c>
      <c r="AK163">
        <v>1</v>
      </c>
      <c r="AL163" t="s">
        <v>3352</v>
      </c>
      <c r="AM163" t="s">
        <v>3353</v>
      </c>
      <c r="AN163" t="s">
        <v>3354</v>
      </c>
      <c r="AO163" t="s">
        <v>3355</v>
      </c>
      <c r="AP163" t="s">
        <v>74</v>
      </c>
      <c r="AQ163" t="s">
        <v>3376</v>
      </c>
      <c r="AR163" t="s">
        <v>3357</v>
      </c>
      <c r="AS163" t="s">
        <v>3358</v>
      </c>
      <c r="AT163" t="s">
        <v>74</v>
      </c>
      <c r="AU163">
        <v>2013</v>
      </c>
      <c r="AV163">
        <v>381</v>
      </c>
      <c r="AW163" t="s">
        <v>74</v>
      </c>
      <c r="AX163" t="s">
        <v>74</v>
      </c>
      <c r="AY163" t="s">
        <v>74</v>
      </c>
      <c r="AZ163" t="s">
        <v>74</v>
      </c>
      <c r="BA163" t="s">
        <v>74</v>
      </c>
      <c r="BB163">
        <v>1</v>
      </c>
      <c r="BC163">
        <v>5</v>
      </c>
      <c r="BD163" t="s">
        <v>74</v>
      </c>
      <c r="BE163" t="s">
        <v>3377</v>
      </c>
      <c r="BF163" t="str">
        <f>HYPERLINK("http://dx.doi.org/10.1144/SP381.27","http://dx.doi.org/10.1144/SP381.27")</f>
        <v>http://dx.doi.org/10.1144/SP381.27</v>
      </c>
      <c r="BG163" t="s">
        <v>74</v>
      </c>
      <c r="BH163" t="s">
        <v>74</v>
      </c>
      <c r="BI163">
        <v>5</v>
      </c>
      <c r="BJ163" t="s">
        <v>3378</v>
      </c>
      <c r="BK163" t="s">
        <v>3379</v>
      </c>
      <c r="BL163" t="s">
        <v>1605</v>
      </c>
      <c r="BM163" t="s">
        <v>3380</v>
      </c>
      <c r="BN163" t="s">
        <v>74</v>
      </c>
      <c r="BO163" t="s">
        <v>74</v>
      </c>
      <c r="BP163" t="s">
        <v>74</v>
      </c>
      <c r="BQ163" t="s">
        <v>74</v>
      </c>
      <c r="BR163" t="s">
        <v>105</v>
      </c>
      <c r="BS163" t="s">
        <v>3381</v>
      </c>
      <c r="BT163" t="str">
        <f>HYPERLINK("https%3A%2F%2Fwww.webofscience.com%2Fwos%2Fwoscc%2Ffull-record%2FWOS:000343054800002","View Full Record in Web of Science")</f>
        <v>View Full Record in Web of Science</v>
      </c>
    </row>
    <row r="164" spans="1:72" x14ac:dyDescent="0.15">
      <c r="A164" t="s">
        <v>3341</v>
      </c>
      <c r="B164" t="s">
        <v>74</v>
      </c>
      <c r="C164" t="s">
        <v>74</v>
      </c>
      <c r="D164" t="s">
        <v>3366</v>
      </c>
      <c r="E164" t="s">
        <v>74</v>
      </c>
      <c r="F164" t="s">
        <v>74</v>
      </c>
      <c r="G164" t="s">
        <v>74</v>
      </c>
      <c r="H164" t="s">
        <v>74</v>
      </c>
      <c r="I164" t="s">
        <v>3382</v>
      </c>
      <c r="J164" t="s">
        <v>3369</v>
      </c>
      <c r="K164" t="s">
        <v>3347</v>
      </c>
      <c r="L164" t="s">
        <v>74</v>
      </c>
      <c r="M164" t="s">
        <v>78</v>
      </c>
      <c r="N164" t="s">
        <v>3383</v>
      </c>
      <c r="O164" t="s">
        <v>74</v>
      </c>
      <c r="P164" t="s">
        <v>74</v>
      </c>
      <c r="Q164" t="s">
        <v>74</v>
      </c>
      <c r="R164" t="s">
        <v>74</v>
      </c>
      <c r="S164" t="s">
        <v>74</v>
      </c>
      <c r="T164" t="s">
        <v>74</v>
      </c>
      <c r="U164" t="s">
        <v>74</v>
      </c>
      <c r="V164" t="s">
        <v>74</v>
      </c>
      <c r="W164" t="s">
        <v>74</v>
      </c>
      <c r="X164" t="s">
        <v>74</v>
      </c>
      <c r="Y164" t="s">
        <v>74</v>
      </c>
      <c r="Z164" t="s">
        <v>74</v>
      </c>
      <c r="AA164" t="s">
        <v>3384</v>
      </c>
      <c r="AB164" t="s">
        <v>3385</v>
      </c>
      <c r="AC164" t="s">
        <v>74</v>
      </c>
      <c r="AD164" t="s">
        <v>74</v>
      </c>
      <c r="AE164" t="s">
        <v>74</v>
      </c>
      <c r="AF164" t="s">
        <v>74</v>
      </c>
      <c r="AG164">
        <v>0</v>
      </c>
      <c r="AH164">
        <v>0</v>
      </c>
      <c r="AI164">
        <v>0</v>
      </c>
      <c r="AJ164">
        <v>0</v>
      </c>
      <c r="AK164">
        <v>0</v>
      </c>
      <c r="AL164" t="s">
        <v>3352</v>
      </c>
      <c r="AM164" t="s">
        <v>3353</v>
      </c>
      <c r="AN164" t="s">
        <v>3354</v>
      </c>
      <c r="AO164" t="s">
        <v>3355</v>
      </c>
      <c r="AP164" t="s">
        <v>74</v>
      </c>
      <c r="AQ164" t="s">
        <v>3376</v>
      </c>
      <c r="AR164" t="s">
        <v>3357</v>
      </c>
      <c r="AS164" t="s">
        <v>3358</v>
      </c>
      <c r="AT164" t="s">
        <v>74</v>
      </c>
      <c r="AU164">
        <v>2013</v>
      </c>
      <c r="AV164">
        <v>381</v>
      </c>
      <c r="AW164" t="s">
        <v>74</v>
      </c>
      <c r="AX164" t="s">
        <v>74</v>
      </c>
      <c r="AY164" t="s">
        <v>74</v>
      </c>
      <c r="AZ164" t="s">
        <v>74</v>
      </c>
      <c r="BA164" t="s">
        <v>74</v>
      </c>
      <c r="BB164">
        <v>1</v>
      </c>
      <c r="BC164">
        <v>506</v>
      </c>
      <c r="BD164" t="s">
        <v>74</v>
      </c>
      <c r="BE164" t="s">
        <v>74</v>
      </c>
      <c r="BF164" t="s">
        <v>74</v>
      </c>
      <c r="BG164" t="s">
        <v>74</v>
      </c>
      <c r="BH164" t="s">
        <v>74</v>
      </c>
      <c r="BI164">
        <v>497</v>
      </c>
      <c r="BJ164" t="s">
        <v>3378</v>
      </c>
      <c r="BK164" t="s">
        <v>3379</v>
      </c>
      <c r="BL164" t="s">
        <v>1605</v>
      </c>
      <c r="BM164" t="s">
        <v>3380</v>
      </c>
      <c r="BN164" t="s">
        <v>74</v>
      </c>
      <c r="BO164" t="s">
        <v>74</v>
      </c>
      <c r="BP164" t="s">
        <v>74</v>
      </c>
      <c r="BQ164" t="s">
        <v>74</v>
      </c>
      <c r="BR164" t="s">
        <v>105</v>
      </c>
      <c r="BS164" t="s">
        <v>3386</v>
      </c>
      <c r="BT164" t="str">
        <f>HYPERLINK("https%3A%2F%2Fwww.webofscience.com%2Fwos%2Fwoscc%2Ffull-record%2FWOS:000343054800029","View Full Record in Web of Science")</f>
        <v>View Full Record in Web of Science</v>
      </c>
    </row>
    <row r="165" spans="1:72" x14ac:dyDescent="0.15">
      <c r="A165" t="s">
        <v>3341</v>
      </c>
      <c r="B165" t="s">
        <v>3387</v>
      </c>
      <c r="C165" t="s">
        <v>74</v>
      </c>
      <c r="D165" t="s">
        <v>3366</v>
      </c>
      <c r="E165" t="s">
        <v>74</v>
      </c>
      <c r="F165" t="s">
        <v>3388</v>
      </c>
      <c r="G165" t="s">
        <v>74</v>
      </c>
      <c r="H165" t="s">
        <v>74</v>
      </c>
      <c r="I165" t="s">
        <v>3389</v>
      </c>
      <c r="J165" t="s">
        <v>3369</v>
      </c>
      <c r="K165" t="s">
        <v>3347</v>
      </c>
      <c r="L165" t="s">
        <v>74</v>
      </c>
      <c r="M165" t="s">
        <v>78</v>
      </c>
      <c r="N165" t="s">
        <v>3258</v>
      </c>
      <c r="O165" t="s">
        <v>74</v>
      </c>
      <c r="P165" t="s">
        <v>74</v>
      </c>
      <c r="Q165" t="s">
        <v>74</v>
      </c>
      <c r="R165" t="s">
        <v>74</v>
      </c>
      <c r="S165" t="s">
        <v>74</v>
      </c>
      <c r="T165" t="s">
        <v>74</v>
      </c>
      <c r="U165" t="s">
        <v>3390</v>
      </c>
      <c r="V165" t="s">
        <v>3391</v>
      </c>
      <c r="W165" t="s">
        <v>3392</v>
      </c>
      <c r="X165" t="s">
        <v>3393</v>
      </c>
      <c r="Y165" t="s">
        <v>3394</v>
      </c>
      <c r="Z165" t="s">
        <v>3395</v>
      </c>
      <c r="AA165" t="s">
        <v>3396</v>
      </c>
      <c r="AB165" t="s">
        <v>74</v>
      </c>
      <c r="AC165" t="s">
        <v>74</v>
      </c>
      <c r="AD165" t="s">
        <v>74</v>
      </c>
      <c r="AE165" t="s">
        <v>74</v>
      </c>
      <c r="AF165" t="s">
        <v>74</v>
      </c>
      <c r="AG165">
        <v>215</v>
      </c>
      <c r="AH165">
        <v>74</v>
      </c>
      <c r="AI165">
        <v>80</v>
      </c>
      <c r="AJ165">
        <v>0</v>
      </c>
      <c r="AK165">
        <v>13</v>
      </c>
      <c r="AL165" t="s">
        <v>3352</v>
      </c>
      <c r="AM165" t="s">
        <v>3353</v>
      </c>
      <c r="AN165" t="s">
        <v>3354</v>
      </c>
      <c r="AO165" t="s">
        <v>3355</v>
      </c>
      <c r="AP165" t="s">
        <v>74</v>
      </c>
      <c r="AQ165" t="s">
        <v>3376</v>
      </c>
      <c r="AR165" t="s">
        <v>3357</v>
      </c>
      <c r="AS165" t="s">
        <v>3358</v>
      </c>
      <c r="AT165" t="s">
        <v>74</v>
      </c>
      <c r="AU165">
        <v>2013</v>
      </c>
      <c r="AV165">
        <v>381</v>
      </c>
      <c r="AW165" t="s">
        <v>74</v>
      </c>
      <c r="AX165" t="s">
        <v>74</v>
      </c>
      <c r="AY165" t="s">
        <v>74</v>
      </c>
      <c r="AZ165" t="s">
        <v>74</v>
      </c>
      <c r="BA165" t="s">
        <v>74</v>
      </c>
      <c r="BB165">
        <v>7</v>
      </c>
      <c r="BC165">
        <v>35</v>
      </c>
      <c r="BD165" t="s">
        <v>74</v>
      </c>
      <c r="BE165" t="s">
        <v>3397</v>
      </c>
      <c r="BF165" t="str">
        <f>HYPERLINK("http://dx.doi.org/10.1144/SP381.14","http://dx.doi.org/10.1144/SP381.14")</f>
        <v>http://dx.doi.org/10.1144/SP381.14</v>
      </c>
      <c r="BG165" t="s">
        <v>74</v>
      </c>
      <c r="BH165" t="s">
        <v>74</v>
      </c>
      <c r="BI165">
        <v>29</v>
      </c>
      <c r="BJ165" t="s">
        <v>3378</v>
      </c>
      <c r="BK165" t="s">
        <v>3379</v>
      </c>
      <c r="BL165" t="s">
        <v>1605</v>
      </c>
      <c r="BM165" t="s">
        <v>3380</v>
      </c>
      <c r="BN165" t="s">
        <v>74</v>
      </c>
      <c r="BO165" t="s">
        <v>74</v>
      </c>
      <c r="BP165" t="s">
        <v>74</v>
      </c>
      <c r="BQ165" t="s">
        <v>74</v>
      </c>
      <c r="BR165" t="s">
        <v>105</v>
      </c>
      <c r="BS165" t="s">
        <v>3398</v>
      </c>
      <c r="BT165" t="str">
        <f>HYPERLINK("https%3A%2F%2Fwww.webofscience.com%2Fwos%2Fwoscc%2Ffull-record%2FWOS:000343054800003","View Full Record in Web of Science")</f>
        <v>View Full Record in Web of Science</v>
      </c>
    </row>
    <row r="166" spans="1:72" x14ac:dyDescent="0.15">
      <c r="A166" t="s">
        <v>3341</v>
      </c>
      <c r="B166" t="s">
        <v>3399</v>
      </c>
      <c r="C166" t="s">
        <v>74</v>
      </c>
      <c r="D166" t="s">
        <v>3366</v>
      </c>
      <c r="E166" t="s">
        <v>74</v>
      </c>
      <c r="F166" t="s">
        <v>3400</v>
      </c>
      <c r="G166" t="s">
        <v>74</v>
      </c>
      <c r="H166" t="s">
        <v>74</v>
      </c>
      <c r="I166" t="s">
        <v>3401</v>
      </c>
      <c r="J166" t="s">
        <v>3369</v>
      </c>
      <c r="K166" t="s">
        <v>3347</v>
      </c>
      <c r="L166" t="s">
        <v>74</v>
      </c>
      <c r="M166" t="s">
        <v>78</v>
      </c>
      <c r="N166" t="s">
        <v>3258</v>
      </c>
      <c r="O166" t="s">
        <v>74</v>
      </c>
      <c r="P166" t="s">
        <v>74</v>
      </c>
      <c r="Q166" t="s">
        <v>74</v>
      </c>
      <c r="R166" t="s">
        <v>74</v>
      </c>
      <c r="S166" t="s">
        <v>74</v>
      </c>
      <c r="T166" t="s">
        <v>74</v>
      </c>
      <c r="U166" t="s">
        <v>3402</v>
      </c>
      <c r="V166" t="s">
        <v>3403</v>
      </c>
      <c r="W166" t="s">
        <v>3404</v>
      </c>
      <c r="X166" t="s">
        <v>3405</v>
      </c>
      <c r="Y166" t="s">
        <v>3406</v>
      </c>
      <c r="Z166" t="s">
        <v>3407</v>
      </c>
      <c r="AA166" t="s">
        <v>3408</v>
      </c>
      <c r="AB166" t="s">
        <v>3409</v>
      </c>
      <c r="AC166" t="s">
        <v>74</v>
      </c>
      <c r="AD166" t="s">
        <v>74</v>
      </c>
      <c r="AE166" t="s">
        <v>74</v>
      </c>
      <c r="AF166" t="s">
        <v>74</v>
      </c>
      <c r="AG166">
        <v>18</v>
      </c>
      <c r="AH166">
        <v>2</v>
      </c>
      <c r="AI166">
        <v>2</v>
      </c>
      <c r="AJ166">
        <v>0</v>
      </c>
      <c r="AK166">
        <v>0</v>
      </c>
      <c r="AL166" t="s">
        <v>3352</v>
      </c>
      <c r="AM166" t="s">
        <v>3353</v>
      </c>
      <c r="AN166" t="s">
        <v>3354</v>
      </c>
      <c r="AO166" t="s">
        <v>3355</v>
      </c>
      <c r="AP166" t="s">
        <v>74</v>
      </c>
      <c r="AQ166" t="s">
        <v>3376</v>
      </c>
      <c r="AR166" t="s">
        <v>3357</v>
      </c>
      <c r="AS166" t="s">
        <v>3358</v>
      </c>
      <c r="AT166" t="s">
        <v>74</v>
      </c>
      <c r="AU166">
        <v>2013</v>
      </c>
      <c r="AV166">
        <v>381</v>
      </c>
      <c r="AW166" t="s">
        <v>74</v>
      </c>
      <c r="AX166" t="s">
        <v>74</v>
      </c>
      <c r="AY166" t="s">
        <v>74</v>
      </c>
      <c r="AZ166" t="s">
        <v>74</v>
      </c>
      <c r="BA166" t="s">
        <v>74</v>
      </c>
      <c r="BB166">
        <v>37</v>
      </c>
      <c r="BC166">
        <v>43</v>
      </c>
      <c r="BD166" t="s">
        <v>74</v>
      </c>
      <c r="BE166" t="s">
        <v>3410</v>
      </c>
      <c r="BF166" t="str">
        <f>HYPERLINK("http://dx.doi.org/10.1144/SP381.25","http://dx.doi.org/10.1144/SP381.25")</f>
        <v>http://dx.doi.org/10.1144/SP381.25</v>
      </c>
      <c r="BG166" t="s">
        <v>74</v>
      </c>
      <c r="BH166" t="s">
        <v>74</v>
      </c>
      <c r="BI166">
        <v>7</v>
      </c>
      <c r="BJ166" t="s">
        <v>3378</v>
      </c>
      <c r="BK166" t="s">
        <v>3379</v>
      </c>
      <c r="BL166" t="s">
        <v>1605</v>
      </c>
      <c r="BM166" t="s">
        <v>3380</v>
      </c>
      <c r="BN166" t="s">
        <v>74</v>
      </c>
      <c r="BO166" t="s">
        <v>155</v>
      </c>
      <c r="BP166" t="s">
        <v>74</v>
      </c>
      <c r="BQ166" t="s">
        <v>74</v>
      </c>
      <c r="BR166" t="s">
        <v>105</v>
      </c>
      <c r="BS166" t="s">
        <v>3411</v>
      </c>
      <c r="BT166" t="str">
        <f>HYPERLINK("https%3A%2F%2Fwww.webofscience.com%2Fwos%2Fwoscc%2Ffull-record%2FWOS:000343054800004","View Full Record in Web of Science")</f>
        <v>View Full Record in Web of Science</v>
      </c>
    </row>
    <row r="167" spans="1:72" x14ac:dyDescent="0.15">
      <c r="A167" t="s">
        <v>3341</v>
      </c>
      <c r="B167" t="s">
        <v>3412</v>
      </c>
      <c r="C167" t="s">
        <v>74</v>
      </c>
      <c r="D167" t="s">
        <v>3366</v>
      </c>
      <c r="E167" t="s">
        <v>74</v>
      </c>
      <c r="F167" t="s">
        <v>3413</v>
      </c>
      <c r="G167" t="s">
        <v>74</v>
      </c>
      <c r="H167" t="s">
        <v>74</v>
      </c>
      <c r="I167" t="s">
        <v>3414</v>
      </c>
      <c r="J167" t="s">
        <v>3369</v>
      </c>
      <c r="K167" t="s">
        <v>3347</v>
      </c>
      <c r="L167" t="s">
        <v>74</v>
      </c>
      <c r="M167" t="s">
        <v>78</v>
      </c>
      <c r="N167" t="s">
        <v>3258</v>
      </c>
      <c r="O167" t="s">
        <v>74</v>
      </c>
      <c r="P167" t="s">
        <v>74</v>
      </c>
      <c r="Q167" t="s">
        <v>74</v>
      </c>
      <c r="R167" t="s">
        <v>74</v>
      </c>
      <c r="S167" t="s">
        <v>74</v>
      </c>
      <c r="T167" t="s">
        <v>74</v>
      </c>
      <c r="U167" t="s">
        <v>3415</v>
      </c>
      <c r="V167" t="s">
        <v>3416</v>
      </c>
      <c r="W167" t="s">
        <v>3417</v>
      </c>
      <c r="X167" t="s">
        <v>3418</v>
      </c>
      <c r="Y167" t="s">
        <v>3419</v>
      </c>
      <c r="Z167" t="s">
        <v>3420</v>
      </c>
      <c r="AA167" t="s">
        <v>74</v>
      </c>
      <c r="AB167" t="s">
        <v>74</v>
      </c>
      <c r="AC167" t="s">
        <v>74</v>
      </c>
      <c r="AD167" t="s">
        <v>74</v>
      </c>
      <c r="AE167" t="s">
        <v>74</v>
      </c>
      <c r="AF167" t="s">
        <v>74</v>
      </c>
      <c r="AG167">
        <v>158</v>
      </c>
      <c r="AH167">
        <v>23</v>
      </c>
      <c r="AI167">
        <v>25</v>
      </c>
      <c r="AJ167">
        <v>0</v>
      </c>
      <c r="AK167">
        <v>4</v>
      </c>
      <c r="AL167" t="s">
        <v>3352</v>
      </c>
      <c r="AM167" t="s">
        <v>3353</v>
      </c>
      <c r="AN167" t="s">
        <v>3354</v>
      </c>
      <c r="AO167" t="s">
        <v>3355</v>
      </c>
      <c r="AP167" t="s">
        <v>74</v>
      </c>
      <c r="AQ167" t="s">
        <v>3376</v>
      </c>
      <c r="AR167" t="s">
        <v>3357</v>
      </c>
      <c r="AS167" t="s">
        <v>3358</v>
      </c>
      <c r="AT167" t="s">
        <v>74</v>
      </c>
      <c r="AU167">
        <v>2013</v>
      </c>
      <c r="AV167">
        <v>381</v>
      </c>
      <c r="AW167" t="s">
        <v>74</v>
      </c>
      <c r="AX167" t="s">
        <v>74</v>
      </c>
      <c r="AY167" t="s">
        <v>74</v>
      </c>
      <c r="AZ167" t="s">
        <v>74</v>
      </c>
      <c r="BA167" t="s">
        <v>74</v>
      </c>
      <c r="BB167">
        <v>67</v>
      </c>
      <c r="BC167">
        <v>97</v>
      </c>
      <c r="BD167" t="s">
        <v>74</v>
      </c>
      <c r="BE167" t="s">
        <v>3421</v>
      </c>
      <c r="BF167" t="str">
        <f>HYPERLINK("http://dx.doi.org/10.1144/SP381.23","http://dx.doi.org/10.1144/SP381.23")</f>
        <v>http://dx.doi.org/10.1144/SP381.23</v>
      </c>
      <c r="BG167" t="s">
        <v>74</v>
      </c>
      <c r="BH167" t="s">
        <v>74</v>
      </c>
      <c r="BI167">
        <v>31</v>
      </c>
      <c r="BJ167" t="s">
        <v>3378</v>
      </c>
      <c r="BK167" t="s">
        <v>3379</v>
      </c>
      <c r="BL167" t="s">
        <v>1605</v>
      </c>
      <c r="BM167" t="s">
        <v>3380</v>
      </c>
      <c r="BN167" t="s">
        <v>74</v>
      </c>
      <c r="BO167" t="s">
        <v>74</v>
      </c>
      <c r="BP167" t="s">
        <v>74</v>
      </c>
      <c r="BQ167" t="s">
        <v>74</v>
      </c>
      <c r="BR167" t="s">
        <v>105</v>
      </c>
      <c r="BS167" t="s">
        <v>3422</v>
      </c>
      <c r="BT167" t="str">
        <f>HYPERLINK("https%3A%2F%2Fwww.webofscience.com%2Fwos%2Fwoscc%2Ffull-record%2FWOS:000343054800006","View Full Record in Web of Science")</f>
        <v>View Full Record in Web of Science</v>
      </c>
    </row>
    <row r="168" spans="1:72" x14ac:dyDescent="0.15">
      <c r="A168" t="s">
        <v>3341</v>
      </c>
      <c r="B168" t="s">
        <v>3423</v>
      </c>
      <c r="C168" t="s">
        <v>74</v>
      </c>
      <c r="D168" t="s">
        <v>3366</v>
      </c>
      <c r="E168" t="s">
        <v>74</v>
      </c>
      <c r="F168" t="s">
        <v>3424</v>
      </c>
      <c r="G168" t="s">
        <v>74</v>
      </c>
      <c r="H168" t="s">
        <v>74</v>
      </c>
      <c r="I168" t="s">
        <v>3425</v>
      </c>
      <c r="J168" t="s">
        <v>3369</v>
      </c>
      <c r="K168" t="s">
        <v>3347</v>
      </c>
      <c r="L168" t="s">
        <v>74</v>
      </c>
      <c r="M168" t="s">
        <v>78</v>
      </c>
      <c r="N168" t="s">
        <v>3258</v>
      </c>
      <c r="O168" t="s">
        <v>74</v>
      </c>
      <c r="P168" t="s">
        <v>74</v>
      </c>
      <c r="Q168" t="s">
        <v>74</v>
      </c>
      <c r="R168" t="s">
        <v>74</v>
      </c>
      <c r="S168" t="s">
        <v>74</v>
      </c>
      <c r="T168" t="s">
        <v>74</v>
      </c>
      <c r="U168" t="s">
        <v>3426</v>
      </c>
      <c r="V168" t="s">
        <v>3427</v>
      </c>
      <c r="W168" t="s">
        <v>3428</v>
      </c>
      <c r="X168" t="s">
        <v>3429</v>
      </c>
      <c r="Y168" t="s">
        <v>3430</v>
      </c>
      <c r="Z168" t="s">
        <v>3431</v>
      </c>
      <c r="AA168" t="s">
        <v>3432</v>
      </c>
      <c r="AB168" t="s">
        <v>74</v>
      </c>
      <c r="AC168" t="s">
        <v>74</v>
      </c>
      <c r="AD168" t="s">
        <v>74</v>
      </c>
      <c r="AE168" t="s">
        <v>74</v>
      </c>
      <c r="AF168" t="s">
        <v>74</v>
      </c>
      <c r="AG168">
        <v>104</v>
      </c>
      <c r="AH168">
        <v>10</v>
      </c>
      <c r="AI168">
        <v>14</v>
      </c>
      <c r="AJ168">
        <v>0</v>
      </c>
      <c r="AK168">
        <v>6</v>
      </c>
      <c r="AL168" t="s">
        <v>3352</v>
      </c>
      <c r="AM168" t="s">
        <v>3353</v>
      </c>
      <c r="AN168" t="s">
        <v>3354</v>
      </c>
      <c r="AO168" t="s">
        <v>3355</v>
      </c>
      <c r="AP168" t="s">
        <v>74</v>
      </c>
      <c r="AQ168" t="s">
        <v>3376</v>
      </c>
      <c r="AR168" t="s">
        <v>3357</v>
      </c>
      <c r="AS168" t="s">
        <v>3358</v>
      </c>
      <c r="AT168" t="s">
        <v>74</v>
      </c>
      <c r="AU168">
        <v>2013</v>
      </c>
      <c r="AV168">
        <v>381</v>
      </c>
      <c r="AW168" t="s">
        <v>74</v>
      </c>
      <c r="AX168" t="s">
        <v>74</v>
      </c>
      <c r="AY168" t="s">
        <v>74</v>
      </c>
      <c r="AZ168" t="s">
        <v>74</v>
      </c>
      <c r="BA168" t="s">
        <v>74</v>
      </c>
      <c r="BB168">
        <v>99</v>
      </c>
      <c r="BC168">
        <v>116</v>
      </c>
      <c r="BD168" t="s">
        <v>74</v>
      </c>
      <c r="BE168" t="s">
        <v>3433</v>
      </c>
      <c r="BF168" t="str">
        <f>HYPERLINK("http://dx.doi.org/10.1144/SP381.20","http://dx.doi.org/10.1144/SP381.20")</f>
        <v>http://dx.doi.org/10.1144/SP381.20</v>
      </c>
      <c r="BG168" t="s">
        <v>74</v>
      </c>
      <c r="BH168" t="s">
        <v>74</v>
      </c>
      <c r="BI168">
        <v>18</v>
      </c>
      <c r="BJ168" t="s">
        <v>3378</v>
      </c>
      <c r="BK168" t="s">
        <v>3379</v>
      </c>
      <c r="BL168" t="s">
        <v>1605</v>
      </c>
      <c r="BM168" t="s">
        <v>3380</v>
      </c>
      <c r="BN168" t="s">
        <v>74</v>
      </c>
      <c r="BO168" t="s">
        <v>429</v>
      </c>
      <c r="BP168" t="s">
        <v>74</v>
      </c>
      <c r="BQ168" t="s">
        <v>74</v>
      </c>
      <c r="BR168" t="s">
        <v>105</v>
      </c>
      <c r="BS168" t="s">
        <v>3434</v>
      </c>
      <c r="BT168" t="str">
        <f>HYPERLINK("https%3A%2F%2Fwww.webofscience.com%2Fwos%2Fwoscc%2Ffull-record%2FWOS:000343054800007","View Full Record in Web of Science")</f>
        <v>View Full Record in Web of Science</v>
      </c>
    </row>
    <row r="169" spans="1:72" x14ac:dyDescent="0.15">
      <c r="A169" t="s">
        <v>3341</v>
      </c>
      <c r="B169" t="s">
        <v>3435</v>
      </c>
      <c r="C169" t="s">
        <v>74</v>
      </c>
      <c r="D169" t="s">
        <v>3366</v>
      </c>
      <c r="E169" t="s">
        <v>74</v>
      </c>
      <c r="F169" t="s">
        <v>3436</v>
      </c>
      <c r="G169" t="s">
        <v>74</v>
      </c>
      <c r="H169" t="s">
        <v>74</v>
      </c>
      <c r="I169" t="s">
        <v>3437</v>
      </c>
      <c r="J169" t="s">
        <v>3369</v>
      </c>
      <c r="K169" t="s">
        <v>3347</v>
      </c>
      <c r="L169" t="s">
        <v>74</v>
      </c>
      <c r="M169" t="s">
        <v>78</v>
      </c>
      <c r="N169" t="s">
        <v>3258</v>
      </c>
      <c r="O169" t="s">
        <v>74</v>
      </c>
      <c r="P169" t="s">
        <v>74</v>
      </c>
      <c r="Q169" t="s">
        <v>74</v>
      </c>
      <c r="R169" t="s">
        <v>74</v>
      </c>
      <c r="S169" t="s">
        <v>74</v>
      </c>
      <c r="T169" t="s">
        <v>74</v>
      </c>
      <c r="U169" t="s">
        <v>3438</v>
      </c>
      <c r="V169" t="s">
        <v>3439</v>
      </c>
      <c r="W169" t="s">
        <v>3440</v>
      </c>
      <c r="X169" t="s">
        <v>3441</v>
      </c>
      <c r="Y169" t="s">
        <v>3442</v>
      </c>
      <c r="Z169" t="s">
        <v>3443</v>
      </c>
      <c r="AA169" t="s">
        <v>3444</v>
      </c>
      <c r="AB169" t="s">
        <v>3445</v>
      </c>
      <c r="AC169" t="s">
        <v>74</v>
      </c>
      <c r="AD169" t="s">
        <v>74</v>
      </c>
      <c r="AE169" t="s">
        <v>74</v>
      </c>
      <c r="AF169" t="s">
        <v>74</v>
      </c>
      <c r="AG169">
        <v>46</v>
      </c>
      <c r="AH169">
        <v>5</v>
      </c>
      <c r="AI169">
        <v>5</v>
      </c>
      <c r="AJ169">
        <v>0</v>
      </c>
      <c r="AK169">
        <v>0</v>
      </c>
      <c r="AL169" t="s">
        <v>3352</v>
      </c>
      <c r="AM169" t="s">
        <v>3353</v>
      </c>
      <c r="AN169" t="s">
        <v>3354</v>
      </c>
      <c r="AO169" t="s">
        <v>3355</v>
      </c>
      <c r="AP169" t="s">
        <v>74</v>
      </c>
      <c r="AQ169" t="s">
        <v>3376</v>
      </c>
      <c r="AR169" t="s">
        <v>3357</v>
      </c>
      <c r="AS169" t="s">
        <v>3358</v>
      </c>
      <c r="AT169" t="s">
        <v>74</v>
      </c>
      <c r="AU169">
        <v>2013</v>
      </c>
      <c r="AV169">
        <v>381</v>
      </c>
      <c r="AW169" t="s">
        <v>74</v>
      </c>
      <c r="AX169" t="s">
        <v>74</v>
      </c>
      <c r="AY169" t="s">
        <v>74</v>
      </c>
      <c r="AZ169" t="s">
        <v>74</v>
      </c>
      <c r="BA169" t="s">
        <v>74</v>
      </c>
      <c r="BB169">
        <v>117</v>
      </c>
      <c r="BC169">
        <v>127</v>
      </c>
      <c r="BD169" t="s">
        <v>74</v>
      </c>
      <c r="BE169" t="s">
        <v>3446</v>
      </c>
      <c r="BF169" t="str">
        <f>HYPERLINK("http://dx.doi.org/10.1144/SP381.6","http://dx.doi.org/10.1144/SP381.6")</f>
        <v>http://dx.doi.org/10.1144/SP381.6</v>
      </c>
      <c r="BG169" t="s">
        <v>74</v>
      </c>
      <c r="BH169" t="s">
        <v>74</v>
      </c>
      <c r="BI169">
        <v>11</v>
      </c>
      <c r="BJ169" t="s">
        <v>3378</v>
      </c>
      <c r="BK169" t="s">
        <v>3379</v>
      </c>
      <c r="BL169" t="s">
        <v>1605</v>
      </c>
      <c r="BM169" t="s">
        <v>3380</v>
      </c>
      <c r="BN169" t="s">
        <v>74</v>
      </c>
      <c r="BO169" t="s">
        <v>74</v>
      </c>
      <c r="BP169" t="s">
        <v>74</v>
      </c>
      <c r="BQ169" t="s">
        <v>74</v>
      </c>
      <c r="BR169" t="s">
        <v>105</v>
      </c>
      <c r="BS169" t="s">
        <v>3447</v>
      </c>
      <c r="BT169" t="str">
        <f>HYPERLINK("https%3A%2F%2Fwww.webofscience.com%2Fwos%2Fwoscc%2Ffull-record%2FWOS:000343054800008","View Full Record in Web of Science")</f>
        <v>View Full Record in Web of Science</v>
      </c>
    </row>
    <row r="170" spans="1:72" x14ac:dyDescent="0.15">
      <c r="A170" t="s">
        <v>3341</v>
      </c>
      <c r="B170" t="s">
        <v>3448</v>
      </c>
      <c r="C170" t="s">
        <v>74</v>
      </c>
      <c r="D170" t="s">
        <v>3366</v>
      </c>
      <c r="E170" t="s">
        <v>74</v>
      </c>
      <c r="F170" t="s">
        <v>3449</v>
      </c>
      <c r="G170" t="s">
        <v>74</v>
      </c>
      <c r="H170" t="s">
        <v>74</v>
      </c>
      <c r="I170" t="s">
        <v>3450</v>
      </c>
      <c r="J170" t="s">
        <v>3369</v>
      </c>
      <c r="K170" t="s">
        <v>3347</v>
      </c>
      <c r="L170" t="s">
        <v>74</v>
      </c>
      <c r="M170" t="s">
        <v>78</v>
      </c>
      <c r="N170" t="s">
        <v>3258</v>
      </c>
      <c r="O170" t="s">
        <v>74</v>
      </c>
      <c r="P170" t="s">
        <v>74</v>
      </c>
      <c r="Q170" t="s">
        <v>74</v>
      </c>
      <c r="R170" t="s">
        <v>74</v>
      </c>
      <c r="S170" t="s">
        <v>74</v>
      </c>
      <c r="T170" t="s">
        <v>74</v>
      </c>
      <c r="U170" t="s">
        <v>3451</v>
      </c>
      <c r="V170" t="s">
        <v>3452</v>
      </c>
      <c r="W170" t="s">
        <v>3453</v>
      </c>
      <c r="X170" t="s">
        <v>3454</v>
      </c>
      <c r="Y170" t="s">
        <v>3455</v>
      </c>
      <c r="Z170" t="s">
        <v>3456</v>
      </c>
      <c r="AA170" t="s">
        <v>3457</v>
      </c>
      <c r="AB170" t="s">
        <v>3458</v>
      </c>
      <c r="AC170" t="s">
        <v>74</v>
      </c>
      <c r="AD170" t="s">
        <v>74</v>
      </c>
      <c r="AE170" t="s">
        <v>74</v>
      </c>
      <c r="AF170" t="s">
        <v>74</v>
      </c>
      <c r="AG170">
        <v>48</v>
      </c>
      <c r="AH170">
        <v>9</v>
      </c>
      <c r="AI170">
        <v>10</v>
      </c>
      <c r="AJ170">
        <v>0</v>
      </c>
      <c r="AK170">
        <v>5</v>
      </c>
      <c r="AL170" t="s">
        <v>3352</v>
      </c>
      <c r="AM170" t="s">
        <v>3353</v>
      </c>
      <c r="AN170" t="s">
        <v>3354</v>
      </c>
      <c r="AO170" t="s">
        <v>3355</v>
      </c>
      <c r="AP170" t="s">
        <v>74</v>
      </c>
      <c r="AQ170" t="s">
        <v>3376</v>
      </c>
      <c r="AR170" t="s">
        <v>3357</v>
      </c>
      <c r="AS170" t="s">
        <v>3358</v>
      </c>
      <c r="AT170" t="s">
        <v>74</v>
      </c>
      <c r="AU170">
        <v>2013</v>
      </c>
      <c r="AV170">
        <v>381</v>
      </c>
      <c r="AW170" t="s">
        <v>74</v>
      </c>
      <c r="AX170" t="s">
        <v>74</v>
      </c>
      <c r="AY170" t="s">
        <v>74</v>
      </c>
      <c r="AZ170" t="s">
        <v>74</v>
      </c>
      <c r="BA170" t="s">
        <v>74</v>
      </c>
      <c r="BB170">
        <v>129</v>
      </c>
      <c r="BC170">
        <v>138</v>
      </c>
      <c r="BD170" t="s">
        <v>74</v>
      </c>
      <c r="BE170" t="s">
        <v>3459</v>
      </c>
      <c r="BF170" t="str">
        <f>HYPERLINK("http://dx.doi.org/10.1144/SP381.7","http://dx.doi.org/10.1144/SP381.7")</f>
        <v>http://dx.doi.org/10.1144/SP381.7</v>
      </c>
      <c r="BG170" t="s">
        <v>74</v>
      </c>
      <c r="BH170" t="s">
        <v>74</v>
      </c>
      <c r="BI170">
        <v>10</v>
      </c>
      <c r="BJ170" t="s">
        <v>3378</v>
      </c>
      <c r="BK170" t="s">
        <v>3379</v>
      </c>
      <c r="BL170" t="s">
        <v>1605</v>
      </c>
      <c r="BM170" t="s">
        <v>3380</v>
      </c>
      <c r="BN170" t="s">
        <v>74</v>
      </c>
      <c r="BO170" t="s">
        <v>74</v>
      </c>
      <c r="BP170" t="s">
        <v>74</v>
      </c>
      <c r="BQ170" t="s">
        <v>74</v>
      </c>
      <c r="BR170" t="s">
        <v>105</v>
      </c>
      <c r="BS170" t="s">
        <v>3460</v>
      </c>
      <c r="BT170" t="str">
        <f>HYPERLINK("https%3A%2F%2Fwww.webofscience.com%2Fwos%2Fwoscc%2Ffull-record%2FWOS:000343054800009","View Full Record in Web of Science")</f>
        <v>View Full Record in Web of Science</v>
      </c>
    </row>
    <row r="171" spans="1:72" x14ac:dyDescent="0.15">
      <c r="A171" t="s">
        <v>3341</v>
      </c>
      <c r="B171" t="s">
        <v>3461</v>
      </c>
      <c r="C171" t="s">
        <v>74</v>
      </c>
      <c r="D171" t="s">
        <v>3366</v>
      </c>
      <c r="E171" t="s">
        <v>74</v>
      </c>
      <c r="F171" t="s">
        <v>3462</v>
      </c>
      <c r="G171" t="s">
        <v>74</v>
      </c>
      <c r="H171" t="s">
        <v>74</v>
      </c>
      <c r="I171" t="s">
        <v>3463</v>
      </c>
      <c r="J171" t="s">
        <v>3369</v>
      </c>
      <c r="K171" t="s">
        <v>3347</v>
      </c>
      <c r="L171" t="s">
        <v>74</v>
      </c>
      <c r="M171" t="s">
        <v>78</v>
      </c>
      <c r="N171" t="s">
        <v>3258</v>
      </c>
      <c r="O171" t="s">
        <v>74</v>
      </c>
      <c r="P171" t="s">
        <v>74</v>
      </c>
      <c r="Q171" t="s">
        <v>74</v>
      </c>
      <c r="R171" t="s">
        <v>74</v>
      </c>
      <c r="S171" t="s">
        <v>74</v>
      </c>
      <c r="T171" t="s">
        <v>74</v>
      </c>
      <c r="U171" t="s">
        <v>3464</v>
      </c>
      <c r="V171" t="s">
        <v>3465</v>
      </c>
      <c r="W171" t="s">
        <v>3466</v>
      </c>
      <c r="X171" t="s">
        <v>3467</v>
      </c>
      <c r="Y171" t="s">
        <v>3468</v>
      </c>
      <c r="Z171" t="s">
        <v>3469</v>
      </c>
      <c r="AA171" t="s">
        <v>74</v>
      </c>
      <c r="AB171" t="s">
        <v>74</v>
      </c>
      <c r="AC171" t="s">
        <v>3470</v>
      </c>
      <c r="AD171" t="s">
        <v>3471</v>
      </c>
      <c r="AE171" t="s">
        <v>74</v>
      </c>
      <c r="AF171" t="s">
        <v>74</v>
      </c>
      <c r="AG171">
        <v>55</v>
      </c>
      <c r="AH171">
        <v>21</v>
      </c>
      <c r="AI171">
        <v>21</v>
      </c>
      <c r="AJ171">
        <v>0</v>
      </c>
      <c r="AK171">
        <v>4</v>
      </c>
      <c r="AL171" t="s">
        <v>3352</v>
      </c>
      <c r="AM171" t="s">
        <v>3353</v>
      </c>
      <c r="AN171" t="s">
        <v>3354</v>
      </c>
      <c r="AO171" t="s">
        <v>3355</v>
      </c>
      <c r="AP171" t="s">
        <v>74</v>
      </c>
      <c r="AQ171" t="s">
        <v>3376</v>
      </c>
      <c r="AR171" t="s">
        <v>3357</v>
      </c>
      <c r="AS171" t="s">
        <v>3358</v>
      </c>
      <c r="AT171" t="s">
        <v>74</v>
      </c>
      <c r="AU171">
        <v>2013</v>
      </c>
      <c r="AV171">
        <v>381</v>
      </c>
      <c r="AW171" t="s">
        <v>74</v>
      </c>
      <c r="AX171" t="s">
        <v>74</v>
      </c>
      <c r="AY171" t="s">
        <v>74</v>
      </c>
      <c r="AZ171" t="s">
        <v>74</v>
      </c>
      <c r="BA171" t="s">
        <v>74</v>
      </c>
      <c r="BB171">
        <v>139</v>
      </c>
      <c r="BC171">
        <v>150</v>
      </c>
      <c r="BD171" t="s">
        <v>74</v>
      </c>
      <c r="BE171" t="s">
        <v>3472</v>
      </c>
      <c r="BF171" t="str">
        <f>HYPERLINK("http://dx.doi.org/10.1144/SP381.3","http://dx.doi.org/10.1144/SP381.3")</f>
        <v>http://dx.doi.org/10.1144/SP381.3</v>
      </c>
      <c r="BG171" t="s">
        <v>74</v>
      </c>
      <c r="BH171" t="s">
        <v>74</v>
      </c>
      <c r="BI171">
        <v>12</v>
      </c>
      <c r="BJ171" t="s">
        <v>3378</v>
      </c>
      <c r="BK171" t="s">
        <v>3379</v>
      </c>
      <c r="BL171" t="s">
        <v>1605</v>
      </c>
      <c r="BM171" t="s">
        <v>3380</v>
      </c>
      <c r="BN171" t="s">
        <v>74</v>
      </c>
      <c r="BO171" t="s">
        <v>74</v>
      </c>
      <c r="BP171" t="s">
        <v>74</v>
      </c>
      <c r="BQ171" t="s">
        <v>74</v>
      </c>
      <c r="BR171" t="s">
        <v>105</v>
      </c>
      <c r="BS171" t="s">
        <v>3473</v>
      </c>
      <c r="BT171" t="str">
        <f>HYPERLINK("https%3A%2F%2Fwww.webofscience.com%2Fwos%2Fwoscc%2Ffull-record%2FWOS:000343054800010","View Full Record in Web of Science")</f>
        <v>View Full Record in Web of Science</v>
      </c>
    </row>
    <row r="172" spans="1:72" x14ac:dyDescent="0.15">
      <c r="A172" t="s">
        <v>3341</v>
      </c>
      <c r="B172" t="s">
        <v>3474</v>
      </c>
      <c r="C172" t="s">
        <v>74</v>
      </c>
      <c r="D172" t="s">
        <v>3366</v>
      </c>
      <c r="E172" t="s">
        <v>74</v>
      </c>
      <c r="F172" t="s">
        <v>3475</v>
      </c>
      <c r="G172" t="s">
        <v>74</v>
      </c>
      <c r="H172" t="s">
        <v>74</v>
      </c>
      <c r="I172" t="s">
        <v>3476</v>
      </c>
      <c r="J172" t="s">
        <v>3369</v>
      </c>
      <c r="K172" t="s">
        <v>3347</v>
      </c>
      <c r="L172" t="s">
        <v>74</v>
      </c>
      <c r="M172" t="s">
        <v>78</v>
      </c>
      <c r="N172" t="s">
        <v>3258</v>
      </c>
      <c r="O172" t="s">
        <v>74</v>
      </c>
      <c r="P172" t="s">
        <v>74</v>
      </c>
      <c r="Q172" t="s">
        <v>74</v>
      </c>
      <c r="R172" t="s">
        <v>74</v>
      </c>
      <c r="S172" t="s">
        <v>74</v>
      </c>
      <c r="T172" t="s">
        <v>74</v>
      </c>
      <c r="U172" t="s">
        <v>3477</v>
      </c>
      <c r="V172" t="s">
        <v>3478</v>
      </c>
      <c r="W172" t="s">
        <v>3479</v>
      </c>
      <c r="X172" t="s">
        <v>3480</v>
      </c>
      <c r="Y172" t="s">
        <v>3481</v>
      </c>
      <c r="Z172" t="s">
        <v>3482</v>
      </c>
      <c r="AA172" t="s">
        <v>3483</v>
      </c>
      <c r="AB172" t="s">
        <v>3484</v>
      </c>
      <c r="AC172" t="s">
        <v>74</v>
      </c>
      <c r="AD172" t="s">
        <v>74</v>
      </c>
      <c r="AE172" t="s">
        <v>74</v>
      </c>
      <c r="AF172" t="s">
        <v>74</v>
      </c>
      <c r="AG172">
        <v>69</v>
      </c>
      <c r="AH172">
        <v>2</v>
      </c>
      <c r="AI172">
        <v>2</v>
      </c>
      <c r="AJ172">
        <v>0</v>
      </c>
      <c r="AK172">
        <v>0</v>
      </c>
      <c r="AL172" t="s">
        <v>3352</v>
      </c>
      <c r="AM172" t="s">
        <v>3353</v>
      </c>
      <c r="AN172" t="s">
        <v>3354</v>
      </c>
      <c r="AO172" t="s">
        <v>3355</v>
      </c>
      <c r="AP172" t="s">
        <v>74</v>
      </c>
      <c r="AQ172" t="s">
        <v>3376</v>
      </c>
      <c r="AR172" t="s">
        <v>3357</v>
      </c>
      <c r="AS172" t="s">
        <v>3358</v>
      </c>
      <c r="AT172" t="s">
        <v>74</v>
      </c>
      <c r="AU172">
        <v>2013</v>
      </c>
      <c r="AV172">
        <v>381</v>
      </c>
      <c r="AW172" t="s">
        <v>74</v>
      </c>
      <c r="AX172" t="s">
        <v>74</v>
      </c>
      <c r="AY172" t="s">
        <v>74</v>
      </c>
      <c r="AZ172" t="s">
        <v>74</v>
      </c>
      <c r="BA172" t="s">
        <v>74</v>
      </c>
      <c r="BB172">
        <v>151</v>
      </c>
      <c r="BC172">
        <v>165</v>
      </c>
      <c r="BD172" t="s">
        <v>74</v>
      </c>
      <c r="BE172" t="s">
        <v>3485</v>
      </c>
      <c r="BF172" t="str">
        <f>HYPERLINK("http://dx.doi.org/10.1144/SP381.15","http://dx.doi.org/10.1144/SP381.15")</f>
        <v>http://dx.doi.org/10.1144/SP381.15</v>
      </c>
      <c r="BG172" t="s">
        <v>74</v>
      </c>
      <c r="BH172" t="s">
        <v>74</v>
      </c>
      <c r="BI172">
        <v>15</v>
      </c>
      <c r="BJ172" t="s">
        <v>3378</v>
      </c>
      <c r="BK172" t="s">
        <v>3379</v>
      </c>
      <c r="BL172" t="s">
        <v>1605</v>
      </c>
      <c r="BM172" t="s">
        <v>3380</v>
      </c>
      <c r="BN172" t="s">
        <v>74</v>
      </c>
      <c r="BO172" t="s">
        <v>74</v>
      </c>
      <c r="BP172" t="s">
        <v>74</v>
      </c>
      <c r="BQ172" t="s">
        <v>74</v>
      </c>
      <c r="BR172" t="s">
        <v>105</v>
      </c>
      <c r="BS172" t="s">
        <v>3486</v>
      </c>
      <c r="BT172" t="str">
        <f>HYPERLINK("https%3A%2F%2Fwww.webofscience.com%2Fwos%2Fwoscc%2Ffull-record%2FWOS:000343054800011","View Full Record in Web of Science")</f>
        <v>View Full Record in Web of Science</v>
      </c>
    </row>
    <row r="173" spans="1:72" x14ac:dyDescent="0.15">
      <c r="A173" t="s">
        <v>3341</v>
      </c>
      <c r="B173" t="s">
        <v>3487</v>
      </c>
      <c r="C173" t="s">
        <v>74</v>
      </c>
      <c r="D173" t="s">
        <v>3366</v>
      </c>
      <c r="E173" t="s">
        <v>74</v>
      </c>
      <c r="F173" t="s">
        <v>3488</v>
      </c>
      <c r="G173" t="s">
        <v>74</v>
      </c>
      <c r="H173" t="s">
        <v>74</v>
      </c>
      <c r="I173" t="s">
        <v>3489</v>
      </c>
      <c r="J173" t="s">
        <v>3369</v>
      </c>
      <c r="K173" t="s">
        <v>3347</v>
      </c>
      <c r="L173" t="s">
        <v>74</v>
      </c>
      <c r="M173" t="s">
        <v>78</v>
      </c>
      <c r="N173" t="s">
        <v>3258</v>
      </c>
      <c r="O173" t="s">
        <v>74</v>
      </c>
      <c r="P173" t="s">
        <v>74</v>
      </c>
      <c r="Q173" t="s">
        <v>74</v>
      </c>
      <c r="R173" t="s">
        <v>74</v>
      </c>
      <c r="S173" t="s">
        <v>74</v>
      </c>
      <c r="T173" t="s">
        <v>74</v>
      </c>
      <c r="U173" t="s">
        <v>3490</v>
      </c>
      <c r="V173" t="s">
        <v>3491</v>
      </c>
      <c r="W173" t="s">
        <v>3492</v>
      </c>
      <c r="X173" t="s">
        <v>3493</v>
      </c>
      <c r="Y173" t="s">
        <v>3494</v>
      </c>
      <c r="Z173" t="s">
        <v>3495</v>
      </c>
      <c r="AA173" t="s">
        <v>74</v>
      </c>
      <c r="AB173" t="s">
        <v>3496</v>
      </c>
      <c r="AC173" t="s">
        <v>3497</v>
      </c>
      <c r="AD173" t="s">
        <v>3498</v>
      </c>
      <c r="AE173" t="s">
        <v>74</v>
      </c>
      <c r="AF173" t="s">
        <v>74</v>
      </c>
      <c r="AG173">
        <v>93</v>
      </c>
      <c r="AH173">
        <v>30</v>
      </c>
      <c r="AI173">
        <v>41</v>
      </c>
      <c r="AJ173">
        <v>0</v>
      </c>
      <c r="AK173">
        <v>9</v>
      </c>
      <c r="AL173" t="s">
        <v>3352</v>
      </c>
      <c r="AM173" t="s">
        <v>3353</v>
      </c>
      <c r="AN173" t="s">
        <v>3354</v>
      </c>
      <c r="AO173" t="s">
        <v>3355</v>
      </c>
      <c r="AP173" t="s">
        <v>74</v>
      </c>
      <c r="AQ173" t="s">
        <v>3376</v>
      </c>
      <c r="AR173" t="s">
        <v>3357</v>
      </c>
      <c r="AS173" t="s">
        <v>3358</v>
      </c>
      <c r="AT173" t="s">
        <v>74</v>
      </c>
      <c r="AU173">
        <v>2013</v>
      </c>
      <c r="AV173">
        <v>381</v>
      </c>
      <c r="AW173" t="s">
        <v>74</v>
      </c>
      <c r="AX173" t="s">
        <v>74</v>
      </c>
      <c r="AY173" t="s">
        <v>74</v>
      </c>
      <c r="AZ173" t="s">
        <v>74</v>
      </c>
      <c r="BA173" t="s">
        <v>74</v>
      </c>
      <c r="BB173">
        <v>167</v>
      </c>
      <c r="BC173">
        <v>181</v>
      </c>
      <c r="BD173" t="s">
        <v>74</v>
      </c>
      <c r="BE173" t="s">
        <v>3499</v>
      </c>
      <c r="BF173" t="str">
        <f>HYPERLINK("http://dx.doi.org/10.1144/SP381.5","http://dx.doi.org/10.1144/SP381.5")</f>
        <v>http://dx.doi.org/10.1144/SP381.5</v>
      </c>
      <c r="BG173" t="s">
        <v>74</v>
      </c>
      <c r="BH173" t="s">
        <v>74</v>
      </c>
      <c r="BI173">
        <v>15</v>
      </c>
      <c r="BJ173" t="s">
        <v>3378</v>
      </c>
      <c r="BK173" t="s">
        <v>3379</v>
      </c>
      <c r="BL173" t="s">
        <v>1605</v>
      </c>
      <c r="BM173" t="s">
        <v>3380</v>
      </c>
      <c r="BN173" t="s">
        <v>74</v>
      </c>
      <c r="BO173" t="s">
        <v>74</v>
      </c>
      <c r="BP173" t="s">
        <v>74</v>
      </c>
      <c r="BQ173" t="s">
        <v>74</v>
      </c>
      <c r="BR173" t="s">
        <v>105</v>
      </c>
      <c r="BS173" t="s">
        <v>3500</v>
      </c>
      <c r="BT173" t="str">
        <f>HYPERLINK("https%3A%2F%2Fwww.webofscience.com%2Fwos%2Fwoscc%2Ffull-record%2FWOS:000343054800012","View Full Record in Web of Science")</f>
        <v>View Full Record in Web of Science</v>
      </c>
    </row>
    <row r="174" spans="1:72" x14ac:dyDescent="0.15">
      <c r="A174" t="s">
        <v>3341</v>
      </c>
      <c r="B174" t="s">
        <v>3501</v>
      </c>
      <c r="C174" t="s">
        <v>74</v>
      </c>
      <c r="D174" t="s">
        <v>3366</v>
      </c>
      <c r="E174" t="s">
        <v>74</v>
      </c>
      <c r="F174" t="s">
        <v>3502</v>
      </c>
      <c r="G174" t="s">
        <v>74</v>
      </c>
      <c r="H174" t="s">
        <v>74</v>
      </c>
      <c r="I174" t="s">
        <v>3503</v>
      </c>
      <c r="J174" t="s">
        <v>3369</v>
      </c>
      <c r="K174" t="s">
        <v>3347</v>
      </c>
      <c r="L174" t="s">
        <v>74</v>
      </c>
      <c r="M174" t="s">
        <v>78</v>
      </c>
      <c r="N174" t="s">
        <v>3258</v>
      </c>
      <c r="O174" t="s">
        <v>74</v>
      </c>
      <c r="P174" t="s">
        <v>74</v>
      </c>
      <c r="Q174" t="s">
        <v>74</v>
      </c>
      <c r="R174" t="s">
        <v>74</v>
      </c>
      <c r="S174" t="s">
        <v>74</v>
      </c>
      <c r="T174" t="s">
        <v>74</v>
      </c>
      <c r="U174" t="s">
        <v>3504</v>
      </c>
      <c r="V174" t="s">
        <v>3505</v>
      </c>
      <c r="W174" t="s">
        <v>3506</v>
      </c>
      <c r="X174" t="s">
        <v>3507</v>
      </c>
      <c r="Y174" t="s">
        <v>3508</v>
      </c>
      <c r="Z174" t="s">
        <v>3509</v>
      </c>
      <c r="AA174" t="s">
        <v>74</v>
      </c>
      <c r="AB174" t="s">
        <v>3510</v>
      </c>
      <c r="AC174" t="s">
        <v>74</v>
      </c>
      <c r="AD174" t="s">
        <v>74</v>
      </c>
      <c r="AE174" t="s">
        <v>74</v>
      </c>
      <c r="AF174" t="s">
        <v>74</v>
      </c>
      <c r="AG174">
        <v>47</v>
      </c>
      <c r="AH174">
        <v>2</v>
      </c>
      <c r="AI174">
        <v>2</v>
      </c>
      <c r="AJ174">
        <v>0</v>
      </c>
      <c r="AK174">
        <v>2</v>
      </c>
      <c r="AL174" t="s">
        <v>3352</v>
      </c>
      <c r="AM174" t="s">
        <v>3353</v>
      </c>
      <c r="AN174" t="s">
        <v>3354</v>
      </c>
      <c r="AO174" t="s">
        <v>3355</v>
      </c>
      <c r="AP174" t="s">
        <v>74</v>
      </c>
      <c r="AQ174" t="s">
        <v>3376</v>
      </c>
      <c r="AR174" t="s">
        <v>3357</v>
      </c>
      <c r="AS174" t="s">
        <v>3358</v>
      </c>
      <c r="AT174" t="s">
        <v>74</v>
      </c>
      <c r="AU174">
        <v>2013</v>
      </c>
      <c r="AV174">
        <v>381</v>
      </c>
      <c r="AW174" t="s">
        <v>74</v>
      </c>
      <c r="AX174" t="s">
        <v>74</v>
      </c>
      <c r="AY174" t="s">
        <v>74</v>
      </c>
      <c r="AZ174" t="s">
        <v>74</v>
      </c>
      <c r="BA174" t="s">
        <v>74</v>
      </c>
      <c r="BB174">
        <v>183</v>
      </c>
      <c r="BC174">
        <v>197</v>
      </c>
      <c r="BD174" t="s">
        <v>74</v>
      </c>
      <c r="BE174" t="s">
        <v>3511</v>
      </c>
      <c r="BF174" t="str">
        <f>HYPERLINK("http://dx.doi.org/10.1144/SP381.24","http://dx.doi.org/10.1144/SP381.24")</f>
        <v>http://dx.doi.org/10.1144/SP381.24</v>
      </c>
      <c r="BG174" t="s">
        <v>74</v>
      </c>
      <c r="BH174" t="s">
        <v>74</v>
      </c>
      <c r="BI174">
        <v>15</v>
      </c>
      <c r="BJ174" t="s">
        <v>3378</v>
      </c>
      <c r="BK174" t="s">
        <v>3379</v>
      </c>
      <c r="BL174" t="s">
        <v>1605</v>
      </c>
      <c r="BM174" t="s">
        <v>3380</v>
      </c>
      <c r="BN174" t="s">
        <v>74</v>
      </c>
      <c r="BO174" t="s">
        <v>74</v>
      </c>
      <c r="BP174" t="s">
        <v>74</v>
      </c>
      <c r="BQ174" t="s">
        <v>74</v>
      </c>
      <c r="BR174" t="s">
        <v>105</v>
      </c>
      <c r="BS174" t="s">
        <v>3512</v>
      </c>
      <c r="BT174" t="str">
        <f>HYPERLINK("https%3A%2F%2Fwww.webofscience.com%2Fwos%2Fwoscc%2Ffull-record%2FWOS:000343054800013","View Full Record in Web of Science")</f>
        <v>View Full Record in Web of Science</v>
      </c>
    </row>
    <row r="175" spans="1:72" x14ac:dyDescent="0.15">
      <c r="A175" t="s">
        <v>3341</v>
      </c>
      <c r="B175" t="s">
        <v>3513</v>
      </c>
      <c r="C175" t="s">
        <v>74</v>
      </c>
      <c r="D175" t="s">
        <v>3366</v>
      </c>
      <c r="E175" t="s">
        <v>74</v>
      </c>
      <c r="F175" t="s">
        <v>3514</v>
      </c>
      <c r="G175" t="s">
        <v>74</v>
      </c>
      <c r="H175" t="s">
        <v>74</v>
      </c>
      <c r="I175" t="s">
        <v>3515</v>
      </c>
      <c r="J175" t="s">
        <v>3369</v>
      </c>
      <c r="K175" t="s">
        <v>3347</v>
      </c>
      <c r="L175" t="s">
        <v>74</v>
      </c>
      <c r="M175" t="s">
        <v>78</v>
      </c>
      <c r="N175" t="s">
        <v>3258</v>
      </c>
      <c r="O175" t="s">
        <v>74</v>
      </c>
      <c r="P175" t="s">
        <v>74</v>
      </c>
      <c r="Q175" t="s">
        <v>74</v>
      </c>
      <c r="R175" t="s">
        <v>74</v>
      </c>
      <c r="S175" t="s">
        <v>74</v>
      </c>
      <c r="T175" t="s">
        <v>74</v>
      </c>
      <c r="U175" t="s">
        <v>3516</v>
      </c>
      <c r="V175" t="s">
        <v>3517</v>
      </c>
      <c r="W175" t="s">
        <v>3518</v>
      </c>
      <c r="X175" t="s">
        <v>3519</v>
      </c>
      <c r="Y175" t="s">
        <v>3520</v>
      </c>
      <c r="Z175" t="s">
        <v>3521</v>
      </c>
      <c r="AA175" t="s">
        <v>3522</v>
      </c>
      <c r="AB175" t="s">
        <v>3523</v>
      </c>
      <c r="AC175" t="s">
        <v>74</v>
      </c>
      <c r="AD175" t="s">
        <v>74</v>
      </c>
      <c r="AE175" t="s">
        <v>74</v>
      </c>
      <c r="AF175" t="s">
        <v>74</v>
      </c>
      <c r="AG175">
        <v>80</v>
      </c>
      <c r="AH175">
        <v>5</v>
      </c>
      <c r="AI175">
        <v>8</v>
      </c>
      <c r="AJ175">
        <v>0</v>
      </c>
      <c r="AK175">
        <v>1</v>
      </c>
      <c r="AL175" t="s">
        <v>3352</v>
      </c>
      <c r="AM175" t="s">
        <v>3353</v>
      </c>
      <c r="AN175" t="s">
        <v>3354</v>
      </c>
      <c r="AO175" t="s">
        <v>3355</v>
      </c>
      <c r="AP175" t="s">
        <v>74</v>
      </c>
      <c r="AQ175" t="s">
        <v>3376</v>
      </c>
      <c r="AR175" t="s">
        <v>3357</v>
      </c>
      <c r="AS175" t="s">
        <v>3358</v>
      </c>
      <c r="AT175" t="s">
        <v>74</v>
      </c>
      <c r="AU175">
        <v>2013</v>
      </c>
      <c r="AV175">
        <v>381</v>
      </c>
      <c r="AW175" t="s">
        <v>74</v>
      </c>
      <c r="AX175" t="s">
        <v>74</v>
      </c>
      <c r="AY175" t="s">
        <v>74</v>
      </c>
      <c r="AZ175" t="s">
        <v>74</v>
      </c>
      <c r="BA175" t="s">
        <v>74</v>
      </c>
      <c r="BB175">
        <v>199</v>
      </c>
      <c r="BC175">
        <v>213</v>
      </c>
      <c r="BD175" t="s">
        <v>74</v>
      </c>
      <c r="BE175" t="s">
        <v>3524</v>
      </c>
      <c r="BF175" t="str">
        <f>HYPERLINK("http://dx.doi.org/10.1144/SP381.2","http://dx.doi.org/10.1144/SP381.2")</f>
        <v>http://dx.doi.org/10.1144/SP381.2</v>
      </c>
      <c r="BG175" t="s">
        <v>74</v>
      </c>
      <c r="BH175" t="s">
        <v>74</v>
      </c>
      <c r="BI175">
        <v>15</v>
      </c>
      <c r="BJ175" t="s">
        <v>3378</v>
      </c>
      <c r="BK175" t="s">
        <v>3379</v>
      </c>
      <c r="BL175" t="s">
        <v>1605</v>
      </c>
      <c r="BM175" t="s">
        <v>3380</v>
      </c>
      <c r="BN175" t="s">
        <v>74</v>
      </c>
      <c r="BO175" t="s">
        <v>74</v>
      </c>
      <c r="BP175" t="s">
        <v>74</v>
      </c>
      <c r="BQ175" t="s">
        <v>74</v>
      </c>
      <c r="BR175" t="s">
        <v>105</v>
      </c>
      <c r="BS175" t="s">
        <v>3525</v>
      </c>
      <c r="BT175" t="str">
        <f>HYPERLINK("https%3A%2F%2Fwww.webofscience.com%2Fwos%2Fwoscc%2Ffull-record%2FWOS:000343054800014","View Full Record in Web of Science")</f>
        <v>View Full Record in Web of Science</v>
      </c>
    </row>
    <row r="176" spans="1:72" x14ac:dyDescent="0.15">
      <c r="A176" t="s">
        <v>3341</v>
      </c>
      <c r="B176" t="s">
        <v>3526</v>
      </c>
      <c r="C176" t="s">
        <v>74</v>
      </c>
      <c r="D176" t="s">
        <v>3366</v>
      </c>
      <c r="E176" t="s">
        <v>74</v>
      </c>
      <c r="F176" t="s">
        <v>3527</v>
      </c>
      <c r="G176" t="s">
        <v>74</v>
      </c>
      <c r="H176" t="s">
        <v>74</v>
      </c>
      <c r="I176" t="s">
        <v>3528</v>
      </c>
      <c r="J176" t="s">
        <v>3369</v>
      </c>
      <c r="K176" t="s">
        <v>3347</v>
      </c>
      <c r="L176" t="s">
        <v>74</v>
      </c>
      <c r="M176" t="s">
        <v>78</v>
      </c>
      <c r="N176" t="s">
        <v>3258</v>
      </c>
      <c r="O176" t="s">
        <v>74</v>
      </c>
      <c r="P176" t="s">
        <v>74</v>
      </c>
      <c r="Q176" t="s">
        <v>74</v>
      </c>
      <c r="R176" t="s">
        <v>74</v>
      </c>
      <c r="S176" t="s">
        <v>74</v>
      </c>
      <c r="T176" t="s">
        <v>74</v>
      </c>
      <c r="U176" t="s">
        <v>3529</v>
      </c>
      <c r="V176" t="s">
        <v>3530</v>
      </c>
      <c r="W176" t="s">
        <v>3531</v>
      </c>
      <c r="X176" t="s">
        <v>3532</v>
      </c>
      <c r="Y176" t="s">
        <v>3533</v>
      </c>
      <c r="Z176" t="s">
        <v>3534</v>
      </c>
      <c r="AA176" t="s">
        <v>3535</v>
      </c>
      <c r="AB176" t="s">
        <v>3536</v>
      </c>
      <c r="AC176" t="s">
        <v>3537</v>
      </c>
      <c r="AD176" t="s">
        <v>3538</v>
      </c>
      <c r="AE176" t="s">
        <v>74</v>
      </c>
      <c r="AF176" t="s">
        <v>74</v>
      </c>
      <c r="AG176">
        <v>138</v>
      </c>
      <c r="AH176">
        <v>4</v>
      </c>
      <c r="AI176">
        <v>4</v>
      </c>
      <c r="AJ176">
        <v>0</v>
      </c>
      <c r="AK176">
        <v>3</v>
      </c>
      <c r="AL176" t="s">
        <v>3352</v>
      </c>
      <c r="AM176" t="s">
        <v>3353</v>
      </c>
      <c r="AN176" t="s">
        <v>3354</v>
      </c>
      <c r="AO176" t="s">
        <v>3355</v>
      </c>
      <c r="AP176" t="s">
        <v>74</v>
      </c>
      <c r="AQ176" t="s">
        <v>3376</v>
      </c>
      <c r="AR176" t="s">
        <v>3357</v>
      </c>
      <c r="AS176" t="s">
        <v>3358</v>
      </c>
      <c r="AT176" t="s">
        <v>74</v>
      </c>
      <c r="AU176">
        <v>2013</v>
      </c>
      <c r="AV176">
        <v>381</v>
      </c>
      <c r="AW176" t="s">
        <v>74</v>
      </c>
      <c r="AX176" t="s">
        <v>74</v>
      </c>
      <c r="AY176" t="s">
        <v>74</v>
      </c>
      <c r="AZ176" t="s">
        <v>74</v>
      </c>
      <c r="BA176" t="s">
        <v>74</v>
      </c>
      <c r="BB176">
        <v>215</v>
      </c>
      <c r="BC176">
        <v>232</v>
      </c>
      <c r="BD176" t="s">
        <v>74</v>
      </c>
      <c r="BE176" t="s">
        <v>3539</v>
      </c>
      <c r="BF176" t="str">
        <f>HYPERLINK("http://dx.doi.org/10.1144/SP381.13","http://dx.doi.org/10.1144/SP381.13")</f>
        <v>http://dx.doi.org/10.1144/SP381.13</v>
      </c>
      <c r="BG176" t="s">
        <v>74</v>
      </c>
      <c r="BH176" t="s">
        <v>74</v>
      </c>
      <c r="BI176">
        <v>18</v>
      </c>
      <c r="BJ176" t="s">
        <v>3378</v>
      </c>
      <c r="BK176" t="s">
        <v>3379</v>
      </c>
      <c r="BL176" t="s">
        <v>1605</v>
      </c>
      <c r="BM176" t="s">
        <v>3380</v>
      </c>
      <c r="BN176" t="s">
        <v>74</v>
      </c>
      <c r="BO176" t="s">
        <v>74</v>
      </c>
      <c r="BP176" t="s">
        <v>74</v>
      </c>
      <c r="BQ176" t="s">
        <v>74</v>
      </c>
      <c r="BR176" t="s">
        <v>105</v>
      </c>
      <c r="BS176" t="s">
        <v>3540</v>
      </c>
      <c r="BT176" t="str">
        <f>HYPERLINK("https%3A%2F%2Fwww.webofscience.com%2Fwos%2Fwoscc%2Ffull-record%2FWOS:000343054800015","View Full Record in Web of Science")</f>
        <v>View Full Record in Web of Science</v>
      </c>
    </row>
    <row r="177" spans="1:72" x14ac:dyDescent="0.15">
      <c r="A177" t="s">
        <v>3341</v>
      </c>
      <c r="B177" t="s">
        <v>3541</v>
      </c>
      <c r="C177" t="s">
        <v>74</v>
      </c>
      <c r="D177" t="s">
        <v>3366</v>
      </c>
      <c r="E177" t="s">
        <v>74</v>
      </c>
      <c r="F177" t="s">
        <v>3542</v>
      </c>
      <c r="G177" t="s">
        <v>74</v>
      </c>
      <c r="H177" t="s">
        <v>74</v>
      </c>
      <c r="I177" t="s">
        <v>3543</v>
      </c>
      <c r="J177" t="s">
        <v>3369</v>
      </c>
      <c r="K177" t="s">
        <v>3347</v>
      </c>
      <c r="L177" t="s">
        <v>74</v>
      </c>
      <c r="M177" t="s">
        <v>78</v>
      </c>
      <c r="N177" t="s">
        <v>3258</v>
      </c>
      <c r="O177" t="s">
        <v>74</v>
      </c>
      <c r="P177" t="s">
        <v>74</v>
      </c>
      <c r="Q177" t="s">
        <v>74</v>
      </c>
      <c r="R177" t="s">
        <v>74</v>
      </c>
      <c r="S177" t="s">
        <v>74</v>
      </c>
      <c r="T177" t="s">
        <v>74</v>
      </c>
      <c r="U177" t="s">
        <v>3544</v>
      </c>
      <c r="V177" t="s">
        <v>3545</v>
      </c>
      <c r="W177" t="s">
        <v>3546</v>
      </c>
      <c r="X177" t="s">
        <v>3547</v>
      </c>
      <c r="Y177" t="s">
        <v>3548</v>
      </c>
      <c r="Z177" t="s">
        <v>3549</v>
      </c>
      <c r="AA177" t="s">
        <v>74</v>
      </c>
      <c r="AB177" t="s">
        <v>3550</v>
      </c>
      <c r="AC177" t="s">
        <v>74</v>
      </c>
      <c r="AD177" t="s">
        <v>74</v>
      </c>
      <c r="AE177" t="s">
        <v>74</v>
      </c>
      <c r="AF177" t="s">
        <v>74</v>
      </c>
      <c r="AG177">
        <v>29</v>
      </c>
      <c r="AH177">
        <v>11</v>
      </c>
      <c r="AI177">
        <v>11</v>
      </c>
      <c r="AJ177">
        <v>0</v>
      </c>
      <c r="AK177">
        <v>4</v>
      </c>
      <c r="AL177" t="s">
        <v>3352</v>
      </c>
      <c r="AM177" t="s">
        <v>3353</v>
      </c>
      <c r="AN177" t="s">
        <v>3354</v>
      </c>
      <c r="AO177" t="s">
        <v>3355</v>
      </c>
      <c r="AP177" t="s">
        <v>74</v>
      </c>
      <c r="AQ177" t="s">
        <v>3376</v>
      </c>
      <c r="AR177" t="s">
        <v>3357</v>
      </c>
      <c r="AS177" t="s">
        <v>3358</v>
      </c>
      <c r="AT177" t="s">
        <v>74</v>
      </c>
      <c r="AU177">
        <v>2013</v>
      </c>
      <c r="AV177">
        <v>381</v>
      </c>
      <c r="AW177" t="s">
        <v>74</v>
      </c>
      <c r="AX177" t="s">
        <v>74</v>
      </c>
      <c r="AY177" t="s">
        <v>74</v>
      </c>
      <c r="AZ177" t="s">
        <v>74</v>
      </c>
      <c r="BA177" t="s">
        <v>74</v>
      </c>
      <c r="BB177">
        <v>233</v>
      </c>
      <c r="BC177">
        <v>244</v>
      </c>
      <c r="BD177" t="s">
        <v>74</v>
      </c>
      <c r="BE177" t="s">
        <v>3551</v>
      </c>
      <c r="BF177" t="str">
        <f>HYPERLINK("http://dx.doi.org/10.1144/SP381.21","http://dx.doi.org/10.1144/SP381.21")</f>
        <v>http://dx.doi.org/10.1144/SP381.21</v>
      </c>
      <c r="BG177" t="s">
        <v>74</v>
      </c>
      <c r="BH177" t="s">
        <v>74</v>
      </c>
      <c r="BI177">
        <v>12</v>
      </c>
      <c r="BJ177" t="s">
        <v>3378</v>
      </c>
      <c r="BK177" t="s">
        <v>3379</v>
      </c>
      <c r="BL177" t="s">
        <v>1605</v>
      </c>
      <c r="BM177" t="s">
        <v>3380</v>
      </c>
      <c r="BN177" t="s">
        <v>74</v>
      </c>
      <c r="BO177" t="s">
        <v>74</v>
      </c>
      <c r="BP177" t="s">
        <v>74</v>
      </c>
      <c r="BQ177" t="s">
        <v>74</v>
      </c>
      <c r="BR177" t="s">
        <v>105</v>
      </c>
      <c r="BS177" t="s">
        <v>3552</v>
      </c>
      <c r="BT177" t="str">
        <f>HYPERLINK("https%3A%2F%2Fwww.webofscience.com%2Fwos%2Fwoscc%2Ffull-record%2FWOS:000343054800016","View Full Record in Web of Science")</f>
        <v>View Full Record in Web of Science</v>
      </c>
    </row>
    <row r="178" spans="1:72" x14ac:dyDescent="0.15">
      <c r="A178" t="s">
        <v>3341</v>
      </c>
      <c r="B178" t="s">
        <v>3553</v>
      </c>
      <c r="C178" t="s">
        <v>74</v>
      </c>
      <c r="D178" t="s">
        <v>3366</v>
      </c>
      <c r="E178" t="s">
        <v>74</v>
      </c>
      <c r="F178" t="s">
        <v>3554</v>
      </c>
      <c r="G178" t="s">
        <v>74</v>
      </c>
      <c r="H178" t="s">
        <v>74</v>
      </c>
      <c r="I178" t="s">
        <v>3555</v>
      </c>
      <c r="J178" t="s">
        <v>3369</v>
      </c>
      <c r="K178" t="s">
        <v>3347</v>
      </c>
      <c r="L178" t="s">
        <v>74</v>
      </c>
      <c r="M178" t="s">
        <v>78</v>
      </c>
      <c r="N178" t="s">
        <v>3258</v>
      </c>
      <c r="O178" t="s">
        <v>74</v>
      </c>
      <c r="P178" t="s">
        <v>74</v>
      </c>
      <c r="Q178" t="s">
        <v>74</v>
      </c>
      <c r="R178" t="s">
        <v>74</v>
      </c>
      <c r="S178" t="s">
        <v>74</v>
      </c>
      <c r="T178" t="s">
        <v>74</v>
      </c>
      <c r="U178" t="s">
        <v>3556</v>
      </c>
      <c r="V178" t="s">
        <v>3557</v>
      </c>
      <c r="W178" t="s">
        <v>3558</v>
      </c>
      <c r="X178" t="s">
        <v>3559</v>
      </c>
      <c r="Y178" t="s">
        <v>3560</v>
      </c>
      <c r="Z178" t="s">
        <v>3561</v>
      </c>
      <c r="AA178" t="s">
        <v>3562</v>
      </c>
      <c r="AB178" t="s">
        <v>3563</v>
      </c>
      <c r="AC178" t="s">
        <v>74</v>
      </c>
      <c r="AD178" t="s">
        <v>74</v>
      </c>
      <c r="AE178" t="s">
        <v>74</v>
      </c>
      <c r="AF178" t="s">
        <v>74</v>
      </c>
      <c r="AG178">
        <v>91</v>
      </c>
      <c r="AH178">
        <v>31</v>
      </c>
      <c r="AI178">
        <v>35</v>
      </c>
      <c r="AJ178">
        <v>0</v>
      </c>
      <c r="AK178">
        <v>4</v>
      </c>
      <c r="AL178" t="s">
        <v>3352</v>
      </c>
      <c r="AM178" t="s">
        <v>3353</v>
      </c>
      <c r="AN178" t="s">
        <v>3354</v>
      </c>
      <c r="AO178" t="s">
        <v>3355</v>
      </c>
      <c r="AP178" t="s">
        <v>74</v>
      </c>
      <c r="AQ178" t="s">
        <v>3376</v>
      </c>
      <c r="AR178" t="s">
        <v>3357</v>
      </c>
      <c r="AS178" t="s">
        <v>3358</v>
      </c>
      <c r="AT178" t="s">
        <v>74</v>
      </c>
      <c r="AU178">
        <v>2013</v>
      </c>
      <c r="AV178">
        <v>381</v>
      </c>
      <c r="AW178" t="s">
        <v>74</v>
      </c>
      <c r="AX178" t="s">
        <v>74</v>
      </c>
      <c r="AY178" t="s">
        <v>74</v>
      </c>
      <c r="AZ178" t="s">
        <v>74</v>
      </c>
      <c r="BA178" t="s">
        <v>74</v>
      </c>
      <c r="BB178">
        <v>245</v>
      </c>
      <c r="BC178">
        <v>261</v>
      </c>
      <c r="BD178" t="s">
        <v>74</v>
      </c>
      <c r="BE178" t="s">
        <v>3564</v>
      </c>
      <c r="BF178" t="str">
        <f>HYPERLINK("http://dx.doi.org/10.1144/SP381.17","http://dx.doi.org/10.1144/SP381.17")</f>
        <v>http://dx.doi.org/10.1144/SP381.17</v>
      </c>
      <c r="BG178" t="s">
        <v>74</v>
      </c>
      <c r="BH178" t="s">
        <v>74</v>
      </c>
      <c r="BI178">
        <v>17</v>
      </c>
      <c r="BJ178" t="s">
        <v>3378</v>
      </c>
      <c r="BK178" t="s">
        <v>3379</v>
      </c>
      <c r="BL178" t="s">
        <v>1605</v>
      </c>
      <c r="BM178" t="s">
        <v>3380</v>
      </c>
      <c r="BN178" t="s">
        <v>74</v>
      </c>
      <c r="BO178" t="s">
        <v>74</v>
      </c>
      <c r="BP178" t="s">
        <v>74</v>
      </c>
      <c r="BQ178" t="s">
        <v>74</v>
      </c>
      <c r="BR178" t="s">
        <v>105</v>
      </c>
      <c r="BS178" t="s">
        <v>3565</v>
      </c>
      <c r="BT178" t="str">
        <f>HYPERLINK("https%3A%2F%2Fwww.webofscience.com%2Fwos%2Fwoscc%2Ffull-record%2FWOS:000343054800017","View Full Record in Web of Science")</f>
        <v>View Full Record in Web of Science</v>
      </c>
    </row>
    <row r="179" spans="1:72" x14ac:dyDescent="0.15">
      <c r="A179" t="s">
        <v>3341</v>
      </c>
      <c r="B179" t="s">
        <v>3566</v>
      </c>
      <c r="C179" t="s">
        <v>74</v>
      </c>
      <c r="D179" t="s">
        <v>3366</v>
      </c>
      <c r="E179" t="s">
        <v>74</v>
      </c>
      <c r="F179" t="s">
        <v>3567</v>
      </c>
      <c r="G179" t="s">
        <v>74</v>
      </c>
      <c r="H179" t="s">
        <v>74</v>
      </c>
      <c r="I179" t="s">
        <v>3568</v>
      </c>
      <c r="J179" t="s">
        <v>3369</v>
      </c>
      <c r="K179" t="s">
        <v>3347</v>
      </c>
      <c r="L179" t="s">
        <v>74</v>
      </c>
      <c r="M179" t="s">
        <v>78</v>
      </c>
      <c r="N179" t="s">
        <v>3258</v>
      </c>
      <c r="O179" t="s">
        <v>74</v>
      </c>
      <c r="P179" t="s">
        <v>74</v>
      </c>
      <c r="Q179" t="s">
        <v>74</v>
      </c>
      <c r="R179" t="s">
        <v>74</v>
      </c>
      <c r="S179" t="s">
        <v>74</v>
      </c>
      <c r="T179" t="s">
        <v>74</v>
      </c>
      <c r="U179" t="s">
        <v>3569</v>
      </c>
      <c r="V179" t="s">
        <v>3570</v>
      </c>
      <c r="W179" t="s">
        <v>3571</v>
      </c>
      <c r="X179" t="s">
        <v>3572</v>
      </c>
      <c r="Y179" t="s">
        <v>3573</v>
      </c>
      <c r="Z179" t="s">
        <v>3574</v>
      </c>
      <c r="AA179" t="s">
        <v>2252</v>
      </c>
      <c r="AB179" t="s">
        <v>3575</v>
      </c>
      <c r="AC179" t="s">
        <v>3576</v>
      </c>
      <c r="AD179" t="s">
        <v>3471</v>
      </c>
      <c r="AE179" t="s">
        <v>74</v>
      </c>
      <c r="AF179" t="s">
        <v>74</v>
      </c>
      <c r="AG179">
        <v>67</v>
      </c>
      <c r="AH179">
        <v>9</v>
      </c>
      <c r="AI179">
        <v>9</v>
      </c>
      <c r="AJ179">
        <v>1</v>
      </c>
      <c r="AK179">
        <v>12</v>
      </c>
      <c r="AL179" t="s">
        <v>3352</v>
      </c>
      <c r="AM179" t="s">
        <v>3353</v>
      </c>
      <c r="AN179" t="s">
        <v>3354</v>
      </c>
      <c r="AO179" t="s">
        <v>3355</v>
      </c>
      <c r="AP179" t="s">
        <v>74</v>
      </c>
      <c r="AQ179" t="s">
        <v>3376</v>
      </c>
      <c r="AR179" t="s">
        <v>3357</v>
      </c>
      <c r="AS179" t="s">
        <v>3358</v>
      </c>
      <c r="AT179" t="s">
        <v>74</v>
      </c>
      <c r="AU179">
        <v>2013</v>
      </c>
      <c r="AV179">
        <v>381</v>
      </c>
      <c r="AW179" t="s">
        <v>74</v>
      </c>
      <c r="AX179" t="s">
        <v>74</v>
      </c>
      <c r="AY179" t="s">
        <v>74</v>
      </c>
      <c r="AZ179" t="s">
        <v>74</v>
      </c>
      <c r="BA179" t="s">
        <v>74</v>
      </c>
      <c r="BB179">
        <v>263</v>
      </c>
      <c r="BC179">
        <v>276</v>
      </c>
      <c r="BD179" t="s">
        <v>74</v>
      </c>
      <c r="BE179" t="s">
        <v>3577</v>
      </c>
      <c r="BF179" t="str">
        <f>HYPERLINK("http://dx.doi.org/10.1144/SP381.12","http://dx.doi.org/10.1144/SP381.12")</f>
        <v>http://dx.doi.org/10.1144/SP381.12</v>
      </c>
      <c r="BG179" t="s">
        <v>74</v>
      </c>
      <c r="BH179" t="s">
        <v>74</v>
      </c>
      <c r="BI179">
        <v>14</v>
      </c>
      <c r="BJ179" t="s">
        <v>3378</v>
      </c>
      <c r="BK179" t="s">
        <v>3379</v>
      </c>
      <c r="BL179" t="s">
        <v>1605</v>
      </c>
      <c r="BM179" t="s">
        <v>3380</v>
      </c>
      <c r="BN179" t="s">
        <v>74</v>
      </c>
      <c r="BO179" t="s">
        <v>74</v>
      </c>
      <c r="BP179" t="s">
        <v>74</v>
      </c>
      <c r="BQ179" t="s">
        <v>74</v>
      </c>
      <c r="BR179" t="s">
        <v>105</v>
      </c>
      <c r="BS179" t="s">
        <v>3578</v>
      </c>
      <c r="BT179" t="str">
        <f>HYPERLINK("https%3A%2F%2Fwww.webofscience.com%2Fwos%2Fwoscc%2Ffull-record%2FWOS:000343054800018","View Full Record in Web of Science")</f>
        <v>View Full Record in Web of Science</v>
      </c>
    </row>
    <row r="180" spans="1:72" x14ac:dyDescent="0.15">
      <c r="A180" t="s">
        <v>3341</v>
      </c>
      <c r="B180" t="s">
        <v>3579</v>
      </c>
      <c r="C180" t="s">
        <v>74</v>
      </c>
      <c r="D180" t="s">
        <v>3366</v>
      </c>
      <c r="E180" t="s">
        <v>74</v>
      </c>
      <c r="F180" t="s">
        <v>3580</v>
      </c>
      <c r="G180" t="s">
        <v>74</v>
      </c>
      <c r="H180" t="s">
        <v>3581</v>
      </c>
      <c r="I180" t="s">
        <v>3582</v>
      </c>
      <c r="J180" t="s">
        <v>3369</v>
      </c>
      <c r="K180" t="s">
        <v>3347</v>
      </c>
      <c r="L180" t="s">
        <v>74</v>
      </c>
      <c r="M180" t="s">
        <v>78</v>
      </c>
      <c r="N180" t="s">
        <v>3258</v>
      </c>
      <c r="O180" t="s">
        <v>74</v>
      </c>
      <c r="P180" t="s">
        <v>74</v>
      </c>
      <c r="Q180" t="s">
        <v>74</v>
      </c>
      <c r="R180" t="s">
        <v>74</v>
      </c>
      <c r="S180" t="s">
        <v>74</v>
      </c>
      <c r="T180" t="s">
        <v>74</v>
      </c>
      <c r="U180" t="s">
        <v>3583</v>
      </c>
      <c r="V180" t="s">
        <v>3584</v>
      </c>
      <c r="W180" t="s">
        <v>3585</v>
      </c>
      <c r="X180" t="s">
        <v>3586</v>
      </c>
      <c r="Y180" t="s">
        <v>74</v>
      </c>
      <c r="Z180" t="s">
        <v>3587</v>
      </c>
      <c r="AA180" t="s">
        <v>3588</v>
      </c>
      <c r="AB180" t="s">
        <v>3589</v>
      </c>
      <c r="AC180" t="s">
        <v>3590</v>
      </c>
      <c r="AD180" t="s">
        <v>3591</v>
      </c>
      <c r="AE180" t="s">
        <v>74</v>
      </c>
      <c r="AF180" t="s">
        <v>74</v>
      </c>
      <c r="AG180">
        <v>57</v>
      </c>
      <c r="AH180">
        <v>7</v>
      </c>
      <c r="AI180">
        <v>8</v>
      </c>
      <c r="AJ180">
        <v>0</v>
      </c>
      <c r="AK180">
        <v>10</v>
      </c>
      <c r="AL180" t="s">
        <v>3352</v>
      </c>
      <c r="AM180" t="s">
        <v>3353</v>
      </c>
      <c r="AN180" t="s">
        <v>3354</v>
      </c>
      <c r="AO180" t="s">
        <v>3355</v>
      </c>
      <c r="AP180" t="s">
        <v>74</v>
      </c>
      <c r="AQ180" t="s">
        <v>3376</v>
      </c>
      <c r="AR180" t="s">
        <v>3357</v>
      </c>
      <c r="AS180" t="s">
        <v>3358</v>
      </c>
      <c r="AT180" t="s">
        <v>74</v>
      </c>
      <c r="AU180">
        <v>2013</v>
      </c>
      <c r="AV180">
        <v>381</v>
      </c>
      <c r="AW180" t="s">
        <v>74</v>
      </c>
      <c r="AX180" t="s">
        <v>74</v>
      </c>
      <c r="AY180" t="s">
        <v>74</v>
      </c>
      <c r="AZ180" t="s">
        <v>74</v>
      </c>
      <c r="BA180" t="s">
        <v>74</v>
      </c>
      <c r="BB180">
        <v>277</v>
      </c>
      <c r="BC180">
        <v>297</v>
      </c>
      <c r="BD180" t="s">
        <v>74</v>
      </c>
      <c r="BE180" t="s">
        <v>3592</v>
      </c>
      <c r="BF180" t="str">
        <f>HYPERLINK("http://dx.doi.org/10.1144/SP381.11","http://dx.doi.org/10.1144/SP381.11")</f>
        <v>http://dx.doi.org/10.1144/SP381.11</v>
      </c>
      <c r="BG180" t="s">
        <v>74</v>
      </c>
      <c r="BH180" t="s">
        <v>74</v>
      </c>
      <c r="BI180">
        <v>21</v>
      </c>
      <c r="BJ180" t="s">
        <v>3378</v>
      </c>
      <c r="BK180" t="s">
        <v>3379</v>
      </c>
      <c r="BL180" t="s">
        <v>1605</v>
      </c>
      <c r="BM180" t="s">
        <v>3380</v>
      </c>
      <c r="BN180" t="s">
        <v>74</v>
      </c>
      <c r="BO180" t="s">
        <v>74</v>
      </c>
      <c r="BP180" t="s">
        <v>74</v>
      </c>
      <c r="BQ180" t="s">
        <v>74</v>
      </c>
      <c r="BR180" t="s">
        <v>105</v>
      </c>
      <c r="BS180" t="s">
        <v>3593</v>
      </c>
      <c r="BT180" t="str">
        <f>HYPERLINK("https%3A%2F%2Fwww.webofscience.com%2Fwos%2Fwoscc%2Ffull-record%2FWOS:000343054800019","View Full Record in Web of Science")</f>
        <v>View Full Record in Web of Science</v>
      </c>
    </row>
    <row r="181" spans="1:72" x14ac:dyDescent="0.15">
      <c r="A181" t="s">
        <v>3341</v>
      </c>
      <c r="B181" t="s">
        <v>3594</v>
      </c>
      <c r="C181" t="s">
        <v>74</v>
      </c>
      <c r="D181" t="s">
        <v>3366</v>
      </c>
      <c r="E181" t="s">
        <v>74</v>
      </c>
      <c r="F181" t="s">
        <v>3595</v>
      </c>
      <c r="G181" t="s">
        <v>74</v>
      </c>
      <c r="H181" t="s">
        <v>74</v>
      </c>
      <c r="I181" t="s">
        <v>3596</v>
      </c>
      <c r="J181" t="s">
        <v>3369</v>
      </c>
      <c r="K181" t="s">
        <v>3347</v>
      </c>
      <c r="L181" t="s">
        <v>74</v>
      </c>
      <c r="M181" t="s">
        <v>78</v>
      </c>
      <c r="N181" t="s">
        <v>3258</v>
      </c>
      <c r="O181" t="s">
        <v>74</v>
      </c>
      <c r="P181" t="s">
        <v>74</v>
      </c>
      <c r="Q181" t="s">
        <v>74</v>
      </c>
      <c r="R181" t="s">
        <v>74</v>
      </c>
      <c r="S181" t="s">
        <v>74</v>
      </c>
      <c r="T181" t="s">
        <v>74</v>
      </c>
      <c r="U181" t="s">
        <v>3597</v>
      </c>
      <c r="V181" t="s">
        <v>3598</v>
      </c>
      <c r="W181" t="s">
        <v>3599</v>
      </c>
      <c r="X181" t="s">
        <v>3600</v>
      </c>
      <c r="Y181" t="s">
        <v>3601</v>
      </c>
      <c r="Z181" t="s">
        <v>3602</v>
      </c>
      <c r="AA181" t="s">
        <v>3603</v>
      </c>
      <c r="AB181" t="s">
        <v>3604</v>
      </c>
      <c r="AC181" t="s">
        <v>74</v>
      </c>
      <c r="AD181" t="s">
        <v>74</v>
      </c>
      <c r="AE181" t="s">
        <v>74</v>
      </c>
      <c r="AF181" t="s">
        <v>74</v>
      </c>
      <c r="AG181">
        <v>86</v>
      </c>
      <c r="AH181">
        <v>33</v>
      </c>
      <c r="AI181">
        <v>38</v>
      </c>
      <c r="AJ181">
        <v>0</v>
      </c>
      <c r="AK181">
        <v>6</v>
      </c>
      <c r="AL181" t="s">
        <v>3352</v>
      </c>
      <c r="AM181" t="s">
        <v>3353</v>
      </c>
      <c r="AN181" t="s">
        <v>3354</v>
      </c>
      <c r="AO181" t="s">
        <v>3355</v>
      </c>
      <c r="AP181" t="s">
        <v>74</v>
      </c>
      <c r="AQ181" t="s">
        <v>3376</v>
      </c>
      <c r="AR181" t="s">
        <v>3357</v>
      </c>
      <c r="AS181" t="s">
        <v>3358</v>
      </c>
      <c r="AT181" t="s">
        <v>74</v>
      </c>
      <c r="AU181">
        <v>2013</v>
      </c>
      <c r="AV181">
        <v>381</v>
      </c>
      <c r="AW181" t="s">
        <v>74</v>
      </c>
      <c r="AX181" t="s">
        <v>74</v>
      </c>
      <c r="AY181" t="s">
        <v>74</v>
      </c>
      <c r="AZ181" t="s">
        <v>74</v>
      </c>
      <c r="BA181" t="s">
        <v>74</v>
      </c>
      <c r="BB181">
        <v>299</v>
      </c>
      <c r="BC181">
        <v>318</v>
      </c>
      <c r="BD181" t="s">
        <v>74</v>
      </c>
      <c r="BE181" t="s">
        <v>3605</v>
      </c>
      <c r="BF181" t="str">
        <f>HYPERLINK("http://dx.doi.org/10.1144/SP381.18","http://dx.doi.org/10.1144/SP381.18")</f>
        <v>http://dx.doi.org/10.1144/SP381.18</v>
      </c>
      <c r="BG181" t="s">
        <v>74</v>
      </c>
      <c r="BH181" t="s">
        <v>74</v>
      </c>
      <c r="BI181">
        <v>20</v>
      </c>
      <c r="BJ181" t="s">
        <v>3378</v>
      </c>
      <c r="BK181" t="s">
        <v>3379</v>
      </c>
      <c r="BL181" t="s">
        <v>1605</v>
      </c>
      <c r="BM181" t="s">
        <v>3380</v>
      </c>
      <c r="BN181" t="s">
        <v>74</v>
      </c>
      <c r="BO181" t="s">
        <v>74</v>
      </c>
      <c r="BP181" t="s">
        <v>74</v>
      </c>
      <c r="BQ181" t="s">
        <v>74</v>
      </c>
      <c r="BR181" t="s">
        <v>105</v>
      </c>
      <c r="BS181" t="s">
        <v>3606</v>
      </c>
      <c r="BT181" t="str">
        <f>HYPERLINK("https%3A%2F%2Fwww.webofscience.com%2Fwos%2Fwoscc%2Ffull-record%2FWOS:000343054800020","View Full Record in Web of Science")</f>
        <v>View Full Record in Web of Science</v>
      </c>
    </row>
    <row r="182" spans="1:72" x14ac:dyDescent="0.15">
      <c r="A182" t="s">
        <v>3341</v>
      </c>
      <c r="B182" t="s">
        <v>3607</v>
      </c>
      <c r="C182" t="s">
        <v>74</v>
      </c>
      <c r="D182" t="s">
        <v>3366</v>
      </c>
      <c r="E182" t="s">
        <v>74</v>
      </c>
      <c r="F182" t="s">
        <v>3608</v>
      </c>
      <c r="G182" t="s">
        <v>74</v>
      </c>
      <c r="H182" t="s">
        <v>74</v>
      </c>
      <c r="I182" t="s">
        <v>3609</v>
      </c>
      <c r="J182" t="s">
        <v>3369</v>
      </c>
      <c r="K182" t="s">
        <v>3347</v>
      </c>
      <c r="L182" t="s">
        <v>74</v>
      </c>
      <c r="M182" t="s">
        <v>78</v>
      </c>
      <c r="N182" t="s">
        <v>3258</v>
      </c>
      <c r="O182" t="s">
        <v>74</v>
      </c>
      <c r="P182" t="s">
        <v>74</v>
      </c>
      <c r="Q182" t="s">
        <v>74</v>
      </c>
      <c r="R182" t="s">
        <v>74</v>
      </c>
      <c r="S182" t="s">
        <v>74</v>
      </c>
      <c r="T182" t="s">
        <v>74</v>
      </c>
      <c r="U182" t="s">
        <v>3610</v>
      </c>
      <c r="V182" t="s">
        <v>3611</v>
      </c>
      <c r="W182" t="s">
        <v>3612</v>
      </c>
      <c r="X182" t="s">
        <v>3613</v>
      </c>
      <c r="Y182" t="s">
        <v>3614</v>
      </c>
      <c r="Z182" t="s">
        <v>3615</v>
      </c>
      <c r="AA182" t="s">
        <v>74</v>
      </c>
      <c r="AB182" t="s">
        <v>3616</v>
      </c>
      <c r="AC182" t="s">
        <v>3617</v>
      </c>
      <c r="AD182" t="s">
        <v>3618</v>
      </c>
      <c r="AE182" t="s">
        <v>74</v>
      </c>
      <c r="AF182" t="s">
        <v>74</v>
      </c>
      <c r="AG182">
        <v>223</v>
      </c>
      <c r="AH182">
        <v>17</v>
      </c>
      <c r="AI182">
        <v>22</v>
      </c>
      <c r="AJ182">
        <v>0</v>
      </c>
      <c r="AK182">
        <v>16</v>
      </c>
      <c r="AL182" t="s">
        <v>3352</v>
      </c>
      <c r="AM182" t="s">
        <v>3353</v>
      </c>
      <c r="AN182" t="s">
        <v>3354</v>
      </c>
      <c r="AO182" t="s">
        <v>3355</v>
      </c>
      <c r="AP182" t="s">
        <v>74</v>
      </c>
      <c r="AQ182" t="s">
        <v>3376</v>
      </c>
      <c r="AR182" t="s">
        <v>3357</v>
      </c>
      <c r="AS182" t="s">
        <v>3358</v>
      </c>
      <c r="AT182" t="s">
        <v>74</v>
      </c>
      <c r="AU182">
        <v>2013</v>
      </c>
      <c r="AV182">
        <v>381</v>
      </c>
      <c r="AW182" t="s">
        <v>74</v>
      </c>
      <c r="AX182" t="s">
        <v>74</v>
      </c>
      <c r="AY182" t="s">
        <v>74</v>
      </c>
      <c r="AZ182" t="s">
        <v>74</v>
      </c>
      <c r="BA182" t="s">
        <v>74</v>
      </c>
      <c r="BB182">
        <v>319</v>
      </c>
      <c r="BC182">
        <v>352</v>
      </c>
      <c r="BD182" t="s">
        <v>74</v>
      </c>
      <c r="BE182" t="s">
        <v>3619</v>
      </c>
      <c r="BF182" t="str">
        <f>HYPERLINK("http://dx.doi.org/10.1144/SP381.10","http://dx.doi.org/10.1144/SP381.10")</f>
        <v>http://dx.doi.org/10.1144/SP381.10</v>
      </c>
      <c r="BG182" t="s">
        <v>74</v>
      </c>
      <c r="BH182" t="s">
        <v>74</v>
      </c>
      <c r="BI182">
        <v>34</v>
      </c>
      <c r="BJ182" t="s">
        <v>3378</v>
      </c>
      <c r="BK182" t="s">
        <v>3379</v>
      </c>
      <c r="BL182" t="s">
        <v>1605</v>
      </c>
      <c r="BM182" t="s">
        <v>3380</v>
      </c>
      <c r="BN182" t="s">
        <v>74</v>
      </c>
      <c r="BO182" t="s">
        <v>74</v>
      </c>
      <c r="BP182" t="s">
        <v>74</v>
      </c>
      <c r="BQ182" t="s">
        <v>74</v>
      </c>
      <c r="BR182" t="s">
        <v>105</v>
      </c>
      <c r="BS182" t="s">
        <v>3620</v>
      </c>
      <c r="BT182" t="str">
        <f>HYPERLINK("https%3A%2F%2Fwww.webofscience.com%2Fwos%2Fwoscc%2Ffull-record%2FWOS:000343054800021","View Full Record in Web of Science")</f>
        <v>View Full Record in Web of Science</v>
      </c>
    </row>
    <row r="183" spans="1:72" x14ac:dyDescent="0.15">
      <c r="A183" t="s">
        <v>3341</v>
      </c>
      <c r="B183" t="s">
        <v>3621</v>
      </c>
      <c r="C183" t="s">
        <v>74</v>
      </c>
      <c r="D183" t="s">
        <v>3366</v>
      </c>
      <c r="E183" t="s">
        <v>74</v>
      </c>
      <c r="F183" t="s">
        <v>3622</v>
      </c>
      <c r="G183" t="s">
        <v>74</v>
      </c>
      <c r="H183" t="s">
        <v>74</v>
      </c>
      <c r="I183" t="s">
        <v>3623</v>
      </c>
      <c r="J183" t="s">
        <v>3369</v>
      </c>
      <c r="K183" t="s">
        <v>3347</v>
      </c>
      <c r="L183" t="s">
        <v>74</v>
      </c>
      <c r="M183" t="s">
        <v>78</v>
      </c>
      <c r="N183" t="s">
        <v>3258</v>
      </c>
      <c r="O183" t="s">
        <v>74</v>
      </c>
      <c r="P183" t="s">
        <v>74</v>
      </c>
      <c r="Q183" t="s">
        <v>74</v>
      </c>
      <c r="R183" t="s">
        <v>74</v>
      </c>
      <c r="S183" t="s">
        <v>74</v>
      </c>
      <c r="T183" t="s">
        <v>74</v>
      </c>
      <c r="U183" t="s">
        <v>3624</v>
      </c>
      <c r="V183" t="s">
        <v>3625</v>
      </c>
      <c r="W183" t="s">
        <v>3626</v>
      </c>
      <c r="X183" t="s">
        <v>3627</v>
      </c>
      <c r="Y183" t="s">
        <v>3628</v>
      </c>
      <c r="Z183" t="s">
        <v>3629</v>
      </c>
      <c r="AA183" t="s">
        <v>3384</v>
      </c>
      <c r="AB183" t="s">
        <v>3630</v>
      </c>
      <c r="AC183" t="s">
        <v>3631</v>
      </c>
      <c r="AD183" t="s">
        <v>3471</v>
      </c>
      <c r="AE183" t="s">
        <v>74</v>
      </c>
      <c r="AF183" t="s">
        <v>74</v>
      </c>
      <c r="AG183">
        <v>192</v>
      </c>
      <c r="AH183">
        <v>62</v>
      </c>
      <c r="AI183">
        <v>62</v>
      </c>
      <c r="AJ183">
        <v>0</v>
      </c>
      <c r="AK183">
        <v>11</v>
      </c>
      <c r="AL183" t="s">
        <v>3352</v>
      </c>
      <c r="AM183" t="s">
        <v>3353</v>
      </c>
      <c r="AN183" t="s">
        <v>3354</v>
      </c>
      <c r="AO183" t="s">
        <v>3355</v>
      </c>
      <c r="AP183" t="s">
        <v>74</v>
      </c>
      <c r="AQ183" t="s">
        <v>3376</v>
      </c>
      <c r="AR183" t="s">
        <v>3357</v>
      </c>
      <c r="AS183" t="s">
        <v>3358</v>
      </c>
      <c r="AT183" t="s">
        <v>74</v>
      </c>
      <c r="AU183">
        <v>2013</v>
      </c>
      <c r="AV183">
        <v>381</v>
      </c>
      <c r="AW183" t="s">
        <v>74</v>
      </c>
      <c r="AX183" t="s">
        <v>74</v>
      </c>
      <c r="AY183" t="s">
        <v>74</v>
      </c>
      <c r="AZ183" t="s">
        <v>74</v>
      </c>
      <c r="BA183" t="s">
        <v>74</v>
      </c>
      <c r="BB183">
        <v>353</v>
      </c>
      <c r="BC183">
        <v>395</v>
      </c>
      <c r="BD183" t="s">
        <v>74</v>
      </c>
      <c r="BE183" t="s">
        <v>3632</v>
      </c>
      <c r="BF183" t="str">
        <f>HYPERLINK("http://dx.doi.org/10.1144/SP381.1","http://dx.doi.org/10.1144/SP381.1")</f>
        <v>http://dx.doi.org/10.1144/SP381.1</v>
      </c>
      <c r="BG183" t="s">
        <v>74</v>
      </c>
      <c r="BH183" t="s">
        <v>74</v>
      </c>
      <c r="BI183">
        <v>43</v>
      </c>
      <c r="BJ183" t="s">
        <v>3378</v>
      </c>
      <c r="BK183" t="s">
        <v>3379</v>
      </c>
      <c r="BL183" t="s">
        <v>1605</v>
      </c>
      <c r="BM183" t="s">
        <v>3380</v>
      </c>
      <c r="BN183" t="s">
        <v>74</v>
      </c>
      <c r="BO183" t="s">
        <v>74</v>
      </c>
      <c r="BP183" t="s">
        <v>74</v>
      </c>
      <c r="BQ183" t="s">
        <v>74</v>
      </c>
      <c r="BR183" t="s">
        <v>105</v>
      </c>
      <c r="BS183" t="s">
        <v>3633</v>
      </c>
      <c r="BT183" t="str">
        <f>HYPERLINK("https%3A%2F%2Fwww.webofscience.com%2Fwos%2Fwoscc%2Ffull-record%2FWOS:000343054800022","View Full Record in Web of Science")</f>
        <v>View Full Record in Web of Science</v>
      </c>
    </row>
    <row r="184" spans="1:72" x14ac:dyDescent="0.15">
      <c r="A184" t="s">
        <v>3341</v>
      </c>
      <c r="B184" t="s">
        <v>3634</v>
      </c>
      <c r="C184" t="s">
        <v>74</v>
      </c>
      <c r="D184" t="s">
        <v>3366</v>
      </c>
      <c r="E184" t="s">
        <v>74</v>
      </c>
      <c r="F184" t="s">
        <v>3635</v>
      </c>
      <c r="G184" t="s">
        <v>74</v>
      </c>
      <c r="H184" t="s">
        <v>74</v>
      </c>
      <c r="I184" t="s">
        <v>3636</v>
      </c>
      <c r="J184" t="s">
        <v>3369</v>
      </c>
      <c r="K184" t="s">
        <v>3347</v>
      </c>
      <c r="L184" t="s">
        <v>74</v>
      </c>
      <c r="M184" t="s">
        <v>78</v>
      </c>
      <c r="N184" t="s">
        <v>3258</v>
      </c>
      <c r="O184" t="s">
        <v>74</v>
      </c>
      <c r="P184" t="s">
        <v>74</v>
      </c>
      <c r="Q184" t="s">
        <v>74</v>
      </c>
      <c r="R184" t="s">
        <v>74</v>
      </c>
      <c r="S184" t="s">
        <v>74</v>
      </c>
      <c r="T184" t="s">
        <v>74</v>
      </c>
      <c r="U184" t="s">
        <v>3637</v>
      </c>
      <c r="V184" t="s">
        <v>3638</v>
      </c>
      <c r="W184" t="s">
        <v>3639</v>
      </c>
      <c r="X184" t="s">
        <v>3640</v>
      </c>
      <c r="Y184" t="s">
        <v>3641</v>
      </c>
      <c r="Z184" t="s">
        <v>3642</v>
      </c>
      <c r="AA184" t="s">
        <v>74</v>
      </c>
      <c r="AB184" t="s">
        <v>3643</v>
      </c>
      <c r="AC184" t="s">
        <v>74</v>
      </c>
      <c r="AD184" t="s">
        <v>74</v>
      </c>
      <c r="AE184" t="s">
        <v>74</v>
      </c>
      <c r="AF184" t="s">
        <v>74</v>
      </c>
      <c r="AG184">
        <v>31</v>
      </c>
      <c r="AH184">
        <v>12</v>
      </c>
      <c r="AI184">
        <v>15</v>
      </c>
      <c r="AJ184">
        <v>0</v>
      </c>
      <c r="AK184">
        <v>0</v>
      </c>
      <c r="AL184" t="s">
        <v>3352</v>
      </c>
      <c r="AM184" t="s">
        <v>3353</v>
      </c>
      <c r="AN184" t="s">
        <v>3354</v>
      </c>
      <c r="AO184" t="s">
        <v>3355</v>
      </c>
      <c r="AP184" t="s">
        <v>74</v>
      </c>
      <c r="AQ184" t="s">
        <v>3376</v>
      </c>
      <c r="AR184" t="s">
        <v>3357</v>
      </c>
      <c r="AS184" t="s">
        <v>3358</v>
      </c>
      <c r="AT184" t="s">
        <v>74</v>
      </c>
      <c r="AU184">
        <v>2013</v>
      </c>
      <c r="AV184">
        <v>381</v>
      </c>
      <c r="AW184" t="s">
        <v>74</v>
      </c>
      <c r="AX184" t="s">
        <v>74</v>
      </c>
      <c r="AY184" t="s">
        <v>74</v>
      </c>
      <c r="AZ184" t="s">
        <v>74</v>
      </c>
      <c r="BA184" t="s">
        <v>74</v>
      </c>
      <c r="BB184">
        <v>411</v>
      </c>
      <c r="BC184">
        <v>427</v>
      </c>
      <c r="BD184" t="s">
        <v>74</v>
      </c>
      <c r="BE184" t="s">
        <v>3644</v>
      </c>
      <c r="BF184" t="str">
        <f>HYPERLINK("http://dx.doi.org/10.1144/SP381.22","http://dx.doi.org/10.1144/SP381.22")</f>
        <v>http://dx.doi.org/10.1144/SP381.22</v>
      </c>
      <c r="BG184" t="s">
        <v>74</v>
      </c>
      <c r="BH184" t="s">
        <v>74</v>
      </c>
      <c r="BI184">
        <v>17</v>
      </c>
      <c r="BJ184" t="s">
        <v>3378</v>
      </c>
      <c r="BK184" t="s">
        <v>3379</v>
      </c>
      <c r="BL184" t="s">
        <v>1605</v>
      </c>
      <c r="BM184" t="s">
        <v>3380</v>
      </c>
      <c r="BN184" t="s">
        <v>74</v>
      </c>
      <c r="BO184" t="s">
        <v>74</v>
      </c>
      <c r="BP184" t="s">
        <v>74</v>
      </c>
      <c r="BQ184" t="s">
        <v>74</v>
      </c>
      <c r="BR184" t="s">
        <v>105</v>
      </c>
      <c r="BS184" t="s">
        <v>3645</v>
      </c>
      <c r="BT184" t="str">
        <f>HYPERLINK("https%3A%2F%2Fwww.webofscience.com%2Fwos%2Fwoscc%2Ffull-record%2FWOS:000343054800024","View Full Record in Web of Science")</f>
        <v>View Full Record in Web of Science</v>
      </c>
    </row>
    <row r="185" spans="1:72" x14ac:dyDescent="0.15">
      <c r="A185" t="s">
        <v>3341</v>
      </c>
      <c r="B185" t="s">
        <v>3646</v>
      </c>
      <c r="C185" t="s">
        <v>74</v>
      </c>
      <c r="D185" t="s">
        <v>3366</v>
      </c>
      <c r="E185" t="s">
        <v>74</v>
      </c>
      <c r="F185" t="s">
        <v>3647</v>
      </c>
      <c r="G185" t="s">
        <v>74</v>
      </c>
      <c r="H185" t="s">
        <v>74</v>
      </c>
      <c r="I185" t="s">
        <v>3648</v>
      </c>
      <c r="J185" t="s">
        <v>3369</v>
      </c>
      <c r="K185" t="s">
        <v>3347</v>
      </c>
      <c r="L185" t="s">
        <v>74</v>
      </c>
      <c r="M185" t="s">
        <v>78</v>
      </c>
      <c r="N185" t="s">
        <v>3258</v>
      </c>
      <c r="O185" t="s">
        <v>74</v>
      </c>
      <c r="P185" t="s">
        <v>74</v>
      </c>
      <c r="Q185" t="s">
        <v>74</v>
      </c>
      <c r="R185" t="s">
        <v>74</v>
      </c>
      <c r="S185" t="s">
        <v>74</v>
      </c>
      <c r="T185" t="s">
        <v>74</v>
      </c>
      <c r="U185" t="s">
        <v>3649</v>
      </c>
      <c r="V185" t="s">
        <v>3650</v>
      </c>
      <c r="W185" t="s">
        <v>3651</v>
      </c>
      <c r="X185" t="s">
        <v>3652</v>
      </c>
      <c r="Y185" t="s">
        <v>3653</v>
      </c>
      <c r="Z185" t="s">
        <v>3654</v>
      </c>
      <c r="AA185" t="s">
        <v>74</v>
      </c>
      <c r="AB185" t="s">
        <v>74</v>
      </c>
      <c r="AC185" t="s">
        <v>74</v>
      </c>
      <c r="AD185" t="s">
        <v>74</v>
      </c>
      <c r="AE185" t="s">
        <v>74</v>
      </c>
      <c r="AF185" t="s">
        <v>74</v>
      </c>
      <c r="AG185">
        <v>188</v>
      </c>
      <c r="AH185">
        <v>2</v>
      </c>
      <c r="AI185">
        <v>2</v>
      </c>
      <c r="AJ185">
        <v>0</v>
      </c>
      <c r="AK185">
        <v>5</v>
      </c>
      <c r="AL185" t="s">
        <v>3352</v>
      </c>
      <c r="AM185" t="s">
        <v>3353</v>
      </c>
      <c r="AN185" t="s">
        <v>3354</v>
      </c>
      <c r="AO185" t="s">
        <v>3355</v>
      </c>
      <c r="AP185" t="s">
        <v>74</v>
      </c>
      <c r="AQ185" t="s">
        <v>3376</v>
      </c>
      <c r="AR185" t="s">
        <v>3357</v>
      </c>
      <c r="AS185" t="s">
        <v>3358</v>
      </c>
      <c r="AT185" t="s">
        <v>74</v>
      </c>
      <c r="AU185">
        <v>2013</v>
      </c>
      <c r="AV185">
        <v>381</v>
      </c>
      <c r="AW185" t="s">
        <v>74</v>
      </c>
      <c r="AX185" t="s">
        <v>74</v>
      </c>
      <c r="AY185" t="s">
        <v>74</v>
      </c>
      <c r="AZ185" t="s">
        <v>74</v>
      </c>
      <c r="BA185" t="s">
        <v>74</v>
      </c>
      <c r="BB185">
        <v>429</v>
      </c>
      <c r="BC185">
        <v>453</v>
      </c>
      <c r="BD185" t="s">
        <v>74</v>
      </c>
      <c r="BE185" t="s">
        <v>3655</v>
      </c>
      <c r="BF185" t="str">
        <f>HYPERLINK("http://dx.doi.org/10.1144/SP381.16","http://dx.doi.org/10.1144/SP381.16")</f>
        <v>http://dx.doi.org/10.1144/SP381.16</v>
      </c>
      <c r="BG185" t="s">
        <v>74</v>
      </c>
      <c r="BH185" t="s">
        <v>74</v>
      </c>
      <c r="BI185">
        <v>25</v>
      </c>
      <c r="BJ185" t="s">
        <v>3378</v>
      </c>
      <c r="BK185" t="s">
        <v>3379</v>
      </c>
      <c r="BL185" t="s">
        <v>1605</v>
      </c>
      <c r="BM185" t="s">
        <v>3380</v>
      </c>
      <c r="BN185" t="s">
        <v>74</v>
      </c>
      <c r="BO185" t="s">
        <v>74</v>
      </c>
      <c r="BP185" t="s">
        <v>74</v>
      </c>
      <c r="BQ185" t="s">
        <v>74</v>
      </c>
      <c r="BR185" t="s">
        <v>105</v>
      </c>
      <c r="BS185" t="s">
        <v>3656</v>
      </c>
      <c r="BT185" t="str">
        <f>HYPERLINK("https%3A%2F%2Fwww.webofscience.com%2Fwos%2Fwoscc%2Ffull-record%2FWOS:000343054800025","View Full Record in Web of Science")</f>
        <v>View Full Record in Web of Science</v>
      </c>
    </row>
    <row r="186" spans="1:72" x14ac:dyDescent="0.15">
      <c r="A186" t="s">
        <v>3341</v>
      </c>
      <c r="B186" t="s">
        <v>3657</v>
      </c>
      <c r="C186" t="s">
        <v>74</v>
      </c>
      <c r="D186" t="s">
        <v>3366</v>
      </c>
      <c r="E186" t="s">
        <v>74</v>
      </c>
      <c r="F186" t="s">
        <v>3658</v>
      </c>
      <c r="G186" t="s">
        <v>74</v>
      </c>
      <c r="H186" t="s">
        <v>74</v>
      </c>
      <c r="I186" t="s">
        <v>3659</v>
      </c>
      <c r="J186" t="s">
        <v>3369</v>
      </c>
      <c r="K186" t="s">
        <v>3347</v>
      </c>
      <c r="L186" t="s">
        <v>74</v>
      </c>
      <c r="M186" t="s">
        <v>78</v>
      </c>
      <c r="N186" t="s">
        <v>3258</v>
      </c>
      <c r="O186" t="s">
        <v>74</v>
      </c>
      <c r="P186" t="s">
        <v>74</v>
      </c>
      <c r="Q186" t="s">
        <v>74</v>
      </c>
      <c r="R186" t="s">
        <v>74</v>
      </c>
      <c r="S186" t="s">
        <v>74</v>
      </c>
      <c r="T186" t="s">
        <v>74</v>
      </c>
      <c r="U186" t="s">
        <v>3660</v>
      </c>
      <c r="V186" t="s">
        <v>3661</v>
      </c>
      <c r="W186" t="s">
        <v>3662</v>
      </c>
      <c r="X186" t="s">
        <v>3663</v>
      </c>
      <c r="Y186" t="s">
        <v>3664</v>
      </c>
      <c r="Z186" t="s">
        <v>3665</v>
      </c>
      <c r="AA186" t="s">
        <v>74</v>
      </c>
      <c r="AB186" t="s">
        <v>74</v>
      </c>
      <c r="AC186" t="s">
        <v>74</v>
      </c>
      <c r="AD186" t="s">
        <v>74</v>
      </c>
      <c r="AE186" t="s">
        <v>74</v>
      </c>
      <c r="AF186" t="s">
        <v>74</v>
      </c>
      <c r="AG186">
        <v>57</v>
      </c>
      <c r="AH186">
        <v>1</v>
      </c>
      <c r="AI186">
        <v>3</v>
      </c>
      <c r="AJ186">
        <v>0</v>
      </c>
      <c r="AK186">
        <v>4</v>
      </c>
      <c r="AL186" t="s">
        <v>3352</v>
      </c>
      <c r="AM186" t="s">
        <v>3353</v>
      </c>
      <c r="AN186" t="s">
        <v>3354</v>
      </c>
      <c r="AO186" t="s">
        <v>3355</v>
      </c>
      <c r="AP186" t="s">
        <v>74</v>
      </c>
      <c r="AQ186" t="s">
        <v>3376</v>
      </c>
      <c r="AR186" t="s">
        <v>3357</v>
      </c>
      <c r="AS186" t="s">
        <v>3358</v>
      </c>
      <c r="AT186" t="s">
        <v>74</v>
      </c>
      <c r="AU186">
        <v>2013</v>
      </c>
      <c r="AV186">
        <v>381</v>
      </c>
      <c r="AW186" t="s">
        <v>74</v>
      </c>
      <c r="AX186" t="s">
        <v>74</v>
      </c>
      <c r="AY186" t="s">
        <v>74</v>
      </c>
      <c r="AZ186" t="s">
        <v>74</v>
      </c>
      <c r="BA186" t="s">
        <v>74</v>
      </c>
      <c r="BB186">
        <v>455</v>
      </c>
      <c r="BC186">
        <v>467</v>
      </c>
      <c r="BD186" t="s">
        <v>74</v>
      </c>
      <c r="BE186" t="s">
        <v>3666</v>
      </c>
      <c r="BF186" t="str">
        <f>HYPERLINK("http://dx.doi.org/10.1144/SP381.26","http://dx.doi.org/10.1144/SP381.26")</f>
        <v>http://dx.doi.org/10.1144/SP381.26</v>
      </c>
      <c r="BG186" t="s">
        <v>74</v>
      </c>
      <c r="BH186" t="s">
        <v>74</v>
      </c>
      <c r="BI186">
        <v>13</v>
      </c>
      <c r="BJ186" t="s">
        <v>3378</v>
      </c>
      <c r="BK186" t="s">
        <v>3379</v>
      </c>
      <c r="BL186" t="s">
        <v>1605</v>
      </c>
      <c r="BM186" t="s">
        <v>3380</v>
      </c>
      <c r="BN186" t="s">
        <v>74</v>
      </c>
      <c r="BO186" t="s">
        <v>74</v>
      </c>
      <c r="BP186" t="s">
        <v>74</v>
      </c>
      <c r="BQ186" t="s">
        <v>74</v>
      </c>
      <c r="BR186" t="s">
        <v>105</v>
      </c>
      <c r="BS186" t="s">
        <v>3667</v>
      </c>
      <c r="BT186" t="str">
        <f>HYPERLINK("https%3A%2F%2Fwww.webofscience.com%2Fwos%2Fwoscc%2Ffull-record%2FWOS:000343054800026","View Full Record in Web of Science")</f>
        <v>View Full Record in Web of Science</v>
      </c>
    </row>
    <row r="187" spans="1:72" x14ac:dyDescent="0.15">
      <c r="A187" t="s">
        <v>3341</v>
      </c>
      <c r="B187" t="s">
        <v>3668</v>
      </c>
      <c r="C187" t="s">
        <v>74</v>
      </c>
      <c r="D187" t="s">
        <v>3366</v>
      </c>
      <c r="E187" t="s">
        <v>74</v>
      </c>
      <c r="F187" t="s">
        <v>3669</v>
      </c>
      <c r="G187" t="s">
        <v>74</v>
      </c>
      <c r="H187" t="s">
        <v>74</v>
      </c>
      <c r="I187" t="s">
        <v>3670</v>
      </c>
      <c r="J187" t="s">
        <v>3369</v>
      </c>
      <c r="K187" t="s">
        <v>3347</v>
      </c>
      <c r="L187" t="s">
        <v>74</v>
      </c>
      <c r="M187" t="s">
        <v>78</v>
      </c>
      <c r="N187" t="s">
        <v>3258</v>
      </c>
      <c r="O187" t="s">
        <v>74</v>
      </c>
      <c r="P187" t="s">
        <v>74</v>
      </c>
      <c r="Q187" t="s">
        <v>74</v>
      </c>
      <c r="R187" t="s">
        <v>74</v>
      </c>
      <c r="S187" t="s">
        <v>74</v>
      </c>
      <c r="T187" t="s">
        <v>74</v>
      </c>
      <c r="U187" t="s">
        <v>3671</v>
      </c>
      <c r="V187" t="s">
        <v>3672</v>
      </c>
      <c r="W187" t="s">
        <v>3673</v>
      </c>
      <c r="X187" t="s">
        <v>3674</v>
      </c>
      <c r="Y187" t="s">
        <v>3675</v>
      </c>
      <c r="Z187" t="s">
        <v>3676</v>
      </c>
      <c r="AA187" t="s">
        <v>3677</v>
      </c>
      <c r="AB187" t="s">
        <v>3678</v>
      </c>
      <c r="AC187" t="s">
        <v>74</v>
      </c>
      <c r="AD187" t="s">
        <v>74</v>
      </c>
      <c r="AE187" t="s">
        <v>74</v>
      </c>
      <c r="AF187" t="s">
        <v>74</v>
      </c>
      <c r="AG187">
        <v>33</v>
      </c>
      <c r="AH187">
        <v>1</v>
      </c>
      <c r="AI187">
        <v>1</v>
      </c>
      <c r="AJ187">
        <v>0</v>
      </c>
      <c r="AK187">
        <v>3</v>
      </c>
      <c r="AL187" t="s">
        <v>3352</v>
      </c>
      <c r="AM187" t="s">
        <v>3353</v>
      </c>
      <c r="AN187" t="s">
        <v>3354</v>
      </c>
      <c r="AO187" t="s">
        <v>3355</v>
      </c>
      <c r="AP187" t="s">
        <v>74</v>
      </c>
      <c r="AQ187" t="s">
        <v>3376</v>
      </c>
      <c r="AR187" t="s">
        <v>3357</v>
      </c>
      <c r="AS187" t="s">
        <v>3358</v>
      </c>
      <c r="AT187" t="s">
        <v>74</v>
      </c>
      <c r="AU187">
        <v>2013</v>
      </c>
      <c r="AV187">
        <v>381</v>
      </c>
      <c r="AW187" t="s">
        <v>74</v>
      </c>
      <c r="AX187" t="s">
        <v>74</v>
      </c>
      <c r="AY187" t="s">
        <v>74</v>
      </c>
      <c r="AZ187" t="s">
        <v>74</v>
      </c>
      <c r="BA187" t="s">
        <v>74</v>
      </c>
      <c r="BB187">
        <v>469</v>
      </c>
      <c r="BC187">
        <v>480</v>
      </c>
      <c r="BD187" t="s">
        <v>74</v>
      </c>
      <c r="BE187" t="s">
        <v>3679</v>
      </c>
      <c r="BF187" t="str">
        <f>HYPERLINK("http://dx.doi.org/10.1144/SP381.8","http://dx.doi.org/10.1144/SP381.8")</f>
        <v>http://dx.doi.org/10.1144/SP381.8</v>
      </c>
      <c r="BG187" t="s">
        <v>74</v>
      </c>
      <c r="BH187" t="s">
        <v>74</v>
      </c>
      <c r="BI187">
        <v>12</v>
      </c>
      <c r="BJ187" t="s">
        <v>3378</v>
      </c>
      <c r="BK187" t="s">
        <v>3379</v>
      </c>
      <c r="BL187" t="s">
        <v>1605</v>
      </c>
      <c r="BM187" t="s">
        <v>3380</v>
      </c>
      <c r="BN187" t="s">
        <v>74</v>
      </c>
      <c r="BO187" t="s">
        <v>155</v>
      </c>
      <c r="BP187" t="s">
        <v>74</v>
      </c>
      <c r="BQ187" t="s">
        <v>74</v>
      </c>
      <c r="BR187" t="s">
        <v>105</v>
      </c>
      <c r="BS187" t="s">
        <v>3680</v>
      </c>
      <c r="BT187" t="str">
        <f>HYPERLINK("https%3A%2F%2Fwww.webofscience.com%2Fwos%2Fwoscc%2Ffull-record%2FWOS:000343054800027","View Full Record in Web of Science")</f>
        <v>View Full Record in Web of Science</v>
      </c>
    </row>
    <row r="188" spans="1:72" x14ac:dyDescent="0.15">
      <c r="A188" t="s">
        <v>3341</v>
      </c>
      <c r="B188" t="s">
        <v>3681</v>
      </c>
      <c r="C188" t="s">
        <v>74</v>
      </c>
      <c r="D188" t="s">
        <v>3366</v>
      </c>
      <c r="E188" t="s">
        <v>74</v>
      </c>
      <c r="F188" t="s">
        <v>3682</v>
      </c>
      <c r="G188" t="s">
        <v>74</v>
      </c>
      <c r="H188" t="s">
        <v>74</v>
      </c>
      <c r="I188" t="s">
        <v>3683</v>
      </c>
      <c r="J188" t="s">
        <v>3369</v>
      </c>
      <c r="K188" t="s">
        <v>3347</v>
      </c>
      <c r="L188" t="s">
        <v>74</v>
      </c>
      <c r="M188" t="s">
        <v>78</v>
      </c>
      <c r="N188" t="s">
        <v>3258</v>
      </c>
      <c r="O188" t="s">
        <v>74</v>
      </c>
      <c r="P188" t="s">
        <v>74</v>
      </c>
      <c r="Q188" t="s">
        <v>74</v>
      </c>
      <c r="R188" t="s">
        <v>74</v>
      </c>
      <c r="S188" t="s">
        <v>74</v>
      </c>
      <c r="T188" t="s">
        <v>74</v>
      </c>
      <c r="U188" t="s">
        <v>3684</v>
      </c>
      <c r="V188" t="s">
        <v>3685</v>
      </c>
      <c r="W188" t="s">
        <v>3686</v>
      </c>
      <c r="X188" t="s">
        <v>3687</v>
      </c>
      <c r="Y188" t="s">
        <v>3688</v>
      </c>
      <c r="Z188" t="s">
        <v>3689</v>
      </c>
      <c r="AA188" t="s">
        <v>3690</v>
      </c>
      <c r="AB188" t="s">
        <v>3691</v>
      </c>
      <c r="AC188" t="s">
        <v>74</v>
      </c>
      <c r="AD188" t="s">
        <v>74</v>
      </c>
      <c r="AE188" t="s">
        <v>74</v>
      </c>
      <c r="AF188" t="s">
        <v>74</v>
      </c>
      <c r="AG188">
        <v>25</v>
      </c>
      <c r="AH188">
        <v>6</v>
      </c>
      <c r="AI188">
        <v>6</v>
      </c>
      <c r="AJ188">
        <v>0</v>
      </c>
      <c r="AK188">
        <v>1</v>
      </c>
      <c r="AL188" t="s">
        <v>3352</v>
      </c>
      <c r="AM188" t="s">
        <v>3353</v>
      </c>
      <c r="AN188" t="s">
        <v>3354</v>
      </c>
      <c r="AO188" t="s">
        <v>3355</v>
      </c>
      <c r="AP188" t="s">
        <v>74</v>
      </c>
      <c r="AQ188" t="s">
        <v>3376</v>
      </c>
      <c r="AR188" t="s">
        <v>3357</v>
      </c>
      <c r="AS188" t="s">
        <v>3358</v>
      </c>
      <c r="AT188" t="s">
        <v>74</v>
      </c>
      <c r="AU188">
        <v>2013</v>
      </c>
      <c r="AV188">
        <v>381</v>
      </c>
      <c r="AW188" t="s">
        <v>74</v>
      </c>
      <c r="AX188" t="s">
        <v>74</v>
      </c>
      <c r="AY188" t="s">
        <v>74</v>
      </c>
      <c r="AZ188" t="s">
        <v>74</v>
      </c>
      <c r="BA188" t="s">
        <v>74</v>
      </c>
      <c r="BB188">
        <v>481</v>
      </c>
      <c r="BC188">
        <v>493</v>
      </c>
      <c r="BD188" t="s">
        <v>74</v>
      </c>
      <c r="BE188" t="s">
        <v>3692</v>
      </c>
      <c r="BF188" t="str">
        <f>HYPERLINK("http://dx.doi.org/10.1144/SP381.19","http://dx.doi.org/10.1144/SP381.19")</f>
        <v>http://dx.doi.org/10.1144/SP381.19</v>
      </c>
      <c r="BG188" t="s">
        <v>74</v>
      </c>
      <c r="BH188" t="s">
        <v>74</v>
      </c>
      <c r="BI188">
        <v>13</v>
      </c>
      <c r="BJ188" t="s">
        <v>3378</v>
      </c>
      <c r="BK188" t="s">
        <v>3379</v>
      </c>
      <c r="BL188" t="s">
        <v>1605</v>
      </c>
      <c r="BM188" t="s">
        <v>3380</v>
      </c>
      <c r="BN188" t="s">
        <v>74</v>
      </c>
      <c r="BO188" t="s">
        <v>74</v>
      </c>
      <c r="BP188" t="s">
        <v>74</v>
      </c>
      <c r="BQ188" t="s">
        <v>74</v>
      </c>
      <c r="BR188" t="s">
        <v>105</v>
      </c>
      <c r="BS188" t="s">
        <v>3693</v>
      </c>
      <c r="BT188" t="str">
        <f>HYPERLINK("https%3A%2F%2Fwww.webofscience.com%2Fwos%2Fwoscc%2Ffull-record%2FWOS:000343054800028","View Full Record in Web of Science")</f>
        <v>View Full Record in Web of Science</v>
      </c>
    </row>
    <row r="189" spans="1:72" x14ac:dyDescent="0.15">
      <c r="A189" t="s">
        <v>3341</v>
      </c>
      <c r="B189" t="s">
        <v>3694</v>
      </c>
      <c r="C189" t="s">
        <v>74</v>
      </c>
      <c r="D189" t="s">
        <v>3366</v>
      </c>
      <c r="E189" t="s">
        <v>74</v>
      </c>
      <c r="F189" t="s">
        <v>3695</v>
      </c>
      <c r="G189" t="s">
        <v>74</v>
      </c>
      <c r="H189" t="s">
        <v>74</v>
      </c>
      <c r="I189" t="s">
        <v>3696</v>
      </c>
      <c r="J189" t="s">
        <v>3369</v>
      </c>
      <c r="K189" t="s">
        <v>3347</v>
      </c>
      <c r="L189" t="s">
        <v>74</v>
      </c>
      <c r="M189" t="s">
        <v>78</v>
      </c>
      <c r="N189" t="s">
        <v>3697</v>
      </c>
      <c r="O189" t="s">
        <v>74</v>
      </c>
      <c r="P189" t="s">
        <v>74</v>
      </c>
      <c r="Q189" t="s">
        <v>74</v>
      </c>
      <c r="R189" t="s">
        <v>74</v>
      </c>
      <c r="S189" t="s">
        <v>74</v>
      </c>
      <c r="T189" t="s">
        <v>74</v>
      </c>
      <c r="U189" t="s">
        <v>74</v>
      </c>
      <c r="V189" t="s">
        <v>74</v>
      </c>
      <c r="W189" t="s">
        <v>3698</v>
      </c>
      <c r="X189" t="s">
        <v>1249</v>
      </c>
      <c r="Y189" t="s">
        <v>3699</v>
      </c>
      <c r="Z189" t="s">
        <v>74</v>
      </c>
      <c r="AA189" t="s">
        <v>74</v>
      </c>
      <c r="AB189" t="s">
        <v>74</v>
      </c>
      <c r="AC189" t="s">
        <v>74</v>
      </c>
      <c r="AD189" t="s">
        <v>74</v>
      </c>
      <c r="AE189" t="s">
        <v>74</v>
      </c>
      <c r="AF189" t="s">
        <v>74</v>
      </c>
      <c r="AG189">
        <v>0</v>
      </c>
      <c r="AH189">
        <v>0</v>
      </c>
      <c r="AI189">
        <v>0</v>
      </c>
      <c r="AJ189">
        <v>0</v>
      </c>
      <c r="AK189">
        <v>0</v>
      </c>
      <c r="AL189" t="s">
        <v>3352</v>
      </c>
      <c r="AM189" t="s">
        <v>3353</v>
      </c>
      <c r="AN189" t="s">
        <v>3354</v>
      </c>
      <c r="AO189" t="s">
        <v>3355</v>
      </c>
      <c r="AP189" t="s">
        <v>74</v>
      </c>
      <c r="AQ189" t="s">
        <v>3376</v>
      </c>
      <c r="AR189" t="s">
        <v>3357</v>
      </c>
      <c r="AS189" t="s">
        <v>3358</v>
      </c>
      <c r="AT189" t="s">
        <v>74</v>
      </c>
      <c r="AU189">
        <v>2013</v>
      </c>
      <c r="AV189">
        <v>381</v>
      </c>
      <c r="AW189" t="s">
        <v>74</v>
      </c>
      <c r="AX189" t="s">
        <v>74</v>
      </c>
      <c r="AY189" t="s">
        <v>74</v>
      </c>
      <c r="AZ189" t="s">
        <v>74</v>
      </c>
      <c r="BA189" t="s">
        <v>74</v>
      </c>
      <c r="BB189" t="s">
        <v>74</v>
      </c>
      <c r="BC189" t="s">
        <v>74</v>
      </c>
      <c r="BD189" t="s">
        <v>74</v>
      </c>
      <c r="BE189" t="s">
        <v>74</v>
      </c>
      <c r="BF189" t="s">
        <v>74</v>
      </c>
      <c r="BG189" t="s">
        <v>74</v>
      </c>
      <c r="BH189" t="s">
        <v>74</v>
      </c>
      <c r="BI189">
        <v>1</v>
      </c>
      <c r="BJ189" t="s">
        <v>3378</v>
      </c>
      <c r="BK189" t="s">
        <v>3379</v>
      </c>
      <c r="BL189" t="s">
        <v>1605</v>
      </c>
      <c r="BM189" t="s">
        <v>3380</v>
      </c>
      <c r="BN189" t="s">
        <v>74</v>
      </c>
      <c r="BO189" t="s">
        <v>74</v>
      </c>
      <c r="BP189" t="s">
        <v>74</v>
      </c>
      <c r="BQ189" t="s">
        <v>74</v>
      </c>
      <c r="BR189" t="s">
        <v>105</v>
      </c>
      <c r="BS189" t="s">
        <v>3700</v>
      </c>
      <c r="BT189" t="str">
        <f>HYPERLINK("https%3A%2F%2Fwww.webofscience.com%2Fwos%2Fwoscc%2Ffull-record%2FWOS:000343054800001","View Full Record in Web of Science")</f>
        <v>View Full Record in Web of Science</v>
      </c>
    </row>
    <row r="190" spans="1:72" x14ac:dyDescent="0.15">
      <c r="A190" t="s">
        <v>3341</v>
      </c>
      <c r="B190" t="s">
        <v>3701</v>
      </c>
      <c r="C190" t="s">
        <v>74</v>
      </c>
      <c r="D190" t="s">
        <v>3702</v>
      </c>
      <c r="E190" t="s">
        <v>74</v>
      </c>
      <c r="F190" t="s">
        <v>3703</v>
      </c>
      <c r="G190" t="s">
        <v>74</v>
      </c>
      <c r="H190" t="s">
        <v>74</v>
      </c>
      <c r="I190" t="s">
        <v>3704</v>
      </c>
      <c r="J190" t="s">
        <v>3705</v>
      </c>
      <c r="K190" t="s">
        <v>3347</v>
      </c>
      <c r="L190" t="s">
        <v>74</v>
      </c>
      <c r="M190" t="s">
        <v>78</v>
      </c>
      <c r="N190" t="s">
        <v>3258</v>
      </c>
      <c r="O190" t="s">
        <v>74</v>
      </c>
      <c r="P190" t="s">
        <v>74</v>
      </c>
      <c r="Q190" t="s">
        <v>74</v>
      </c>
      <c r="R190" t="s">
        <v>74</v>
      </c>
      <c r="S190" t="s">
        <v>74</v>
      </c>
      <c r="T190" t="s">
        <v>74</v>
      </c>
      <c r="U190" t="s">
        <v>3706</v>
      </c>
      <c r="V190" t="s">
        <v>3707</v>
      </c>
      <c r="W190" t="s">
        <v>3708</v>
      </c>
      <c r="X190" t="s">
        <v>3709</v>
      </c>
      <c r="Y190" t="s">
        <v>3710</v>
      </c>
      <c r="Z190" t="s">
        <v>3711</v>
      </c>
      <c r="AA190" t="s">
        <v>3712</v>
      </c>
      <c r="AB190" t="s">
        <v>3713</v>
      </c>
      <c r="AC190" t="s">
        <v>3714</v>
      </c>
      <c r="AD190" t="s">
        <v>3471</v>
      </c>
      <c r="AE190" t="s">
        <v>74</v>
      </c>
      <c r="AF190" t="s">
        <v>74</v>
      </c>
      <c r="AG190">
        <v>104</v>
      </c>
      <c r="AH190">
        <v>25</v>
      </c>
      <c r="AI190">
        <v>27</v>
      </c>
      <c r="AJ190">
        <v>0</v>
      </c>
      <c r="AK190">
        <v>7</v>
      </c>
      <c r="AL190" t="s">
        <v>3352</v>
      </c>
      <c r="AM190" t="s">
        <v>3353</v>
      </c>
      <c r="AN190" t="s">
        <v>3354</v>
      </c>
      <c r="AO190" t="s">
        <v>3355</v>
      </c>
      <c r="AP190" t="s">
        <v>74</v>
      </c>
      <c r="AQ190" t="s">
        <v>3715</v>
      </c>
      <c r="AR190" t="s">
        <v>3357</v>
      </c>
      <c r="AS190" t="s">
        <v>3358</v>
      </c>
      <c r="AT190" t="s">
        <v>74</v>
      </c>
      <c r="AU190">
        <v>2013</v>
      </c>
      <c r="AV190">
        <v>383</v>
      </c>
      <c r="AW190" t="s">
        <v>74</v>
      </c>
      <c r="AX190" t="s">
        <v>74</v>
      </c>
      <c r="AY190" t="s">
        <v>74</v>
      </c>
      <c r="AZ190" t="s">
        <v>74</v>
      </c>
      <c r="BA190" t="s">
        <v>74</v>
      </c>
      <c r="BB190">
        <v>59</v>
      </c>
      <c r="BC190">
        <v>72</v>
      </c>
      <c r="BD190" t="s">
        <v>74</v>
      </c>
      <c r="BE190" t="s">
        <v>3716</v>
      </c>
      <c r="BF190" t="str">
        <f>HYPERLINK("http://dx.doi.org/10.1144/SP383.3","http://dx.doi.org/10.1144/SP383.3")</f>
        <v>http://dx.doi.org/10.1144/SP383.3</v>
      </c>
      <c r="BG190" t="s">
        <v>74</v>
      </c>
      <c r="BH190" t="s">
        <v>74</v>
      </c>
      <c r="BI190">
        <v>14</v>
      </c>
      <c r="BJ190" t="s">
        <v>3717</v>
      </c>
      <c r="BK190" t="s">
        <v>3379</v>
      </c>
      <c r="BL190" t="s">
        <v>3717</v>
      </c>
      <c r="BM190" t="s">
        <v>3718</v>
      </c>
      <c r="BN190" t="s">
        <v>74</v>
      </c>
      <c r="BO190" t="s">
        <v>155</v>
      </c>
      <c r="BP190" t="s">
        <v>74</v>
      </c>
      <c r="BQ190" t="s">
        <v>74</v>
      </c>
      <c r="BR190" t="s">
        <v>105</v>
      </c>
      <c r="BS190" t="s">
        <v>3719</v>
      </c>
      <c r="BT190" t="str">
        <f>HYPERLINK("https%3A%2F%2Fwww.webofscience.com%2Fwos%2Fwoscc%2Ffull-record%2FWOS:000342894000003","View Full Record in Web of Science")</f>
        <v>View Full Record in Web of Science</v>
      </c>
    </row>
    <row r="191" spans="1:72" x14ac:dyDescent="0.15">
      <c r="A191" t="s">
        <v>3341</v>
      </c>
      <c r="B191" t="s">
        <v>3720</v>
      </c>
      <c r="C191" t="s">
        <v>74</v>
      </c>
      <c r="D191" t="s">
        <v>3702</v>
      </c>
      <c r="E191" t="s">
        <v>74</v>
      </c>
      <c r="F191" t="s">
        <v>3721</v>
      </c>
      <c r="G191" t="s">
        <v>74</v>
      </c>
      <c r="H191" t="s">
        <v>74</v>
      </c>
      <c r="I191" t="s">
        <v>3722</v>
      </c>
      <c r="J191" t="s">
        <v>3705</v>
      </c>
      <c r="K191" t="s">
        <v>3347</v>
      </c>
      <c r="L191" t="s">
        <v>74</v>
      </c>
      <c r="M191" t="s">
        <v>78</v>
      </c>
      <c r="N191" t="s">
        <v>3258</v>
      </c>
      <c r="O191" t="s">
        <v>74</v>
      </c>
      <c r="P191" t="s">
        <v>74</v>
      </c>
      <c r="Q191" t="s">
        <v>74</v>
      </c>
      <c r="R191" t="s">
        <v>74</v>
      </c>
      <c r="S191" t="s">
        <v>74</v>
      </c>
      <c r="T191" t="s">
        <v>74</v>
      </c>
      <c r="U191" t="s">
        <v>3723</v>
      </c>
      <c r="V191" t="s">
        <v>3724</v>
      </c>
      <c r="W191" t="s">
        <v>3725</v>
      </c>
      <c r="X191" t="s">
        <v>3726</v>
      </c>
      <c r="Y191" t="s">
        <v>3727</v>
      </c>
      <c r="Z191" t="s">
        <v>3728</v>
      </c>
      <c r="AA191" t="s">
        <v>3729</v>
      </c>
      <c r="AB191" t="s">
        <v>3730</v>
      </c>
      <c r="AC191" t="s">
        <v>74</v>
      </c>
      <c r="AD191" t="s">
        <v>74</v>
      </c>
      <c r="AE191" t="s">
        <v>74</v>
      </c>
      <c r="AF191" t="s">
        <v>74</v>
      </c>
      <c r="AG191">
        <v>106</v>
      </c>
      <c r="AH191">
        <v>24</v>
      </c>
      <c r="AI191">
        <v>24</v>
      </c>
      <c r="AJ191">
        <v>0</v>
      </c>
      <c r="AK191">
        <v>4</v>
      </c>
      <c r="AL191" t="s">
        <v>3352</v>
      </c>
      <c r="AM191" t="s">
        <v>3353</v>
      </c>
      <c r="AN191" t="s">
        <v>3354</v>
      </c>
      <c r="AO191" t="s">
        <v>3355</v>
      </c>
      <c r="AP191" t="s">
        <v>74</v>
      </c>
      <c r="AQ191" t="s">
        <v>3715</v>
      </c>
      <c r="AR191" t="s">
        <v>3357</v>
      </c>
      <c r="AS191" t="s">
        <v>3358</v>
      </c>
      <c r="AT191" t="s">
        <v>74</v>
      </c>
      <c r="AU191">
        <v>2013</v>
      </c>
      <c r="AV191">
        <v>383</v>
      </c>
      <c r="AW191" t="s">
        <v>74</v>
      </c>
      <c r="AX191" t="s">
        <v>74</v>
      </c>
      <c r="AY191" t="s">
        <v>74</v>
      </c>
      <c r="AZ191" t="s">
        <v>74</v>
      </c>
      <c r="BA191" t="s">
        <v>74</v>
      </c>
      <c r="BB191">
        <v>73</v>
      </c>
      <c r="BC191">
        <v>94</v>
      </c>
      <c r="BD191" t="s">
        <v>74</v>
      </c>
      <c r="BE191" t="s">
        <v>3731</v>
      </c>
      <c r="BF191" t="str">
        <f>HYPERLINK("http://dx.doi.org/10.1144/SP383.8","http://dx.doi.org/10.1144/SP383.8")</f>
        <v>http://dx.doi.org/10.1144/SP383.8</v>
      </c>
      <c r="BG191" t="s">
        <v>74</v>
      </c>
      <c r="BH191" t="s">
        <v>74</v>
      </c>
      <c r="BI191">
        <v>22</v>
      </c>
      <c r="BJ191" t="s">
        <v>3717</v>
      </c>
      <c r="BK191" t="s">
        <v>3379</v>
      </c>
      <c r="BL191" t="s">
        <v>3717</v>
      </c>
      <c r="BM191" t="s">
        <v>3718</v>
      </c>
      <c r="BN191" t="s">
        <v>74</v>
      </c>
      <c r="BO191" t="s">
        <v>74</v>
      </c>
      <c r="BP191" t="s">
        <v>74</v>
      </c>
      <c r="BQ191" t="s">
        <v>74</v>
      </c>
      <c r="BR191" t="s">
        <v>105</v>
      </c>
      <c r="BS191" t="s">
        <v>3732</v>
      </c>
      <c r="BT191" t="str">
        <f>HYPERLINK("https%3A%2F%2Fwww.webofscience.com%2Fwos%2Fwoscc%2Ffull-record%2FWOS:000342894000004","View Full Record in Web of Science")</f>
        <v>View Full Record in Web of Science</v>
      </c>
    </row>
    <row r="192" spans="1:72" x14ac:dyDescent="0.15">
      <c r="A192" t="s">
        <v>3341</v>
      </c>
      <c r="B192" t="s">
        <v>3733</v>
      </c>
      <c r="C192" t="s">
        <v>74</v>
      </c>
      <c r="D192" t="s">
        <v>3702</v>
      </c>
      <c r="E192" t="s">
        <v>74</v>
      </c>
      <c r="F192" t="s">
        <v>3734</v>
      </c>
      <c r="G192" t="s">
        <v>74</v>
      </c>
      <c r="H192" t="s">
        <v>74</v>
      </c>
      <c r="I192" t="s">
        <v>3735</v>
      </c>
      <c r="J192" t="s">
        <v>3705</v>
      </c>
      <c r="K192" t="s">
        <v>3347</v>
      </c>
      <c r="L192" t="s">
        <v>74</v>
      </c>
      <c r="M192" t="s">
        <v>78</v>
      </c>
      <c r="N192" t="s">
        <v>3258</v>
      </c>
      <c r="O192" t="s">
        <v>74</v>
      </c>
      <c r="P192" t="s">
        <v>74</v>
      </c>
      <c r="Q192" t="s">
        <v>74</v>
      </c>
      <c r="R192" t="s">
        <v>74</v>
      </c>
      <c r="S192" t="s">
        <v>74</v>
      </c>
      <c r="T192" t="s">
        <v>74</v>
      </c>
      <c r="U192" t="s">
        <v>3736</v>
      </c>
      <c r="V192" t="s">
        <v>3737</v>
      </c>
      <c r="W192" t="s">
        <v>3738</v>
      </c>
      <c r="X192" t="s">
        <v>3739</v>
      </c>
      <c r="Y192" t="s">
        <v>3740</v>
      </c>
      <c r="Z192" t="s">
        <v>3741</v>
      </c>
      <c r="AA192" t="s">
        <v>3742</v>
      </c>
      <c r="AB192" t="s">
        <v>3743</v>
      </c>
      <c r="AC192" t="s">
        <v>74</v>
      </c>
      <c r="AD192" t="s">
        <v>74</v>
      </c>
      <c r="AE192" t="s">
        <v>74</v>
      </c>
      <c r="AF192" t="s">
        <v>74</v>
      </c>
      <c r="AG192">
        <v>103</v>
      </c>
      <c r="AH192">
        <v>25</v>
      </c>
      <c r="AI192">
        <v>28</v>
      </c>
      <c r="AJ192">
        <v>0</v>
      </c>
      <c r="AK192">
        <v>2</v>
      </c>
      <c r="AL192" t="s">
        <v>3352</v>
      </c>
      <c r="AM192" t="s">
        <v>3353</v>
      </c>
      <c r="AN192" t="s">
        <v>3354</v>
      </c>
      <c r="AO192" t="s">
        <v>3355</v>
      </c>
      <c r="AP192" t="s">
        <v>74</v>
      </c>
      <c r="AQ192" t="s">
        <v>3715</v>
      </c>
      <c r="AR192" t="s">
        <v>3357</v>
      </c>
      <c r="AS192" t="s">
        <v>3358</v>
      </c>
      <c r="AT192" t="s">
        <v>74</v>
      </c>
      <c r="AU192">
        <v>2013</v>
      </c>
      <c r="AV192">
        <v>383</v>
      </c>
      <c r="AW192" t="s">
        <v>74</v>
      </c>
      <c r="AX192" t="s">
        <v>74</v>
      </c>
      <c r="AY192" t="s">
        <v>74</v>
      </c>
      <c r="AZ192" t="s">
        <v>74</v>
      </c>
      <c r="BA192" t="s">
        <v>74</v>
      </c>
      <c r="BB192">
        <v>169</v>
      </c>
      <c r="BC192">
        <v>210</v>
      </c>
      <c r="BD192" t="s">
        <v>74</v>
      </c>
      <c r="BE192" t="s">
        <v>3744</v>
      </c>
      <c r="BF192" t="str">
        <f>HYPERLINK("http://dx.doi.org/10.1144/SP383.7","http://dx.doi.org/10.1144/SP383.7")</f>
        <v>http://dx.doi.org/10.1144/SP383.7</v>
      </c>
      <c r="BG192" t="s">
        <v>74</v>
      </c>
      <c r="BH192" t="s">
        <v>74</v>
      </c>
      <c r="BI192">
        <v>42</v>
      </c>
      <c r="BJ192" t="s">
        <v>3717</v>
      </c>
      <c r="BK192" t="s">
        <v>3379</v>
      </c>
      <c r="BL192" t="s">
        <v>3717</v>
      </c>
      <c r="BM192" t="s">
        <v>3718</v>
      </c>
      <c r="BN192" t="s">
        <v>74</v>
      </c>
      <c r="BO192" t="s">
        <v>155</v>
      </c>
      <c r="BP192" t="s">
        <v>74</v>
      </c>
      <c r="BQ192" t="s">
        <v>74</v>
      </c>
      <c r="BR192" t="s">
        <v>105</v>
      </c>
      <c r="BS192" t="s">
        <v>3745</v>
      </c>
      <c r="BT192" t="str">
        <f>HYPERLINK("https%3A%2F%2Fwww.webofscience.com%2Fwos%2Fwoscc%2Ffull-record%2FWOS:000342894000008","View Full Record in Web of Science")</f>
        <v>View Full Record in Web of Science</v>
      </c>
    </row>
    <row r="193" spans="1:72" x14ac:dyDescent="0.15">
      <c r="A193" t="s">
        <v>3341</v>
      </c>
      <c r="B193" t="s">
        <v>3746</v>
      </c>
      <c r="C193" t="s">
        <v>74</v>
      </c>
      <c r="D193" t="s">
        <v>3702</v>
      </c>
      <c r="E193" t="s">
        <v>74</v>
      </c>
      <c r="F193" t="s">
        <v>3747</v>
      </c>
      <c r="G193" t="s">
        <v>74</v>
      </c>
      <c r="H193" t="s">
        <v>74</v>
      </c>
      <c r="I193" t="s">
        <v>3748</v>
      </c>
      <c r="J193" t="s">
        <v>3705</v>
      </c>
      <c r="K193" t="s">
        <v>3347</v>
      </c>
      <c r="L193" t="s">
        <v>74</v>
      </c>
      <c r="M193" t="s">
        <v>78</v>
      </c>
      <c r="N193" t="s">
        <v>3258</v>
      </c>
      <c r="O193" t="s">
        <v>74</v>
      </c>
      <c r="P193" t="s">
        <v>74</v>
      </c>
      <c r="Q193" t="s">
        <v>74</v>
      </c>
      <c r="R193" t="s">
        <v>74</v>
      </c>
      <c r="S193" t="s">
        <v>74</v>
      </c>
      <c r="T193" t="s">
        <v>74</v>
      </c>
      <c r="U193" t="s">
        <v>3749</v>
      </c>
      <c r="V193" t="s">
        <v>3750</v>
      </c>
      <c r="W193" t="s">
        <v>3751</v>
      </c>
      <c r="X193" t="s">
        <v>3752</v>
      </c>
      <c r="Y193" t="s">
        <v>3753</v>
      </c>
      <c r="Z193" t="s">
        <v>3754</v>
      </c>
      <c r="AA193" t="s">
        <v>3755</v>
      </c>
      <c r="AB193" t="s">
        <v>3756</v>
      </c>
      <c r="AC193" t="s">
        <v>74</v>
      </c>
      <c r="AD193" t="s">
        <v>74</v>
      </c>
      <c r="AE193" t="s">
        <v>74</v>
      </c>
      <c r="AF193" t="s">
        <v>74</v>
      </c>
      <c r="AG193">
        <v>96</v>
      </c>
      <c r="AH193">
        <v>21</v>
      </c>
      <c r="AI193">
        <v>22</v>
      </c>
      <c r="AJ193">
        <v>0</v>
      </c>
      <c r="AK193">
        <v>5</v>
      </c>
      <c r="AL193" t="s">
        <v>3352</v>
      </c>
      <c r="AM193" t="s">
        <v>3353</v>
      </c>
      <c r="AN193" t="s">
        <v>3354</v>
      </c>
      <c r="AO193" t="s">
        <v>3355</v>
      </c>
      <c r="AP193" t="s">
        <v>74</v>
      </c>
      <c r="AQ193" t="s">
        <v>3715</v>
      </c>
      <c r="AR193" t="s">
        <v>3357</v>
      </c>
      <c r="AS193" t="s">
        <v>3358</v>
      </c>
      <c r="AT193" t="s">
        <v>74</v>
      </c>
      <c r="AU193">
        <v>2013</v>
      </c>
      <c r="AV193">
        <v>383</v>
      </c>
      <c r="AW193" t="s">
        <v>74</v>
      </c>
      <c r="AX193" t="s">
        <v>74</v>
      </c>
      <c r="AY193" t="s">
        <v>74</v>
      </c>
      <c r="AZ193" t="s">
        <v>74</v>
      </c>
      <c r="BA193" t="s">
        <v>74</v>
      </c>
      <c r="BB193">
        <v>211</v>
      </c>
      <c r="BC193">
        <v>232</v>
      </c>
      <c r="BD193" t="s">
        <v>74</v>
      </c>
      <c r="BE193" t="s">
        <v>3757</v>
      </c>
      <c r="BF193" t="str">
        <f>HYPERLINK("http://dx.doi.org/10.1144/SP383.5","http://dx.doi.org/10.1144/SP383.5")</f>
        <v>http://dx.doi.org/10.1144/SP383.5</v>
      </c>
      <c r="BG193" t="s">
        <v>74</v>
      </c>
      <c r="BH193" t="s">
        <v>74</v>
      </c>
      <c r="BI193">
        <v>22</v>
      </c>
      <c r="BJ193" t="s">
        <v>3717</v>
      </c>
      <c r="BK193" t="s">
        <v>3379</v>
      </c>
      <c r="BL193" t="s">
        <v>3717</v>
      </c>
      <c r="BM193" t="s">
        <v>3718</v>
      </c>
      <c r="BN193" t="s">
        <v>74</v>
      </c>
      <c r="BO193" t="s">
        <v>74</v>
      </c>
      <c r="BP193" t="s">
        <v>74</v>
      </c>
      <c r="BQ193" t="s">
        <v>74</v>
      </c>
      <c r="BR193" t="s">
        <v>105</v>
      </c>
      <c r="BS193" t="s">
        <v>3758</v>
      </c>
      <c r="BT193" t="str">
        <f>HYPERLINK("https%3A%2F%2Fwww.webofscience.com%2Fwos%2Fwoscc%2Ffull-record%2FWOS:000342894000009","View Full Record in Web of Science")</f>
        <v>View Full Record in Web of Science</v>
      </c>
    </row>
    <row r="194" spans="1:72" x14ac:dyDescent="0.15">
      <c r="A194" t="s">
        <v>3341</v>
      </c>
      <c r="B194" t="s">
        <v>3759</v>
      </c>
      <c r="C194" t="s">
        <v>74</v>
      </c>
      <c r="D194" t="s">
        <v>3760</v>
      </c>
      <c r="E194" t="s">
        <v>74</v>
      </c>
      <c r="F194" t="s">
        <v>3761</v>
      </c>
      <c r="G194" t="s">
        <v>74</v>
      </c>
      <c r="H194" t="s">
        <v>74</v>
      </c>
      <c r="I194" t="s">
        <v>3762</v>
      </c>
      <c r="J194" t="s">
        <v>3763</v>
      </c>
      <c r="K194" t="s">
        <v>3347</v>
      </c>
      <c r="L194" t="s">
        <v>74</v>
      </c>
      <c r="M194" t="s">
        <v>78</v>
      </c>
      <c r="N194" t="s">
        <v>3258</v>
      </c>
      <c r="O194" t="s">
        <v>74</v>
      </c>
      <c r="P194" t="s">
        <v>74</v>
      </c>
      <c r="Q194" t="s">
        <v>74</v>
      </c>
      <c r="R194" t="s">
        <v>74</v>
      </c>
      <c r="S194" t="s">
        <v>74</v>
      </c>
      <c r="T194" t="s">
        <v>74</v>
      </c>
      <c r="U194" t="s">
        <v>3764</v>
      </c>
      <c r="V194" t="s">
        <v>3765</v>
      </c>
      <c r="W194" t="s">
        <v>3766</v>
      </c>
      <c r="X194" t="s">
        <v>3767</v>
      </c>
      <c r="Y194" t="s">
        <v>3768</v>
      </c>
      <c r="Z194" t="s">
        <v>3769</v>
      </c>
      <c r="AA194" t="s">
        <v>3770</v>
      </c>
      <c r="AB194" t="s">
        <v>3771</v>
      </c>
      <c r="AC194" t="s">
        <v>74</v>
      </c>
      <c r="AD194" t="s">
        <v>74</v>
      </c>
      <c r="AE194" t="s">
        <v>74</v>
      </c>
      <c r="AF194" t="s">
        <v>74</v>
      </c>
      <c r="AG194">
        <v>87</v>
      </c>
      <c r="AH194">
        <v>23</v>
      </c>
      <c r="AI194">
        <v>23</v>
      </c>
      <c r="AJ194">
        <v>1</v>
      </c>
      <c r="AK194">
        <v>1</v>
      </c>
      <c r="AL194" t="s">
        <v>3352</v>
      </c>
      <c r="AM194" t="s">
        <v>3353</v>
      </c>
      <c r="AN194" t="s">
        <v>3354</v>
      </c>
      <c r="AO194" t="s">
        <v>3355</v>
      </c>
      <c r="AP194" t="s">
        <v>74</v>
      </c>
      <c r="AQ194" t="s">
        <v>3772</v>
      </c>
      <c r="AR194" t="s">
        <v>3357</v>
      </c>
      <c r="AS194" t="s">
        <v>3358</v>
      </c>
      <c r="AT194" t="s">
        <v>74</v>
      </c>
      <c r="AU194">
        <v>2013</v>
      </c>
      <c r="AV194">
        <v>369</v>
      </c>
      <c r="AW194" t="s">
        <v>74</v>
      </c>
      <c r="AX194" t="s">
        <v>74</v>
      </c>
      <c r="AY194" t="s">
        <v>74</v>
      </c>
      <c r="AZ194" t="s">
        <v>74</v>
      </c>
      <c r="BA194" t="s">
        <v>74</v>
      </c>
      <c r="BB194">
        <v>453</v>
      </c>
      <c r="BC194">
        <v>475</v>
      </c>
      <c r="BD194" t="s">
        <v>74</v>
      </c>
      <c r="BE194" t="s">
        <v>3773</v>
      </c>
      <c r="BF194" t="str">
        <f>HYPERLINK("http://dx.doi.org/10.1144/SP369.4","http://dx.doi.org/10.1144/SP369.4")</f>
        <v>http://dx.doi.org/10.1144/SP369.4</v>
      </c>
      <c r="BG194" t="s">
        <v>74</v>
      </c>
      <c r="BH194" t="s">
        <v>74</v>
      </c>
      <c r="BI194">
        <v>23</v>
      </c>
      <c r="BJ194" t="s">
        <v>3717</v>
      </c>
      <c r="BK194" t="s">
        <v>3379</v>
      </c>
      <c r="BL194" t="s">
        <v>3717</v>
      </c>
      <c r="BM194" t="s">
        <v>3774</v>
      </c>
      <c r="BN194" t="s">
        <v>74</v>
      </c>
      <c r="BO194" t="s">
        <v>74</v>
      </c>
      <c r="BP194" t="s">
        <v>74</v>
      </c>
      <c r="BQ194" t="s">
        <v>74</v>
      </c>
      <c r="BR194" t="s">
        <v>105</v>
      </c>
      <c r="BS194" t="s">
        <v>3775</v>
      </c>
      <c r="BT194" t="str">
        <f>HYPERLINK("https%3A%2F%2Fwww.webofscience.com%2Fwos%2Fwoscc%2Ffull-record%2FWOS:000342846200024","View Full Record in Web of Science")</f>
        <v>View Full Record in Web of Science</v>
      </c>
    </row>
    <row r="195" spans="1:72" x14ac:dyDescent="0.15">
      <c r="A195" t="s">
        <v>3341</v>
      </c>
      <c r="B195" t="s">
        <v>3776</v>
      </c>
      <c r="C195" t="s">
        <v>74</v>
      </c>
      <c r="D195" t="s">
        <v>3777</v>
      </c>
      <c r="E195" t="s">
        <v>74</v>
      </c>
      <c r="F195" t="s">
        <v>3778</v>
      </c>
      <c r="G195" t="s">
        <v>74</v>
      </c>
      <c r="H195" t="s">
        <v>74</v>
      </c>
      <c r="I195" t="s">
        <v>3779</v>
      </c>
      <c r="J195" t="s">
        <v>3780</v>
      </c>
      <c r="K195" t="s">
        <v>3347</v>
      </c>
      <c r="L195" t="s">
        <v>74</v>
      </c>
      <c r="M195" t="s">
        <v>78</v>
      </c>
      <c r="N195" t="s">
        <v>3258</v>
      </c>
      <c r="O195" t="s">
        <v>74</v>
      </c>
      <c r="P195" t="s">
        <v>74</v>
      </c>
      <c r="Q195" t="s">
        <v>74</v>
      </c>
      <c r="R195" t="s">
        <v>74</v>
      </c>
      <c r="S195" t="s">
        <v>74</v>
      </c>
      <c r="T195" t="s">
        <v>74</v>
      </c>
      <c r="U195" t="s">
        <v>3781</v>
      </c>
      <c r="V195" t="s">
        <v>3782</v>
      </c>
      <c r="W195" t="s">
        <v>3783</v>
      </c>
      <c r="X195" t="s">
        <v>3784</v>
      </c>
      <c r="Y195" t="s">
        <v>3785</v>
      </c>
      <c r="Z195" t="s">
        <v>3786</v>
      </c>
      <c r="AA195" t="s">
        <v>3787</v>
      </c>
      <c r="AB195" t="s">
        <v>3788</v>
      </c>
      <c r="AC195" t="s">
        <v>3789</v>
      </c>
      <c r="AD195" t="s">
        <v>3471</v>
      </c>
      <c r="AE195" t="s">
        <v>74</v>
      </c>
      <c r="AF195" t="s">
        <v>74</v>
      </c>
      <c r="AG195">
        <v>64</v>
      </c>
      <c r="AH195">
        <v>8</v>
      </c>
      <c r="AI195">
        <v>8</v>
      </c>
      <c r="AJ195">
        <v>0</v>
      </c>
      <c r="AK195">
        <v>2</v>
      </c>
      <c r="AL195" t="s">
        <v>3352</v>
      </c>
      <c r="AM195" t="s">
        <v>3353</v>
      </c>
      <c r="AN195" t="s">
        <v>3354</v>
      </c>
      <c r="AO195" t="s">
        <v>3355</v>
      </c>
      <c r="AP195" t="s">
        <v>74</v>
      </c>
      <c r="AQ195" t="s">
        <v>3790</v>
      </c>
      <c r="AR195" t="s">
        <v>3357</v>
      </c>
      <c r="AS195" t="s">
        <v>3358</v>
      </c>
      <c r="AT195" t="s">
        <v>74</v>
      </c>
      <c r="AU195">
        <v>2013</v>
      </c>
      <c r="AV195">
        <v>373</v>
      </c>
      <c r="AW195" t="s">
        <v>74</v>
      </c>
      <c r="AX195" t="s">
        <v>74</v>
      </c>
      <c r="AY195" t="s">
        <v>74</v>
      </c>
      <c r="AZ195" t="s">
        <v>74</v>
      </c>
      <c r="BA195" t="s">
        <v>74</v>
      </c>
      <c r="BB195">
        <v>79</v>
      </c>
      <c r="BC195">
        <v>95</v>
      </c>
      <c r="BD195" t="s">
        <v>74</v>
      </c>
      <c r="BE195" t="s">
        <v>3791</v>
      </c>
      <c r="BF195" t="str">
        <f>HYPERLINK("http://dx.doi.org/10.1144/SP373.13","http://dx.doi.org/10.1144/SP373.13")</f>
        <v>http://dx.doi.org/10.1144/SP373.13</v>
      </c>
      <c r="BG195" t="s">
        <v>74</v>
      </c>
      <c r="BH195" t="s">
        <v>74</v>
      </c>
      <c r="BI195">
        <v>17</v>
      </c>
      <c r="BJ195" t="s">
        <v>3717</v>
      </c>
      <c r="BK195" t="s">
        <v>3379</v>
      </c>
      <c r="BL195" t="s">
        <v>3717</v>
      </c>
      <c r="BM195" t="s">
        <v>3792</v>
      </c>
      <c r="BN195" t="s">
        <v>74</v>
      </c>
      <c r="BO195" t="s">
        <v>74</v>
      </c>
      <c r="BP195" t="s">
        <v>74</v>
      </c>
      <c r="BQ195" t="s">
        <v>74</v>
      </c>
      <c r="BR195" t="s">
        <v>105</v>
      </c>
      <c r="BS195" t="s">
        <v>3793</v>
      </c>
      <c r="BT195" t="str">
        <f>HYPERLINK("https%3A%2F%2Fwww.webofscience.com%2Fwos%2Fwoscc%2Ffull-record%2FWOS:000342848300004","View Full Record in Web of Science")</f>
        <v>View Full Record in Web of Science</v>
      </c>
    </row>
    <row r="196" spans="1:72" x14ac:dyDescent="0.15">
      <c r="A196" t="s">
        <v>3341</v>
      </c>
      <c r="B196" t="s">
        <v>3794</v>
      </c>
      <c r="C196" t="s">
        <v>74</v>
      </c>
      <c r="D196" t="s">
        <v>3777</v>
      </c>
      <c r="E196" t="s">
        <v>74</v>
      </c>
      <c r="F196" t="s">
        <v>3795</v>
      </c>
      <c r="G196" t="s">
        <v>74</v>
      </c>
      <c r="H196" t="s">
        <v>74</v>
      </c>
      <c r="I196" t="s">
        <v>3796</v>
      </c>
      <c r="J196" t="s">
        <v>3780</v>
      </c>
      <c r="K196" t="s">
        <v>3347</v>
      </c>
      <c r="L196" t="s">
        <v>74</v>
      </c>
      <c r="M196" t="s">
        <v>78</v>
      </c>
      <c r="N196" t="s">
        <v>3258</v>
      </c>
      <c r="O196" t="s">
        <v>74</v>
      </c>
      <c r="P196" t="s">
        <v>74</v>
      </c>
      <c r="Q196" t="s">
        <v>74</v>
      </c>
      <c r="R196" t="s">
        <v>74</v>
      </c>
      <c r="S196" t="s">
        <v>74</v>
      </c>
      <c r="T196" t="s">
        <v>74</v>
      </c>
      <c r="U196" t="s">
        <v>3797</v>
      </c>
      <c r="V196" t="s">
        <v>3798</v>
      </c>
      <c r="W196" t="s">
        <v>3799</v>
      </c>
      <c r="X196" t="s">
        <v>3800</v>
      </c>
      <c r="Y196" t="s">
        <v>3801</v>
      </c>
      <c r="Z196" t="s">
        <v>3802</v>
      </c>
      <c r="AA196" t="s">
        <v>3803</v>
      </c>
      <c r="AB196" t="s">
        <v>3804</v>
      </c>
      <c r="AC196" t="s">
        <v>3789</v>
      </c>
      <c r="AD196" t="s">
        <v>3471</v>
      </c>
      <c r="AE196" t="s">
        <v>74</v>
      </c>
      <c r="AF196" t="s">
        <v>74</v>
      </c>
      <c r="AG196">
        <v>63</v>
      </c>
      <c r="AH196">
        <v>7</v>
      </c>
      <c r="AI196">
        <v>8</v>
      </c>
      <c r="AJ196">
        <v>0</v>
      </c>
      <c r="AK196">
        <v>3</v>
      </c>
      <c r="AL196" t="s">
        <v>3352</v>
      </c>
      <c r="AM196" t="s">
        <v>3353</v>
      </c>
      <c r="AN196" t="s">
        <v>3354</v>
      </c>
      <c r="AO196" t="s">
        <v>3355</v>
      </c>
      <c r="AP196" t="s">
        <v>74</v>
      </c>
      <c r="AQ196" t="s">
        <v>3790</v>
      </c>
      <c r="AR196" t="s">
        <v>3357</v>
      </c>
      <c r="AS196" t="s">
        <v>3358</v>
      </c>
      <c r="AT196" t="s">
        <v>74</v>
      </c>
      <c r="AU196">
        <v>2013</v>
      </c>
      <c r="AV196">
        <v>373</v>
      </c>
      <c r="AW196" t="s">
        <v>74</v>
      </c>
      <c r="AX196" t="s">
        <v>74</v>
      </c>
      <c r="AY196" t="s">
        <v>74</v>
      </c>
      <c r="AZ196" t="s">
        <v>74</v>
      </c>
      <c r="BA196" t="s">
        <v>74</v>
      </c>
      <c r="BB196">
        <v>97</v>
      </c>
      <c r="BC196">
        <v>110</v>
      </c>
      <c r="BD196" t="s">
        <v>74</v>
      </c>
      <c r="BE196" t="s">
        <v>3805</v>
      </c>
      <c r="BF196" t="str">
        <f>HYPERLINK("http://dx.doi.org/10.1144/SP373.16","http://dx.doi.org/10.1144/SP373.16")</f>
        <v>http://dx.doi.org/10.1144/SP373.16</v>
      </c>
      <c r="BG196" t="s">
        <v>74</v>
      </c>
      <c r="BH196" t="s">
        <v>74</v>
      </c>
      <c r="BI196">
        <v>14</v>
      </c>
      <c r="BJ196" t="s">
        <v>3717</v>
      </c>
      <c r="BK196" t="s">
        <v>3379</v>
      </c>
      <c r="BL196" t="s">
        <v>3717</v>
      </c>
      <c r="BM196" t="s">
        <v>3792</v>
      </c>
      <c r="BN196" t="s">
        <v>74</v>
      </c>
      <c r="BO196" t="s">
        <v>74</v>
      </c>
      <c r="BP196" t="s">
        <v>74</v>
      </c>
      <c r="BQ196" t="s">
        <v>74</v>
      </c>
      <c r="BR196" t="s">
        <v>105</v>
      </c>
      <c r="BS196" t="s">
        <v>3806</v>
      </c>
      <c r="BT196" t="str">
        <f>HYPERLINK("https%3A%2F%2Fwww.webofscience.com%2Fwos%2Fwoscc%2Ffull-record%2FWOS:000342848300005","View Full Record in Web of Science")</f>
        <v>View Full Record in Web of Science</v>
      </c>
    </row>
    <row r="197" spans="1:72" x14ac:dyDescent="0.15">
      <c r="A197" t="s">
        <v>3224</v>
      </c>
      <c r="B197" t="s">
        <v>3807</v>
      </c>
      <c r="C197" t="s">
        <v>74</v>
      </c>
      <c r="D197" t="s">
        <v>3808</v>
      </c>
      <c r="E197" t="s">
        <v>74</v>
      </c>
      <c r="F197" t="s">
        <v>3809</v>
      </c>
      <c r="G197" t="s">
        <v>74</v>
      </c>
      <c r="H197" t="s">
        <v>74</v>
      </c>
      <c r="I197" t="s">
        <v>3810</v>
      </c>
      <c r="J197" t="s">
        <v>3811</v>
      </c>
      <c r="K197" t="s">
        <v>3812</v>
      </c>
      <c r="L197" t="s">
        <v>74</v>
      </c>
      <c r="M197" t="s">
        <v>78</v>
      </c>
      <c r="N197" t="s">
        <v>3231</v>
      </c>
      <c r="O197" t="s">
        <v>3813</v>
      </c>
      <c r="P197" t="s">
        <v>3814</v>
      </c>
      <c r="Q197" t="s">
        <v>3815</v>
      </c>
      <c r="R197" t="s">
        <v>74</v>
      </c>
      <c r="S197" t="s">
        <v>74</v>
      </c>
      <c r="T197" t="s">
        <v>74</v>
      </c>
      <c r="U197" t="s">
        <v>3816</v>
      </c>
      <c r="V197" t="s">
        <v>3817</v>
      </c>
      <c r="W197" t="s">
        <v>3818</v>
      </c>
      <c r="X197" t="s">
        <v>3819</v>
      </c>
      <c r="Y197" t="s">
        <v>3820</v>
      </c>
      <c r="Z197" t="s">
        <v>3821</v>
      </c>
      <c r="AA197" t="s">
        <v>3822</v>
      </c>
      <c r="AB197" t="s">
        <v>3823</v>
      </c>
      <c r="AC197" t="s">
        <v>3824</v>
      </c>
      <c r="AD197" t="s">
        <v>3825</v>
      </c>
      <c r="AE197" t="s">
        <v>3826</v>
      </c>
      <c r="AF197" t="s">
        <v>74</v>
      </c>
      <c r="AG197">
        <v>36</v>
      </c>
      <c r="AH197">
        <v>18</v>
      </c>
      <c r="AI197">
        <v>19</v>
      </c>
      <c r="AJ197">
        <v>0</v>
      </c>
      <c r="AK197">
        <v>11</v>
      </c>
      <c r="AL197" t="s">
        <v>3827</v>
      </c>
      <c r="AM197" t="s">
        <v>3828</v>
      </c>
      <c r="AN197" t="s">
        <v>3829</v>
      </c>
      <c r="AO197" t="s">
        <v>3830</v>
      </c>
      <c r="AP197" t="s">
        <v>74</v>
      </c>
      <c r="AQ197" t="s">
        <v>74</v>
      </c>
      <c r="AR197" t="s">
        <v>3831</v>
      </c>
      <c r="AS197" t="s">
        <v>74</v>
      </c>
      <c r="AT197" t="s">
        <v>74</v>
      </c>
      <c r="AU197">
        <v>2013</v>
      </c>
      <c r="AV197">
        <v>63</v>
      </c>
      <c r="AW197" t="s">
        <v>74</v>
      </c>
      <c r="AX197" t="s">
        <v>74</v>
      </c>
      <c r="AY197" t="s">
        <v>74</v>
      </c>
      <c r="AZ197" t="s">
        <v>74</v>
      </c>
      <c r="BA197" t="s">
        <v>74</v>
      </c>
      <c r="BB197" t="s">
        <v>74</v>
      </c>
      <c r="BC197" t="s">
        <v>74</v>
      </c>
      <c r="BD197">
        <v>3003</v>
      </c>
      <c r="BE197" t="s">
        <v>3832</v>
      </c>
      <c r="BF197" t="str">
        <f>HYPERLINK("http://dx.doi.org/10.1051/epjconf/20136303003","http://dx.doi.org/10.1051/epjconf/20136303003")</f>
        <v>http://dx.doi.org/10.1051/epjconf/20136303003</v>
      </c>
      <c r="BG197" t="s">
        <v>74</v>
      </c>
      <c r="BH197" t="s">
        <v>74</v>
      </c>
      <c r="BI197">
        <v>5</v>
      </c>
      <c r="BJ197" t="s">
        <v>3833</v>
      </c>
      <c r="BK197" t="s">
        <v>3247</v>
      </c>
      <c r="BL197" t="s">
        <v>3834</v>
      </c>
      <c r="BM197" t="s">
        <v>3835</v>
      </c>
      <c r="BN197" t="s">
        <v>74</v>
      </c>
      <c r="BO197" t="s">
        <v>3222</v>
      </c>
      <c r="BP197" t="s">
        <v>74</v>
      </c>
      <c r="BQ197" t="s">
        <v>74</v>
      </c>
      <c r="BR197" t="s">
        <v>105</v>
      </c>
      <c r="BS197" t="s">
        <v>3836</v>
      </c>
      <c r="BT197" t="str">
        <f>HYPERLINK("https%3A%2F%2Fwww.webofscience.com%2Fwos%2Fwoscc%2Ffull-record%2FWOS:000342354700047","View Full Record in Web of Science")</f>
        <v>View Full Record in Web of Science</v>
      </c>
    </row>
    <row r="198" spans="1:72" x14ac:dyDescent="0.15">
      <c r="A198" t="s">
        <v>3341</v>
      </c>
      <c r="B198" t="s">
        <v>3837</v>
      </c>
      <c r="C198" t="s">
        <v>74</v>
      </c>
      <c r="D198" t="s">
        <v>3838</v>
      </c>
      <c r="E198" t="s">
        <v>74</v>
      </c>
      <c r="F198" t="s">
        <v>3839</v>
      </c>
      <c r="G198" t="s">
        <v>74</v>
      </c>
      <c r="H198" t="s">
        <v>74</v>
      </c>
      <c r="I198" t="s">
        <v>3840</v>
      </c>
      <c r="J198" t="s">
        <v>3841</v>
      </c>
      <c r="K198" t="s">
        <v>3842</v>
      </c>
      <c r="L198" t="s">
        <v>74</v>
      </c>
      <c r="M198" t="s">
        <v>78</v>
      </c>
      <c r="N198" t="s">
        <v>3258</v>
      </c>
      <c r="O198" t="s">
        <v>74</v>
      </c>
      <c r="P198" t="s">
        <v>74</v>
      </c>
      <c r="Q198" t="s">
        <v>74</v>
      </c>
      <c r="R198" t="s">
        <v>74</v>
      </c>
      <c r="S198" t="s">
        <v>74</v>
      </c>
      <c r="T198" t="s">
        <v>3843</v>
      </c>
      <c r="U198" t="s">
        <v>3844</v>
      </c>
      <c r="V198" t="s">
        <v>3845</v>
      </c>
      <c r="W198" t="s">
        <v>3846</v>
      </c>
      <c r="X198" t="s">
        <v>3847</v>
      </c>
      <c r="Y198" t="s">
        <v>3848</v>
      </c>
      <c r="Z198" t="s">
        <v>3849</v>
      </c>
      <c r="AA198" t="s">
        <v>3850</v>
      </c>
      <c r="AB198" t="s">
        <v>3851</v>
      </c>
      <c r="AC198" t="s">
        <v>74</v>
      </c>
      <c r="AD198" t="s">
        <v>74</v>
      </c>
      <c r="AE198" t="s">
        <v>74</v>
      </c>
      <c r="AF198" t="s">
        <v>74</v>
      </c>
      <c r="AG198">
        <v>59</v>
      </c>
      <c r="AH198">
        <v>3</v>
      </c>
      <c r="AI198">
        <v>3</v>
      </c>
      <c r="AJ198">
        <v>0</v>
      </c>
      <c r="AK198">
        <v>8</v>
      </c>
      <c r="AL198" t="s">
        <v>3852</v>
      </c>
      <c r="AM198" t="s">
        <v>2038</v>
      </c>
      <c r="AN198" t="s">
        <v>3853</v>
      </c>
      <c r="AO198" t="s">
        <v>3854</v>
      </c>
      <c r="AP198" t="s">
        <v>74</v>
      </c>
      <c r="AQ198" t="s">
        <v>3855</v>
      </c>
      <c r="AR198" t="s">
        <v>3856</v>
      </c>
      <c r="AS198" t="s">
        <v>74</v>
      </c>
      <c r="AT198" t="s">
        <v>74</v>
      </c>
      <c r="AU198">
        <v>2013</v>
      </c>
      <c r="AV198" t="s">
        <v>74</v>
      </c>
      <c r="AW198">
        <v>38</v>
      </c>
      <c r="AX198" t="s">
        <v>74</v>
      </c>
      <c r="AY198" t="s">
        <v>74</v>
      </c>
      <c r="AZ198" t="s">
        <v>74</v>
      </c>
      <c r="BA198" t="s">
        <v>74</v>
      </c>
      <c r="BB198">
        <v>131</v>
      </c>
      <c r="BC198">
        <v>164</v>
      </c>
      <c r="BD198" t="s">
        <v>74</v>
      </c>
      <c r="BE198" t="s">
        <v>3857</v>
      </c>
      <c r="BF198" t="str">
        <f>HYPERLINK("http://dx.doi.org/10.1533/9781908818355.2.131","http://dx.doi.org/10.1533/9781908818355.2.131")</f>
        <v>http://dx.doi.org/10.1533/9781908818355.2.131</v>
      </c>
      <c r="BG198" t="s">
        <v>74</v>
      </c>
      <c r="BH198" t="s">
        <v>74</v>
      </c>
      <c r="BI198">
        <v>34</v>
      </c>
      <c r="BJ198" t="s">
        <v>3858</v>
      </c>
      <c r="BK198" t="s">
        <v>3379</v>
      </c>
      <c r="BL198" t="s">
        <v>3858</v>
      </c>
      <c r="BM198" t="s">
        <v>3859</v>
      </c>
      <c r="BN198" t="s">
        <v>74</v>
      </c>
      <c r="BO198" t="s">
        <v>74</v>
      </c>
      <c r="BP198" t="s">
        <v>74</v>
      </c>
      <c r="BQ198" t="s">
        <v>74</v>
      </c>
      <c r="BR198" t="s">
        <v>105</v>
      </c>
      <c r="BS198" t="s">
        <v>3860</v>
      </c>
      <c r="BT198" t="str">
        <f>HYPERLINK("https%3A%2F%2Fwww.webofscience.com%2Fwos%2Fwoscc%2Ffull-record%2FWOS:000337168400008","View Full Record in Web of Science")</f>
        <v>View Full Record in Web of Science</v>
      </c>
    </row>
    <row r="199" spans="1:72" x14ac:dyDescent="0.15">
      <c r="A199" t="s">
        <v>3341</v>
      </c>
      <c r="B199" t="s">
        <v>3861</v>
      </c>
      <c r="C199" t="s">
        <v>74</v>
      </c>
      <c r="D199" t="s">
        <v>3862</v>
      </c>
      <c r="E199" t="s">
        <v>74</v>
      </c>
      <c r="F199" t="s">
        <v>3863</v>
      </c>
      <c r="G199" t="s">
        <v>74</v>
      </c>
      <c r="H199" t="s">
        <v>74</v>
      </c>
      <c r="I199" t="s">
        <v>3864</v>
      </c>
      <c r="J199" t="s">
        <v>3865</v>
      </c>
      <c r="K199" t="s">
        <v>3866</v>
      </c>
      <c r="L199" t="s">
        <v>74</v>
      </c>
      <c r="M199" t="s">
        <v>78</v>
      </c>
      <c r="N199" t="s">
        <v>3258</v>
      </c>
      <c r="O199" t="s">
        <v>74</v>
      </c>
      <c r="P199" t="s">
        <v>74</v>
      </c>
      <c r="Q199" t="s">
        <v>74</v>
      </c>
      <c r="R199" t="s">
        <v>74</v>
      </c>
      <c r="S199" t="s">
        <v>74</v>
      </c>
      <c r="T199" t="s">
        <v>3867</v>
      </c>
      <c r="U199" t="s">
        <v>3868</v>
      </c>
      <c r="V199" t="s">
        <v>3869</v>
      </c>
      <c r="W199" t="s">
        <v>3870</v>
      </c>
      <c r="X199" t="s">
        <v>3871</v>
      </c>
      <c r="Y199" t="s">
        <v>3872</v>
      </c>
      <c r="Z199" t="s">
        <v>3873</v>
      </c>
      <c r="AA199" t="s">
        <v>74</v>
      </c>
      <c r="AB199" t="s">
        <v>3874</v>
      </c>
      <c r="AC199" t="s">
        <v>74</v>
      </c>
      <c r="AD199" t="s">
        <v>74</v>
      </c>
      <c r="AE199" t="s">
        <v>74</v>
      </c>
      <c r="AF199" t="s">
        <v>74</v>
      </c>
      <c r="AG199">
        <v>114</v>
      </c>
      <c r="AH199">
        <v>20</v>
      </c>
      <c r="AI199">
        <v>20</v>
      </c>
      <c r="AJ199">
        <v>1</v>
      </c>
      <c r="AK199">
        <v>15</v>
      </c>
      <c r="AL199" t="s">
        <v>500</v>
      </c>
      <c r="AM199" t="s">
        <v>950</v>
      </c>
      <c r="AN199" t="s">
        <v>3875</v>
      </c>
      <c r="AO199" t="s">
        <v>3876</v>
      </c>
      <c r="AP199" t="s">
        <v>74</v>
      </c>
      <c r="AQ199" t="s">
        <v>3877</v>
      </c>
      <c r="AR199" t="s">
        <v>3878</v>
      </c>
      <c r="AS199" t="s">
        <v>3879</v>
      </c>
      <c r="AT199" t="s">
        <v>74</v>
      </c>
      <c r="AU199">
        <v>2013</v>
      </c>
      <c r="AV199">
        <v>7</v>
      </c>
      <c r="AW199" t="s">
        <v>74</v>
      </c>
      <c r="AX199" t="s">
        <v>74</v>
      </c>
      <c r="AY199" t="s">
        <v>74</v>
      </c>
      <c r="AZ199" t="s">
        <v>74</v>
      </c>
      <c r="BA199" t="s">
        <v>74</v>
      </c>
      <c r="BB199">
        <v>449</v>
      </c>
      <c r="BC199">
        <v>470</v>
      </c>
      <c r="BD199" t="s">
        <v>74</v>
      </c>
      <c r="BE199" t="s">
        <v>3880</v>
      </c>
      <c r="BF199" t="str">
        <f>HYPERLINK("http://dx.doi.org/10.1007/978-94-007-7750-7_20","http://dx.doi.org/10.1007/978-94-007-7750-7_20")</f>
        <v>http://dx.doi.org/10.1007/978-94-007-7750-7_20</v>
      </c>
      <c r="BG199" t="s">
        <v>3881</v>
      </c>
      <c r="BH199" t="s">
        <v>74</v>
      </c>
      <c r="BI199">
        <v>22</v>
      </c>
      <c r="BJ199" t="s">
        <v>981</v>
      </c>
      <c r="BK199" t="s">
        <v>3379</v>
      </c>
      <c r="BL199" t="s">
        <v>958</v>
      </c>
      <c r="BM199" t="s">
        <v>3882</v>
      </c>
      <c r="BN199" t="s">
        <v>74</v>
      </c>
      <c r="BO199" t="s">
        <v>74</v>
      </c>
      <c r="BP199" t="s">
        <v>74</v>
      </c>
      <c r="BQ199" t="s">
        <v>74</v>
      </c>
      <c r="BR199" t="s">
        <v>105</v>
      </c>
      <c r="BS199" t="s">
        <v>3883</v>
      </c>
      <c r="BT199" t="str">
        <f>HYPERLINK("https%3A%2F%2Fwww.webofscience.com%2Fwos%2Fwoscc%2Ffull-record%2FWOS:000339070100022","View Full Record in Web of Science")</f>
        <v>View Full Record in Web of Science</v>
      </c>
    </row>
    <row r="200" spans="1:72" x14ac:dyDescent="0.15">
      <c r="A200" t="s">
        <v>3224</v>
      </c>
      <c r="B200" t="s">
        <v>3884</v>
      </c>
      <c r="C200" t="s">
        <v>74</v>
      </c>
      <c r="D200" t="s">
        <v>3885</v>
      </c>
      <c r="E200" t="s">
        <v>74</v>
      </c>
      <c r="F200" t="s">
        <v>3886</v>
      </c>
      <c r="G200" t="s">
        <v>74</v>
      </c>
      <c r="H200" t="s">
        <v>74</v>
      </c>
      <c r="I200" t="s">
        <v>3887</v>
      </c>
      <c r="J200" t="s">
        <v>3888</v>
      </c>
      <c r="K200" t="s">
        <v>3889</v>
      </c>
      <c r="L200" t="s">
        <v>74</v>
      </c>
      <c r="M200" t="s">
        <v>78</v>
      </c>
      <c r="N200" t="s">
        <v>3231</v>
      </c>
      <c r="O200" t="s">
        <v>3890</v>
      </c>
      <c r="P200" t="s">
        <v>3891</v>
      </c>
      <c r="Q200" t="s">
        <v>3892</v>
      </c>
      <c r="R200" t="s">
        <v>74</v>
      </c>
      <c r="S200" t="s">
        <v>74</v>
      </c>
      <c r="T200" t="s">
        <v>3893</v>
      </c>
      <c r="U200" t="s">
        <v>74</v>
      </c>
      <c r="V200" t="s">
        <v>3894</v>
      </c>
      <c r="W200" t="s">
        <v>3895</v>
      </c>
      <c r="X200" t="s">
        <v>3896</v>
      </c>
      <c r="Y200" t="s">
        <v>3897</v>
      </c>
      <c r="Z200" t="s">
        <v>3898</v>
      </c>
      <c r="AA200" t="s">
        <v>74</v>
      </c>
      <c r="AB200" t="s">
        <v>74</v>
      </c>
      <c r="AC200" t="s">
        <v>74</v>
      </c>
      <c r="AD200" t="s">
        <v>74</v>
      </c>
      <c r="AE200" t="s">
        <v>74</v>
      </c>
      <c r="AF200" t="s">
        <v>74</v>
      </c>
      <c r="AG200">
        <v>6</v>
      </c>
      <c r="AH200">
        <v>1</v>
      </c>
      <c r="AI200">
        <v>1</v>
      </c>
      <c r="AJ200">
        <v>0</v>
      </c>
      <c r="AK200">
        <v>13</v>
      </c>
      <c r="AL200" t="s">
        <v>3899</v>
      </c>
      <c r="AM200" t="s">
        <v>3900</v>
      </c>
      <c r="AN200" t="s">
        <v>3901</v>
      </c>
      <c r="AO200" t="s">
        <v>3902</v>
      </c>
      <c r="AP200" t="s">
        <v>74</v>
      </c>
      <c r="AQ200" t="s">
        <v>3903</v>
      </c>
      <c r="AR200" t="s">
        <v>3904</v>
      </c>
      <c r="AS200" t="s">
        <v>74</v>
      </c>
      <c r="AT200" t="s">
        <v>74</v>
      </c>
      <c r="AU200">
        <v>2013</v>
      </c>
      <c r="AV200" t="s">
        <v>3905</v>
      </c>
      <c r="AW200" t="s">
        <v>74</v>
      </c>
      <c r="AX200" t="s">
        <v>74</v>
      </c>
      <c r="AY200" t="s">
        <v>74</v>
      </c>
      <c r="AZ200" t="s">
        <v>74</v>
      </c>
      <c r="BA200" t="s">
        <v>74</v>
      </c>
      <c r="BB200">
        <v>751</v>
      </c>
      <c r="BC200">
        <v>754</v>
      </c>
      <c r="BD200" t="s">
        <v>74</v>
      </c>
      <c r="BE200" t="s">
        <v>3906</v>
      </c>
      <c r="BF200" t="str">
        <f>HYPERLINK("http://dx.doi.org/10.4028/www.scientific.net/AMM.395-396.751","http://dx.doi.org/10.4028/www.scientific.net/AMM.395-396.751")</f>
        <v>http://dx.doi.org/10.4028/www.scientific.net/AMM.395-396.751</v>
      </c>
      <c r="BG200" t="s">
        <v>74</v>
      </c>
      <c r="BH200" t="s">
        <v>74</v>
      </c>
      <c r="BI200">
        <v>4</v>
      </c>
      <c r="BJ200" t="s">
        <v>3907</v>
      </c>
      <c r="BK200" t="s">
        <v>3247</v>
      </c>
      <c r="BL200" t="s">
        <v>3908</v>
      </c>
      <c r="BM200" t="s">
        <v>3909</v>
      </c>
      <c r="BN200" t="s">
        <v>74</v>
      </c>
      <c r="BO200" t="s">
        <v>74</v>
      </c>
      <c r="BP200" t="s">
        <v>74</v>
      </c>
      <c r="BQ200" t="s">
        <v>74</v>
      </c>
      <c r="BR200" t="s">
        <v>105</v>
      </c>
      <c r="BS200" t="s">
        <v>3910</v>
      </c>
      <c r="BT200" t="str">
        <f>HYPERLINK("https%3A%2F%2Fwww.webofscience.com%2Fwos%2Fwoscc%2Ffull-record%2FWOS:000338973200152","View Full Record in Web of Science")</f>
        <v>View Full Record in Web of Science</v>
      </c>
    </row>
    <row r="201" spans="1:72" x14ac:dyDescent="0.15">
      <c r="A201" t="s">
        <v>3224</v>
      </c>
      <c r="B201" t="s">
        <v>3911</v>
      </c>
      <c r="C201" t="s">
        <v>74</v>
      </c>
      <c r="D201" t="s">
        <v>3912</v>
      </c>
      <c r="E201" t="s">
        <v>74</v>
      </c>
      <c r="F201" t="s">
        <v>3913</v>
      </c>
      <c r="G201" t="s">
        <v>74</v>
      </c>
      <c r="H201" t="s">
        <v>2927</v>
      </c>
      <c r="I201" t="s">
        <v>3914</v>
      </c>
      <c r="J201" t="s">
        <v>3915</v>
      </c>
      <c r="K201" t="s">
        <v>74</v>
      </c>
      <c r="L201" t="s">
        <v>74</v>
      </c>
      <c r="M201" t="s">
        <v>78</v>
      </c>
      <c r="N201" t="s">
        <v>3231</v>
      </c>
      <c r="O201" t="s">
        <v>3916</v>
      </c>
      <c r="P201" t="s">
        <v>3917</v>
      </c>
      <c r="Q201" t="s">
        <v>3918</v>
      </c>
      <c r="R201" t="s">
        <v>74</v>
      </c>
      <c r="S201" t="s">
        <v>3919</v>
      </c>
      <c r="T201" t="s">
        <v>74</v>
      </c>
      <c r="U201" t="s">
        <v>74</v>
      </c>
      <c r="V201" t="s">
        <v>3920</v>
      </c>
      <c r="W201" t="s">
        <v>3921</v>
      </c>
      <c r="X201" t="s">
        <v>3922</v>
      </c>
      <c r="Y201" t="s">
        <v>3923</v>
      </c>
      <c r="Z201" t="s">
        <v>3924</v>
      </c>
      <c r="AA201" t="s">
        <v>3925</v>
      </c>
      <c r="AB201" t="s">
        <v>74</v>
      </c>
      <c r="AC201" t="s">
        <v>74</v>
      </c>
      <c r="AD201" t="s">
        <v>74</v>
      </c>
      <c r="AE201" t="s">
        <v>74</v>
      </c>
      <c r="AF201" t="s">
        <v>74</v>
      </c>
      <c r="AG201">
        <v>15</v>
      </c>
      <c r="AH201">
        <v>0</v>
      </c>
      <c r="AI201">
        <v>0</v>
      </c>
      <c r="AJ201">
        <v>0</v>
      </c>
      <c r="AK201">
        <v>3</v>
      </c>
      <c r="AL201" t="s">
        <v>3926</v>
      </c>
      <c r="AM201" t="s">
        <v>3927</v>
      </c>
      <c r="AN201" t="s">
        <v>3928</v>
      </c>
      <c r="AO201" t="s">
        <v>74</v>
      </c>
      <c r="AP201" t="s">
        <v>74</v>
      </c>
      <c r="AQ201" t="s">
        <v>3929</v>
      </c>
      <c r="AR201" t="s">
        <v>74</v>
      </c>
      <c r="AS201" t="s">
        <v>74</v>
      </c>
      <c r="AT201" t="s">
        <v>74</v>
      </c>
      <c r="AU201">
        <v>2013</v>
      </c>
      <c r="AV201" t="s">
        <v>74</v>
      </c>
      <c r="AW201" t="s">
        <v>74</v>
      </c>
      <c r="AX201" t="s">
        <v>74</v>
      </c>
      <c r="AY201" t="s">
        <v>74</v>
      </c>
      <c r="AZ201" t="s">
        <v>74</v>
      </c>
      <c r="BA201" t="s">
        <v>74</v>
      </c>
      <c r="BB201">
        <v>181</v>
      </c>
      <c r="BC201">
        <v>185</v>
      </c>
      <c r="BD201" t="s">
        <v>74</v>
      </c>
      <c r="BE201" t="s">
        <v>74</v>
      </c>
      <c r="BF201" t="s">
        <v>74</v>
      </c>
      <c r="BG201" t="s">
        <v>74</v>
      </c>
      <c r="BH201" t="s">
        <v>74</v>
      </c>
      <c r="BI201">
        <v>5</v>
      </c>
      <c r="BJ201" t="s">
        <v>3833</v>
      </c>
      <c r="BK201" t="s">
        <v>3247</v>
      </c>
      <c r="BL201" t="s">
        <v>3834</v>
      </c>
      <c r="BM201" t="s">
        <v>3930</v>
      </c>
      <c r="BN201" t="s">
        <v>74</v>
      </c>
      <c r="BO201" t="s">
        <v>74</v>
      </c>
      <c r="BP201" t="s">
        <v>74</v>
      </c>
      <c r="BQ201" t="s">
        <v>74</v>
      </c>
      <c r="BR201" t="s">
        <v>105</v>
      </c>
      <c r="BS201" t="s">
        <v>3931</v>
      </c>
      <c r="BT201" t="str">
        <f>HYPERLINK("https%3A%2F%2Fwww.webofscience.com%2Fwos%2Fwoscc%2Ffull-record%2FWOS:000338158800039","View Full Record in Web of Science")</f>
        <v>View Full Record in Web of Science</v>
      </c>
    </row>
    <row r="202" spans="1:72" x14ac:dyDescent="0.15">
      <c r="A202" t="s">
        <v>3224</v>
      </c>
      <c r="B202" t="s">
        <v>3932</v>
      </c>
      <c r="C202" t="s">
        <v>74</v>
      </c>
      <c r="D202" t="s">
        <v>3933</v>
      </c>
      <c r="E202" t="s">
        <v>74</v>
      </c>
      <c r="F202" t="s">
        <v>3934</v>
      </c>
      <c r="G202" t="s">
        <v>74</v>
      </c>
      <c r="H202" t="s">
        <v>74</v>
      </c>
      <c r="I202" t="s">
        <v>3935</v>
      </c>
      <c r="J202" t="s">
        <v>3936</v>
      </c>
      <c r="K202" t="s">
        <v>3937</v>
      </c>
      <c r="L202" t="s">
        <v>74</v>
      </c>
      <c r="M202" t="s">
        <v>78</v>
      </c>
      <c r="N202" t="s">
        <v>3231</v>
      </c>
      <c r="O202" t="s">
        <v>3938</v>
      </c>
      <c r="P202" t="s">
        <v>3939</v>
      </c>
      <c r="Q202" t="s">
        <v>3940</v>
      </c>
      <c r="R202" t="s">
        <v>74</v>
      </c>
      <c r="S202" t="s">
        <v>74</v>
      </c>
      <c r="T202" t="s">
        <v>74</v>
      </c>
      <c r="U202" t="s">
        <v>3941</v>
      </c>
      <c r="V202" t="s">
        <v>3942</v>
      </c>
      <c r="W202" t="s">
        <v>3943</v>
      </c>
      <c r="X202" t="s">
        <v>3944</v>
      </c>
      <c r="Y202" t="s">
        <v>3945</v>
      </c>
      <c r="Z202" t="s">
        <v>3946</v>
      </c>
      <c r="AA202" t="s">
        <v>3947</v>
      </c>
      <c r="AB202" t="s">
        <v>3948</v>
      </c>
      <c r="AC202" t="s">
        <v>3949</v>
      </c>
      <c r="AD202" t="s">
        <v>3950</v>
      </c>
      <c r="AE202" t="s">
        <v>3951</v>
      </c>
      <c r="AF202" t="s">
        <v>74</v>
      </c>
      <c r="AG202">
        <v>10</v>
      </c>
      <c r="AH202">
        <v>1</v>
      </c>
      <c r="AI202">
        <v>1</v>
      </c>
      <c r="AJ202">
        <v>0</v>
      </c>
      <c r="AK202">
        <v>3</v>
      </c>
      <c r="AL202" t="s">
        <v>3952</v>
      </c>
      <c r="AM202" t="s">
        <v>3953</v>
      </c>
      <c r="AN202" t="s">
        <v>3954</v>
      </c>
      <c r="AO202" t="s">
        <v>3955</v>
      </c>
      <c r="AP202" t="s">
        <v>74</v>
      </c>
      <c r="AQ202" t="s">
        <v>3956</v>
      </c>
      <c r="AR202" t="s">
        <v>3957</v>
      </c>
      <c r="AS202" t="s">
        <v>74</v>
      </c>
      <c r="AT202" t="s">
        <v>74</v>
      </c>
      <c r="AU202">
        <v>2013</v>
      </c>
      <c r="AV202">
        <v>34</v>
      </c>
      <c r="AW202" t="s">
        <v>74</v>
      </c>
      <c r="AX202" t="s">
        <v>74</v>
      </c>
      <c r="AY202" t="s">
        <v>74</v>
      </c>
      <c r="AZ202" t="s">
        <v>74</v>
      </c>
      <c r="BA202" t="s">
        <v>74</v>
      </c>
      <c r="BB202">
        <v>85</v>
      </c>
      <c r="BC202">
        <v>90</v>
      </c>
      <c r="BD202" t="s">
        <v>74</v>
      </c>
      <c r="BE202" t="s">
        <v>3958</v>
      </c>
      <c r="BF202" t="str">
        <f>HYPERLINK("http://dx.doi.org/10.3303/CET1334015","http://dx.doi.org/10.3303/CET1334015")</f>
        <v>http://dx.doi.org/10.3303/CET1334015</v>
      </c>
      <c r="BG202" t="s">
        <v>74</v>
      </c>
      <c r="BH202" t="s">
        <v>74</v>
      </c>
      <c r="BI202">
        <v>6</v>
      </c>
      <c r="BJ202" t="s">
        <v>3959</v>
      </c>
      <c r="BK202" t="s">
        <v>3247</v>
      </c>
      <c r="BL202" t="s">
        <v>3960</v>
      </c>
      <c r="BM202" t="s">
        <v>3961</v>
      </c>
      <c r="BN202" t="s">
        <v>74</v>
      </c>
      <c r="BO202" t="s">
        <v>74</v>
      </c>
      <c r="BP202" t="s">
        <v>74</v>
      </c>
      <c r="BQ202" t="s">
        <v>74</v>
      </c>
      <c r="BR202" t="s">
        <v>105</v>
      </c>
      <c r="BS202" t="s">
        <v>3962</v>
      </c>
      <c r="BT202" t="str">
        <f>HYPERLINK("https%3A%2F%2Fwww.webofscience.com%2Fwos%2Fwoscc%2Ffull-record%2FWOS:000337965400015","View Full Record in Web of Science")</f>
        <v>View Full Record in Web of Science</v>
      </c>
    </row>
    <row r="203" spans="1:72" x14ac:dyDescent="0.15">
      <c r="A203" t="s">
        <v>72</v>
      </c>
      <c r="B203" t="s">
        <v>3963</v>
      </c>
      <c r="C203" t="s">
        <v>74</v>
      </c>
      <c r="D203" t="s">
        <v>74</v>
      </c>
      <c r="E203" t="s">
        <v>74</v>
      </c>
      <c r="F203" t="s">
        <v>3964</v>
      </c>
      <c r="G203" t="s">
        <v>74</v>
      </c>
      <c r="H203" t="s">
        <v>74</v>
      </c>
      <c r="I203" t="s">
        <v>3965</v>
      </c>
      <c r="J203" t="s">
        <v>3966</v>
      </c>
      <c r="K203" t="s">
        <v>74</v>
      </c>
      <c r="L203" t="s">
        <v>74</v>
      </c>
      <c r="M203" t="s">
        <v>78</v>
      </c>
      <c r="N203" t="s">
        <v>3967</v>
      </c>
      <c r="O203" t="s">
        <v>3968</v>
      </c>
      <c r="P203" t="s">
        <v>3814</v>
      </c>
      <c r="Q203" t="s">
        <v>3969</v>
      </c>
      <c r="R203" t="s">
        <v>74</v>
      </c>
      <c r="S203" t="s">
        <v>74</v>
      </c>
      <c r="T203" t="s">
        <v>3970</v>
      </c>
      <c r="U203" t="s">
        <v>3971</v>
      </c>
      <c r="V203" t="s">
        <v>3972</v>
      </c>
      <c r="W203" t="s">
        <v>3973</v>
      </c>
      <c r="X203" t="s">
        <v>3974</v>
      </c>
      <c r="Y203" t="s">
        <v>3975</v>
      </c>
      <c r="Z203" t="s">
        <v>3976</v>
      </c>
      <c r="AA203" t="s">
        <v>3977</v>
      </c>
      <c r="AB203" t="s">
        <v>3978</v>
      </c>
      <c r="AC203" t="s">
        <v>3979</v>
      </c>
      <c r="AD203" t="s">
        <v>3980</v>
      </c>
      <c r="AE203" t="s">
        <v>3981</v>
      </c>
      <c r="AF203" t="s">
        <v>74</v>
      </c>
      <c r="AG203">
        <v>17</v>
      </c>
      <c r="AH203">
        <v>13</v>
      </c>
      <c r="AI203">
        <v>15</v>
      </c>
      <c r="AJ203">
        <v>1</v>
      </c>
      <c r="AK203">
        <v>6</v>
      </c>
      <c r="AL203" t="s">
        <v>3982</v>
      </c>
      <c r="AM203" t="s">
        <v>3983</v>
      </c>
      <c r="AN203" t="s">
        <v>3984</v>
      </c>
      <c r="AO203" t="s">
        <v>3985</v>
      </c>
      <c r="AP203" t="s">
        <v>3986</v>
      </c>
      <c r="AQ203" t="s">
        <v>74</v>
      </c>
      <c r="AR203" t="s">
        <v>3987</v>
      </c>
      <c r="AS203" t="s">
        <v>3988</v>
      </c>
      <c r="AT203" t="s">
        <v>74</v>
      </c>
      <c r="AU203">
        <v>2013</v>
      </c>
      <c r="AV203" t="s">
        <v>74</v>
      </c>
      <c r="AW203" t="s">
        <v>74</v>
      </c>
      <c r="AX203">
        <v>2</v>
      </c>
      <c r="AY203" t="s">
        <v>74</v>
      </c>
      <c r="AZ203">
        <v>65</v>
      </c>
      <c r="BA203" t="s">
        <v>74</v>
      </c>
      <c r="BB203">
        <v>2011</v>
      </c>
      <c r="BC203">
        <v>2016</v>
      </c>
      <c r="BD203" t="s">
        <v>74</v>
      </c>
      <c r="BE203" t="s">
        <v>3989</v>
      </c>
      <c r="BF203" t="str">
        <f>HYPERLINK("http://dx.doi.org/10.2112/SI65-340.1","http://dx.doi.org/10.2112/SI65-340.1")</f>
        <v>http://dx.doi.org/10.2112/SI65-340.1</v>
      </c>
      <c r="BG203" t="s">
        <v>74</v>
      </c>
      <c r="BH203" t="s">
        <v>74</v>
      </c>
      <c r="BI203">
        <v>6</v>
      </c>
      <c r="BJ203" t="s">
        <v>823</v>
      </c>
      <c r="BK203" t="s">
        <v>3990</v>
      </c>
      <c r="BL203" t="s">
        <v>824</v>
      </c>
      <c r="BM203" t="s">
        <v>3991</v>
      </c>
      <c r="BN203" t="s">
        <v>74</v>
      </c>
      <c r="BO203" t="s">
        <v>74</v>
      </c>
      <c r="BP203" t="s">
        <v>74</v>
      </c>
      <c r="BQ203" t="s">
        <v>74</v>
      </c>
      <c r="BR203" t="s">
        <v>105</v>
      </c>
      <c r="BS203" t="s">
        <v>3992</v>
      </c>
      <c r="BT203" t="str">
        <f>HYPERLINK("https%3A%2F%2Fwww.webofscience.com%2Fwos%2Fwoscc%2Ffull-record%2FWOS:000337995600158","View Full Record in Web of Science")</f>
        <v>View Full Record in Web of Science</v>
      </c>
    </row>
    <row r="204" spans="1:72" x14ac:dyDescent="0.15">
      <c r="A204" t="s">
        <v>72</v>
      </c>
      <c r="B204" t="s">
        <v>3993</v>
      </c>
      <c r="C204" t="s">
        <v>74</v>
      </c>
      <c r="D204" t="s">
        <v>74</v>
      </c>
      <c r="E204" t="s">
        <v>74</v>
      </c>
      <c r="F204" t="s">
        <v>3994</v>
      </c>
      <c r="G204" t="s">
        <v>74</v>
      </c>
      <c r="H204" t="s">
        <v>74</v>
      </c>
      <c r="I204" t="s">
        <v>3995</v>
      </c>
      <c r="J204" t="s">
        <v>3966</v>
      </c>
      <c r="K204" t="s">
        <v>74</v>
      </c>
      <c r="L204" t="s">
        <v>74</v>
      </c>
      <c r="M204" t="s">
        <v>78</v>
      </c>
      <c r="N204" t="s">
        <v>3967</v>
      </c>
      <c r="O204" t="s">
        <v>3968</v>
      </c>
      <c r="P204" t="s">
        <v>3814</v>
      </c>
      <c r="Q204" t="s">
        <v>3969</v>
      </c>
      <c r="R204" t="s">
        <v>74</v>
      </c>
      <c r="S204" t="s">
        <v>74</v>
      </c>
      <c r="T204" t="s">
        <v>3996</v>
      </c>
      <c r="U204" t="s">
        <v>3997</v>
      </c>
      <c r="V204" t="s">
        <v>3998</v>
      </c>
      <c r="W204" t="s">
        <v>3999</v>
      </c>
      <c r="X204" t="s">
        <v>4000</v>
      </c>
      <c r="Y204" t="s">
        <v>4001</v>
      </c>
      <c r="Z204" t="s">
        <v>4002</v>
      </c>
      <c r="AA204" t="s">
        <v>4003</v>
      </c>
      <c r="AB204" t="s">
        <v>74</v>
      </c>
      <c r="AC204" t="s">
        <v>74</v>
      </c>
      <c r="AD204" t="s">
        <v>74</v>
      </c>
      <c r="AE204" t="s">
        <v>74</v>
      </c>
      <c r="AF204" t="s">
        <v>74</v>
      </c>
      <c r="AG204">
        <v>16</v>
      </c>
      <c r="AH204">
        <v>1</v>
      </c>
      <c r="AI204">
        <v>1</v>
      </c>
      <c r="AJ204">
        <v>2</v>
      </c>
      <c r="AK204">
        <v>14</v>
      </c>
      <c r="AL204" t="s">
        <v>3982</v>
      </c>
      <c r="AM204" t="s">
        <v>4004</v>
      </c>
      <c r="AN204" t="s">
        <v>4005</v>
      </c>
      <c r="AO204" t="s">
        <v>3985</v>
      </c>
      <c r="AP204" t="s">
        <v>3986</v>
      </c>
      <c r="AQ204" t="s">
        <v>74</v>
      </c>
      <c r="AR204" t="s">
        <v>3987</v>
      </c>
      <c r="AS204" t="s">
        <v>3988</v>
      </c>
      <c r="AT204" t="s">
        <v>74</v>
      </c>
      <c r="AU204">
        <v>2013</v>
      </c>
      <c r="AV204" t="s">
        <v>74</v>
      </c>
      <c r="AW204" t="s">
        <v>74</v>
      </c>
      <c r="AX204">
        <v>2</v>
      </c>
      <c r="AY204" t="s">
        <v>74</v>
      </c>
      <c r="AZ204">
        <v>65</v>
      </c>
      <c r="BA204" t="s">
        <v>74</v>
      </c>
      <c r="BB204">
        <v>2101</v>
      </c>
      <c r="BC204">
        <v>2106</v>
      </c>
      <c r="BD204" t="s">
        <v>74</v>
      </c>
      <c r="BE204" t="s">
        <v>4006</v>
      </c>
      <c r="BF204" t="str">
        <f>HYPERLINK("http://dx.doi.org/10.2112/SI65-355.1","http://dx.doi.org/10.2112/SI65-355.1")</f>
        <v>http://dx.doi.org/10.2112/SI65-355.1</v>
      </c>
      <c r="BG204" t="s">
        <v>74</v>
      </c>
      <c r="BH204" t="s">
        <v>74</v>
      </c>
      <c r="BI204">
        <v>6</v>
      </c>
      <c r="BJ204" t="s">
        <v>823</v>
      </c>
      <c r="BK204" t="s">
        <v>3990</v>
      </c>
      <c r="BL204" t="s">
        <v>824</v>
      </c>
      <c r="BM204" t="s">
        <v>3991</v>
      </c>
      <c r="BN204" t="s">
        <v>74</v>
      </c>
      <c r="BO204" t="s">
        <v>74</v>
      </c>
      <c r="BP204" t="s">
        <v>74</v>
      </c>
      <c r="BQ204" t="s">
        <v>74</v>
      </c>
      <c r="BR204" t="s">
        <v>105</v>
      </c>
      <c r="BS204" t="s">
        <v>4007</v>
      </c>
      <c r="BT204" t="str">
        <f>HYPERLINK("https%3A%2F%2Fwww.webofscience.com%2Fwos%2Fwoscc%2Ffull-record%2FWOS:000337995600173","View Full Record in Web of Science")</f>
        <v>View Full Record in Web of Science</v>
      </c>
    </row>
    <row r="205" spans="1:72" x14ac:dyDescent="0.15">
      <c r="A205" t="s">
        <v>3224</v>
      </c>
      <c r="B205" t="s">
        <v>4008</v>
      </c>
      <c r="C205" t="s">
        <v>74</v>
      </c>
      <c r="D205" t="s">
        <v>74</v>
      </c>
      <c r="E205" t="s">
        <v>3226</v>
      </c>
      <c r="F205" t="s">
        <v>4009</v>
      </c>
      <c r="G205" t="s">
        <v>74</v>
      </c>
      <c r="H205" t="s">
        <v>74</v>
      </c>
      <c r="I205" t="s">
        <v>4010</v>
      </c>
      <c r="J205" t="s">
        <v>4011</v>
      </c>
      <c r="K205" t="s">
        <v>4012</v>
      </c>
      <c r="L205" t="s">
        <v>74</v>
      </c>
      <c r="M205" t="s">
        <v>78</v>
      </c>
      <c r="N205" t="s">
        <v>3231</v>
      </c>
      <c r="O205" t="s">
        <v>4013</v>
      </c>
      <c r="P205" t="s">
        <v>4014</v>
      </c>
      <c r="Q205" t="s">
        <v>4015</v>
      </c>
      <c r="R205" t="s">
        <v>74</v>
      </c>
      <c r="S205" t="s">
        <v>74</v>
      </c>
      <c r="T205" t="s">
        <v>74</v>
      </c>
      <c r="U205" t="s">
        <v>4016</v>
      </c>
      <c r="V205" t="s">
        <v>4017</v>
      </c>
      <c r="W205" t="s">
        <v>4018</v>
      </c>
      <c r="X205" t="s">
        <v>74</v>
      </c>
      <c r="Y205" t="s">
        <v>4019</v>
      </c>
      <c r="Z205" t="s">
        <v>4020</v>
      </c>
      <c r="AA205" t="s">
        <v>4021</v>
      </c>
      <c r="AB205" t="s">
        <v>74</v>
      </c>
      <c r="AC205" t="s">
        <v>4022</v>
      </c>
      <c r="AD205" t="s">
        <v>4023</v>
      </c>
      <c r="AE205" t="s">
        <v>4024</v>
      </c>
      <c r="AF205" t="s">
        <v>74</v>
      </c>
      <c r="AG205">
        <v>9</v>
      </c>
      <c r="AH205">
        <v>6</v>
      </c>
      <c r="AI205">
        <v>6</v>
      </c>
      <c r="AJ205">
        <v>3</v>
      </c>
      <c r="AK205">
        <v>11</v>
      </c>
      <c r="AL205" t="s">
        <v>3226</v>
      </c>
      <c r="AM205" t="s">
        <v>296</v>
      </c>
      <c r="AN205" t="s">
        <v>3244</v>
      </c>
      <c r="AO205" t="s">
        <v>4025</v>
      </c>
      <c r="AP205" t="s">
        <v>74</v>
      </c>
      <c r="AQ205" t="s">
        <v>4026</v>
      </c>
      <c r="AR205" t="s">
        <v>4012</v>
      </c>
      <c r="AS205" t="s">
        <v>74</v>
      </c>
      <c r="AT205" t="s">
        <v>74</v>
      </c>
      <c r="AU205">
        <v>2013</v>
      </c>
      <c r="AV205" t="s">
        <v>74</v>
      </c>
      <c r="AW205" t="s">
        <v>74</v>
      </c>
      <c r="AX205" t="s">
        <v>74</v>
      </c>
      <c r="AY205" t="s">
        <v>74</v>
      </c>
      <c r="AZ205" t="s">
        <v>74</v>
      </c>
      <c r="BA205" t="s">
        <v>74</v>
      </c>
      <c r="BB205" t="s">
        <v>74</v>
      </c>
      <c r="BC205" t="s">
        <v>74</v>
      </c>
      <c r="BD205" t="s">
        <v>74</v>
      </c>
      <c r="BE205" t="s">
        <v>74</v>
      </c>
      <c r="BF205" t="s">
        <v>74</v>
      </c>
      <c r="BG205" t="s">
        <v>74</v>
      </c>
      <c r="BH205" t="s">
        <v>74</v>
      </c>
      <c r="BI205">
        <v>6</v>
      </c>
      <c r="BJ205" t="s">
        <v>4027</v>
      </c>
      <c r="BK205" t="s">
        <v>3247</v>
      </c>
      <c r="BL205" t="s">
        <v>4028</v>
      </c>
      <c r="BM205" t="s">
        <v>4029</v>
      </c>
      <c r="BN205" t="s">
        <v>74</v>
      </c>
      <c r="BO205" t="s">
        <v>74</v>
      </c>
      <c r="BP205" t="s">
        <v>74</v>
      </c>
      <c r="BQ205" t="s">
        <v>74</v>
      </c>
      <c r="BR205" t="s">
        <v>105</v>
      </c>
      <c r="BS205" t="s">
        <v>4030</v>
      </c>
      <c r="BT205" t="str">
        <f>HYPERLINK("https%3A%2F%2Fwww.webofscience.com%2Fwos%2Fwoscc%2Ffull-record%2FWOS:000335313100037","View Full Record in Web of Science")</f>
        <v>View Full Record in Web of Science</v>
      </c>
    </row>
    <row r="206" spans="1:72" x14ac:dyDescent="0.15">
      <c r="A206" t="s">
        <v>3224</v>
      </c>
      <c r="B206" t="s">
        <v>4031</v>
      </c>
      <c r="C206" t="s">
        <v>74</v>
      </c>
      <c r="D206" t="s">
        <v>4032</v>
      </c>
      <c r="E206" t="s">
        <v>74</v>
      </c>
      <c r="F206" t="s">
        <v>4033</v>
      </c>
      <c r="G206" t="s">
        <v>74</v>
      </c>
      <c r="H206" t="s">
        <v>74</v>
      </c>
      <c r="I206" t="s">
        <v>4034</v>
      </c>
      <c r="J206" t="s">
        <v>4035</v>
      </c>
      <c r="K206" t="s">
        <v>4036</v>
      </c>
      <c r="L206" t="s">
        <v>74</v>
      </c>
      <c r="M206" t="s">
        <v>78</v>
      </c>
      <c r="N206" t="s">
        <v>3231</v>
      </c>
      <c r="O206" t="s">
        <v>4037</v>
      </c>
      <c r="P206" t="s">
        <v>4038</v>
      </c>
      <c r="Q206" t="s">
        <v>4039</v>
      </c>
      <c r="R206" t="s">
        <v>74</v>
      </c>
      <c r="S206" t="s">
        <v>4040</v>
      </c>
      <c r="T206" t="s">
        <v>4041</v>
      </c>
      <c r="U206" t="s">
        <v>4042</v>
      </c>
      <c r="V206" t="s">
        <v>4043</v>
      </c>
      <c r="W206" t="s">
        <v>4044</v>
      </c>
      <c r="X206" t="s">
        <v>4045</v>
      </c>
      <c r="Y206" t="s">
        <v>4046</v>
      </c>
      <c r="Z206" t="s">
        <v>4047</v>
      </c>
      <c r="AA206" t="s">
        <v>4048</v>
      </c>
      <c r="AB206" t="s">
        <v>4049</v>
      </c>
      <c r="AC206" t="s">
        <v>4050</v>
      </c>
      <c r="AD206" t="s">
        <v>4051</v>
      </c>
      <c r="AE206" t="s">
        <v>4052</v>
      </c>
      <c r="AF206" t="s">
        <v>74</v>
      </c>
      <c r="AG206">
        <v>30</v>
      </c>
      <c r="AH206">
        <v>17</v>
      </c>
      <c r="AI206">
        <v>18</v>
      </c>
      <c r="AJ206">
        <v>0</v>
      </c>
      <c r="AK206">
        <v>28</v>
      </c>
      <c r="AL206" t="s">
        <v>541</v>
      </c>
      <c r="AM206" t="s">
        <v>542</v>
      </c>
      <c r="AN206" t="s">
        <v>4053</v>
      </c>
      <c r="AO206" t="s">
        <v>4054</v>
      </c>
      <c r="AP206" t="s">
        <v>74</v>
      </c>
      <c r="AQ206" t="s">
        <v>74</v>
      </c>
      <c r="AR206" t="s">
        <v>4055</v>
      </c>
      <c r="AS206" t="s">
        <v>74</v>
      </c>
      <c r="AT206" t="s">
        <v>74</v>
      </c>
      <c r="AU206">
        <v>2013</v>
      </c>
      <c r="AV206">
        <v>105</v>
      </c>
      <c r="AW206" t="s">
        <v>74</v>
      </c>
      <c r="AX206" t="s">
        <v>74</v>
      </c>
      <c r="AY206" t="s">
        <v>74</v>
      </c>
      <c r="AZ206" t="s">
        <v>74</v>
      </c>
      <c r="BA206" t="s">
        <v>74</v>
      </c>
      <c r="BB206">
        <v>781</v>
      </c>
      <c r="BC206">
        <v>791</v>
      </c>
      <c r="BD206" t="s">
        <v>74</v>
      </c>
      <c r="BE206" t="s">
        <v>4056</v>
      </c>
      <c r="BF206" t="str">
        <f>HYPERLINK("http://dx.doi.org/10.1016/j.sbspro.2013.11.081","http://dx.doi.org/10.1016/j.sbspro.2013.11.081")</f>
        <v>http://dx.doi.org/10.1016/j.sbspro.2013.11.081</v>
      </c>
      <c r="BG206" t="s">
        <v>74</v>
      </c>
      <c r="BH206" t="s">
        <v>74</v>
      </c>
      <c r="BI206">
        <v>11</v>
      </c>
      <c r="BJ206" t="s">
        <v>4057</v>
      </c>
      <c r="BK206" t="s">
        <v>4058</v>
      </c>
      <c r="BL206" t="s">
        <v>4059</v>
      </c>
      <c r="BM206" t="s">
        <v>4060</v>
      </c>
      <c r="BN206" t="s">
        <v>74</v>
      </c>
      <c r="BO206" t="s">
        <v>1719</v>
      </c>
      <c r="BP206" t="s">
        <v>74</v>
      </c>
      <c r="BQ206" t="s">
        <v>74</v>
      </c>
      <c r="BR206" t="s">
        <v>105</v>
      </c>
      <c r="BS206" t="s">
        <v>4061</v>
      </c>
      <c r="BT206" t="str">
        <f>HYPERLINK("https%3A%2F%2Fwww.webofscience.com%2Fwos%2Fwoscc%2Ffull-record%2FWOS:000335888400080","View Full Record in Web of Science")</f>
        <v>View Full Record in Web of Science</v>
      </c>
    </row>
    <row r="207" spans="1:72" x14ac:dyDescent="0.15">
      <c r="A207" t="s">
        <v>72</v>
      </c>
      <c r="B207" t="s">
        <v>4062</v>
      </c>
      <c r="C207" t="s">
        <v>74</v>
      </c>
      <c r="D207" t="s">
        <v>74</v>
      </c>
      <c r="E207" t="s">
        <v>74</v>
      </c>
      <c r="F207" t="s">
        <v>4063</v>
      </c>
      <c r="G207" t="s">
        <v>74</v>
      </c>
      <c r="H207" t="s">
        <v>74</v>
      </c>
      <c r="I207" t="s">
        <v>4064</v>
      </c>
      <c r="J207" t="s">
        <v>4065</v>
      </c>
      <c r="K207" t="s">
        <v>74</v>
      </c>
      <c r="L207" t="s">
        <v>74</v>
      </c>
      <c r="M207" t="s">
        <v>78</v>
      </c>
      <c r="N207" t="s">
        <v>79</v>
      </c>
      <c r="O207" t="s">
        <v>74</v>
      </c>
      <c r="P207" t="s">
        <v>74</v>
      </c>
      <c r="Q207" t="s">
        <v>74</v>
      </c>
      <c r="R207" t="s">
        <v>74</v>
      </c>
      <c r="S207" t="s">
        <v>74</v>
      </c>
      <c r="T207" t="s">
        <v>4066</v>
      </c>
      <c r="U207" t="s">
        <v>4067</v>
      </c>
      <c r="V207" t="s">
        <v>4068</v>
      </c>
      <c r="W207" t="s">
        <v>4069</v>
      </c>
      <c r="X207" t="s">
        <v>4070</v>
      </c>
      <c r="Y207" t="s">
        <v>4071</v>
      </c>
      <c r="Z207" t="s">
        <v>4072</v>
      </c>
      <c r="AA207" t="s">
        <v>4073</v>
      </c>
      <c r="AB207" t="s">
        <v>4074</v>
      </c>
      <c r="AC207" t="s">
        <v>74</v>
      </c>
      <c r="AD207" t="s">
        <v>74</v>
      </c>
      <c r="AE207" t="s">
        <v>74</v>
      </c>
      <c r="AF207" t="s">
        <v>74</v>
      </c>
      <c r="AG207">
        <v>24</v>
      </c>
      <c r="AH207">
        <v>5</v>
      </c>
      <c r="AI207">
        <v>5</v>
      </c>
      <c r="AJ207">
        <v>0</v>
      </c>
      <c r="AK207">
        <v>6</v>
      </c>
      <c r="AL207" t="s">
        <v>4075</v>
      </c>
      <c r="AM207" t="s">
        <v>4076</v>
      </c>
      <c r="AN207" t="s">
        <v>4077</v>
      </c>
      <c r="AO207" t="s">
        <v>4078</v>
      </c>
      <c r="AP207" t="s">
        <v>74</v>
      </c>
      <c r="AQ207" t="s">
        <v>74</v>
      </c>
      <c r="AR207" t="s">
        <v>4079</v>
      </c>
      <c r="AS207" t="s">
        <v>4080</v>
      </c>
      <c r="AT207" t="s">
        <v>74</v>
      </c>
      <c r="AU207">
        <v>2013</v>
      </c>
      <c r="AV207">
        <v>14</v>
      </c>
      <c r="AW207">
        <v>4</v>
      </c>
      <c r="AX207" t="s">
        <v>74</v>
      </c>
      <c r="AY207" t="s">
        <v>74</v>
      </c>
      <c r="AZ207" t="s">
        <v>74</v>
      </c>
      <c r="BA207" t="s">
        <v>74</v>
      </c>
      <c r="BB207">
        <v>1673</v>
      </c>
      <c r="BC207">
        <v>1679</v>
      </c>
      <c r="BD207" t="s">
        <v>74</v>
      </c>
      <c r="BE207" t="s">
        <v>74</v>
      </c>
      <c r="BF207" t="s">
        <v>74</v>
      </c>
      <c r="BG207" t="s">
        <v>74</v>
      </c>
      <c r="BH207" t="s">
        <v>74</v>
      </c>
      <c r="BI207">
        <v>7</v>
      </c>
      <c r="BJ207" t="s">
        <v>454</v>
      </c>
      <c r="BK207" t="s">
        <v>102</v>
      </c>
      <c r="BL207" t="s">
        <v>455</v>
      </c>
      <c r="BM207" t="s">
        <v>4081</v>
      </c>
      <c r="BN207" t="s">
        <v>74</v>
      </c>
      <c r="BO207" t="s">
        <v>74</v>
      </c>
      <c r="BP207" t="s">
        <v>74</v>
      </c>
      <c r="BQ207" t="s">
        <v>74</v>
      </c>
      <c r="BR207" t="s">
        <v>105</v>
      </c>
      <c r="BS207" t="s">
        <v>4082</v>
      </c>
      <c r="BT207" t="str">
        <f>HYPERLINK("https%3A%2F%2Fwww.webofscience.com%2Fwos%2Fwoscc%2Ffull-record%2FWOS:000336189800023","View Full Record in Web of Science")</f>
        <v>View Full Record in Web of Science</v>
      </c>
    </row>
    <row r="208" spans="1:72" x14ac:dyDescent="0.15">
      <c r="A208" t="s">
        <v>3224</v>
      </c>
      <c r="B208" t="s">
        <v>4083</v>
      </c>
      <c r="C208" t="s">
        <v>74</v>
      </c>
      <c r="D208" t="s">
        <v>4084</v>
      </c>
      <c r="E208" t="s">
        <v>74</v>
      </c>
      <c r="F208" t="s">
        <v>4085</v>
      </c>
      <c r="G208" t="s">
        <v>74</v>
      </c>
      <c r="H208" t="s">
        <v>74</v>
      </c>
      <c r="I208" t="s">
        <v>4086</v>
      </c>
      <c r="J208" t="s">
        <v>4087</v>
      </c>
      <c r="K208" t="s">
        <v>4088</v>
      </c>
      <c r="L208" t="s">
        <v>74</v>
      </c>
      <c r="M208" t="s">
        <v>78</v>
      </c>
      <c r="N208" t="s">
        <v>3231</v>
      </c>
      <c r="O208" t="s">
        <v>4089</v>
      </c>
      <c r="P208" t="s">
        <v>4090</v>
      </c>
      <c r="Q208" t="s">
        <v>4091</v>
      </c>
      <c r="R208" t="s">
        <v>74</v>
      </c>
      <c r="S208" t="s">
        <v>74</v>
      </c>
      <c r="T208" t="s">
        <v>4092</v>
      </c>
      <c r="U208" t="s">
        <v>74</v>
      </c>
      <c r="V208" t="s">
        <v>4093</v>
      </c>
      <c r="W208" t="s">
        <v>4094</v>
      </c>
      <c r="X208" t="s">
        <v>4095</v>
      </c>
      <c r="Y208" t="s">
        <v>4096</v>
      </c>
      <c r="Z208" t="s">
        <v>4097</v>
      </c>
      <c r="AA208" t="s">
        <v>4098</v>
      </c>
      <c r="AB208" t="s">
        <v>74</v>
      </c>
      <c r="AC208" t="s">
        <v>74</v>
      </c>
      <c r="AD208" t="s">
        <v>74</v>
      </c>
      <c r="AE208" t="s">
        <v>74</v>
      </c>
      <c r="AF208" t="s">
        <v>74</v>
      </c>
      <c r="AG208">
        <v>5</v>
      </c>
      <c r="AH208">
        <v>0</v>
      </c>
      <c r="AI208">
        <v>0</v>
      </c>
      <c r="AJ208">
        <v>1</v>
      </c>
      <c r="AK208">
        <v>3</v>
      </c>
      <c r="AL208" t="s">
        <v>3899</v>
      </c>
      <c r="AM208" t="s">
        <v>4099</v>
      </c>
      <c r="AN208" t="s">
        <v>4100</v>
      </c>
      <c r="AO208" t="s">
        <v>4101</v>
      </c>
      <c r="AP208" t="s">
        <v>74</v>
      </c>
      <c r="AQ208" t="s">
        <v>4102</v>
      </c>
      <c r="AR208" t="s">
        <v>4103</v>
      </c>
      <c r="AS208" t="s">
        <v>74</v>
      </c>
      <c r="AT208" t="s">
        <v>74</v>
      </c>
      <c r="AU208">
        <v>2013</v>
      </c>
      <c r="AV208">
        <v>744</v>
      </c>
      <c r="AW208" t="s">
        <v>74</v>
      </c>
      <c r="AX208" t="s">
        <v>74</v>
      </c>
      <c r="AY208" t="s">
        <v>74</v>
      </c>
      <c r="AZ208" t="s">
        <v>74</v>
      </c>
      <c r="BA208" t="s">
        <v>74</v>
      </c>
      <c r="BB208">
        <v>511</v>
      </c>
      <c r="BC208">
        <v>516</v>
      </c>
      <c r="BD208" t="s">
        <v>74</v>
      </c>
      <c r="BE208" t="s">
        <v>4104</v>
      </c>
      <c r="BF208" t="str">
        <f>HYPERLINK("http://dx.doi.org/10.4028/www.scientific.net/AMR.744.511","http://dx.doi.org/10.4028/www.scientific.net/AMR.744.511")</f>
        <v>http://dx.doi.org/10.4028/www.scientific.net/AMR.744.511</v>
      </c>
      <c r="BG208" t="s">
        <v>74</v>
      </c>
      <c r="BH208" t="s">
        <v>74</v>
      </c>
      <c r="BI208">
        <v>6</v>
      </c>
      <c r="BJ208" t="s">
        <v>4105</v>
      </c>
      <c r="BK208" t="s">
        <v>3247</v>
      </c>
      <c r="BL208" t="s">
        <v>4106</v>
      </c>
      <c r="BM208" t="s">
        <v>4107</v>
      </c>
      <c r="BN208" t="s">
        <v>74</v>
      </c>
      <c r="BO208" t="s">
        <v>74</v>
      </c>
      <c r="BP208" t="s">
        <v>74</v>
      </c>
      <c r="BQ208" t="s">
        <v>74</v>
      </c>
      <c r="BR208" t="s">
        <v>105</v>
      </c>
      <c r="BS208" t="s">
        <v>4108</v>
      </c>
      <c r="BT208" t="str">
        <f>HYPERLINK("https%3A%2F%2Fwww.webofscience.com%2Fwos%2Fwoscc%2Ffull-record%2FWOS:000335721300110","View Full Record in Web of Science")</f>
        <v>View Full Record in Web of Science</v>
      </c>
    </row>
    <row r="209" spans="1:72" x14ac:dyDescent="0.15">
      <c r="A209" t="s">
        <v>72</v>
      </c>
      <c r="B209" t="s">
        <v>4109</v>
      </c>
      <c r="C209" t="s">
        <v>74</v>
      </c>
      <c r="D209" t="s">
        <v>74</v>
      </c>
      <c r="E209" t="s">
        <v>74</v>
      </c>
      <c r="F209" t="s">
        <v>4110</v>
      </c>
      <c r="G209" t="s">
        <v>74</v>
      </c>
      <c r="H209" t="s">
        <v>74</v>
      </c>
      <c r="I209" t="s">
        <v>4111</v>
      </c>
      <c r="J209" t="s">
        <v>4112</v>
      </c>
      <c r="K209" t="s">
        <v>74</v>
      </c>
      <c r="L209" t="s">
        <v>74</v>
      </c>
      <c r="M209" t="s">
        <v>78</v>
      </c>
      <c r="N209" t="s">
        <v>79</v>
      </c>
      <c r="O209" t="s">
        <v>74</v>
      </c>
      <c r="P209" t="s">
        <v>74</v>
      </c>
      <c r="Q209" t="s">
        <v>74</v>
      </c>
      <c r="R209" t="s">
        <v>74</v>
      </c>
      <c r="S209" t="s">
        <v>74</v>
      </c>
      <c r="T209" t="s">
        <v>74</v>
      </c>
      <c r="U209" t="s">
        <v>4113</v>
      </c>
      <c r="V209" t="s">
        <v>4114</v>
      </c>
      <c r="W209" t="s">
        <v>4115</v>
      </c>
      <c r="X209" t="s">
        <v>4116</v>
      </c>
      <c r="Y209" t="s">
        <v>4117</v>
      </c>
      <c r="Z209" t="s">
        <v>4118</v>
      </c>
      <c r="AA209" t="s">
        <v>4119</v>
      </c>
      <c r="AB209" t="s">
        <v>4120</v>
      </c>
      <c r="AC209" t="s">
        <v>4121</v>
      </c>
      <c r="AD209" t="s">
        <v>4121</v>
      </c>
      <c r="AE209" t="s">
        <v>4122</v>
      </c>
      <c r="AF209" t="s">
        <v>74</v>
      </c>
      <c r="AG209">
        <v>24</v>
      </c>
      <c r="AH209">
        <v>15</v>
      </c>
      <c r="AI209">
        <v>15</v>
      </c>
      <c r="AJ209">
        <v>0</v>
      </c>
      <c r="AK209">
        <v>6</v>
      </c>
      <c r="AL209" t="s">
        <v>4123</v>
      </c>
      <c r="AM209" t="s">
        <v>4124</v>
      </c>
      <c r="AN209" t="s">
        <v>4125</v>
      </c>
      <c r="AO209" t="s">
        <v>4126</v>
      </c>
      <c r="AP209" t="s">
        <v>4127</v>
      </c>
      <c r="AQ209" t="s">
        <v>74</v>
      </c>
      <c r="AR209" t="s">
        <v>4128</v>
      </c>
      <c r="AS209" t="s">
        <v>4129</v>
      </c>
      <c r="AT209" t="s">
        <v>74</v>
      </c>
      <c r="AU209">
        <v>2013</v>
      </c>
      <c r="AV209">
        <v>56</v>
      </c>
      <c r="AW209">
        <v>5</v>
      </c>
      <c r="AX209" t="s">
        <v>74</v>
      </c>
      <c r="AY209" t="s">
        <v>74</v>
      </c>
      <c r="AZ209" t="s">
        <v>74</v>
      </c>
      <c r="BA209" t="s">
        <v>74</v>
      </c>
      <c r="BB209" t="s">
        <v>74</v>
      </c>
      <c r="BC209" t="s">
        <v>74</v>
      </c>
      <c r="BD209" t="s">
        <v>74</v>
      </c>
      <c r="BE209" t="s">
        <v>4130</v>
      </c>
      <c r="BF209" t="str">
        <f>HYPERLINK("http://dx.doi.org/10.4401/ag-6347","http://dx.doi.org/10.4401/ag-6347")</f>
        <v>http://dx.doi.org/10.4401/ag-6347</v>
      </c>
      <c r="BG209" t="s">
        <v>74</v>
      </c>
      <c r="BH209" t="s">
        <v>74</v>
      </c>
      <c r="BI209">
        <v>10</v>
      </c>
      <c r="BJ209" t="s">
        <v>263</v>
      </c>
      <c r="BK209" t="s">
        <v>102</v>
      </c>
      <c r="BL209" t="s">
        <v>263</v>
      </c>
      <c r="BM209" t="s">
        <v>4131</v>
      </c>
      <c r="BN209" t="s">
        <v>74</v>
      </c>
      <c r="BO209" t="s">
        <v>4132</v>
      </c>
      <c r="BP209" t="s">
        <v>74</v>
      </c>
      <c r="BQ209" t="s">
        <v>74</v>
      </c>
      <c r="BR209" t="s">
        <v>105</v>
      </c>
      <c r="BS209" t="s">
        <v>4133</v>
      </c>
      <c r="BT209" t="str">
        <f>HYPERLINK("https%3A%2F%2Fwww.webofscience.com%2Fwos%2Fwoscc%2Ffull-record%2FWOS:000335831700001","View Full Record in Web of Science")</f>
        <v>View Full Record in Web of Science</v>
      </c>
    </row>
    <row r="210" spans="1:72" x14ac:dyDescent="0.15">
      <c r="A210" t="s">
        <v>3251</v>
      </c>
      <c r="B210" t="s">
        <v>4134</v>
      </c>
      <c r="C210" t="s">
        <v>74</v>
      </c>
      <c r="D210" t="s">
        <v>4135</v>
      </c>
      <c r="E210" t="s">
        <v>74</v>
      </c>
      <c r="F210" t="s">
        <v>4136</v>
      </c>
      <c r="G210" t="s">
        <v>74</v>
      </c>
      <c r="H210" t="s">
        <v>74</v>
      </c>
      <c r="I210" t="s">
        <v>4137</v>
      </c>
      <c r="J210" t="s">
        <v>4138</v>
      </c>
      <c r="K210" t="s">
        <v>4139</v>
      </c>
      <c r="L210" t="s">
        <v>74</v>
      </c>
      <c r="M210" t="s">
        <v>78</v>
      </c>
      <c r="N210" t="s">
        <v>3258</v>
      </c>
      <c r="O210" t="s">
        <v>74</v>
      </c>
      <c r="P210" t="s">
        <v>74</v>
      </c>
      <c r="Q210" t="s">
        <v>74</v>
      </c>
      <c r="R210" t="s">
        <v>74</v>
      </c>
      <c r="S210" t="s">
        <v>74</v>
      </c>
      <c r="T210" t="s">
        <v>74</v>
      </c>
      <c r="U210" t="s">
        <v>74</v>
      </c>
      <c r="V210" t="s">
        <v>74</v>
      </c>
      <c r="W210" t="s">
        <v>74</v>
      </c>
      <c r="X210" t="s">
        <v>74</v>
      </c>
      <c r="Y210" t="s">
        <v>74</v>
      </c>
      <c r="Z210" t="s">
        <v>74</v>
      </c>
      <c r="AA210" t="s">
        <v>74</v>
      </c>
      <c r="AB210" t="s">
        <v>74</v>
      </c>
      <c r="AC210" t="s">
        <v>74</v>
      </c>
      <c r="AD210" t="s">
        <v>74</v>
      </c>
      <c r="AE210" t="s">
        <v>74</v>
      </c>
      <c r="AF210" t="s">
        <v>74</v>
      </c>
      <c r="AG210">
        <v>45</v>
      </c>
      <c r="AH210">
        <v>0</v>
      </c>
      <c r="AI210">
        <v>0</v>
      </c>
      <c r="AJ210">
        <v>0</v>
      </c>
      <c r="AK210">
        <v>0</v>
      </c>
      <c r="AL210" t="s">
        <v>4140</v>
      </c>
      <c r="AM210" t="s">
        <v>4141</v>
      </c>
      <c r="AN210" t="s">
        <v>4142</v>
      </c>
      <c r="AO210" t="s">
        <v>74</v>
      </c>
      <c r="AP210" t="s">
        <v>74</v>
      </c>
      <c r="AQ210" t="s">
        <v>4143</v>
      </c>
      <c r="AR210" t="s">
        <v>4144</v>
      </c>
      <c r="AS210" t="s">
        <v>74</v>
      </c>
      <c r="AT210" t="s">
        <v>74</v>
      </c>
      <c r="AU210">
        <v>2013</v>
      </c>
      <c r="AV210" t="s">
        <v>74</v>
      </c>
      <c r="AW210" t="s">
        <v>74</v>
      </c>
      <c r="AX210" t="s">
        <v>74</v>
      </c>
      <c r="AY210" t="s">
        <v>74</v>
      </c>
      <c r="AZ210" t="s">
        <v>74</v>
      </c>
      <c r="BA210" t="s">
        <v>74</v>
      </c>
      <c r="BB210">
        <v>47</v>
      </c>
      <c r="BC210">
        <v>61</v>
      </c>
      <c r="BD210" t="s">
        <v>74</v>
      </c>
      <c r="BE210" t="s">
        <v>74</v>
      </c>
      <c r="BF210" t="s">
        <v>74</v>
      </c>
      <c r="BG210" t="s">
        <v>74</v>
      </c>
      <c r="BH210" t="s">
        <v>74</v>
      </c>
      <c r="BI210">
        <v>15</v>
      </c>
      <c r="BJ210" t="s">
        <v>4145</v>
      </c>
      <c r="BK210" t="s">
        <v>3269</v>
      </c>
      <c r="BL210" t="s">
        <v>4146</v>
      </c>
      <c r="BM210" t="s">
        <v>4147</v>
      </c>
      <c r="BN210" t="s">
        <v>74</v>
      </c>
      <c r="BO210" t="s">
        <v>74</v>
      </c>
      <c r="BP210" t="s">
        <v>74</v>
      </c>
      <c r="BQ210" t="s">
        <v>74</v>
      </c>
      <c r="BR210" t="s">
        <v>105</v>
      </c>
      <c r="BS210" t="s">
        <v>4148</v>
      </c>
      <c r="BT210" t="str">
        <f>HYPERLINK("https%3A%2F%2Fwww.webofscience.com%2Fwos%2Fwoscc%2Ffull-record%2FWOS:000332720100006","View Full Record in Web of Science")</f>
        <v>View Full Record in Web of Science</v>
      </c>
    </row>
    <row r="211" spans="1:72" x14ac:dyDescent="0.15">
      <c r="A211" t="s">
        <v>3251</v>
      </c>
      <c r="B211" t="s">
        <v>4149</v>
      </c>
      <c r="C211" t="s">
        <v>74</v>
      </c>
      <c r="D211" t="s">
        <v>4150</v>
      </c>
      <c r="E211" t="s">
        <v>74</v>
      </c>
      <c r="F211" t="s">
        <v>4151</v>
      </c>
      <c r="G211" t="s">
        <v>74</v>
      </c>
      <c r="H211" t="s">
        <v>74</v>
      </c>
      <c r="I211" t="s">
        <v>4152</v>
      </c>
      <c r="J211" t="s">
        <v>4153</v>
      </c>
      <c r="K211" t="s">
        <v>4154</v>
      </c>
      <c r="L211" t="s">
        <v>74</v>
      </c>
      <c r="M211" t="s">
        <v>78</v>
      </c>
      <c r="N211" t="s">
        <v>3258</v>
      </c>
      <c r="O211" t="s">
        <v>74</v>
      </c>
      <c r="P211" t="s">
        <v>74</v>
      </c>
      <c r="Q211" t="s">
        <v>74</v>
      </c>
      <c r="R211" t="s">
        <v>74</v>
      </c>
      <c r="S211" t="s">
        <v>74</v>
      </c>
      <c r="T211" t="s">
        <v>74</v>
      </c>
      <c r="U211" t="s">
        <v>4155</v>
      </c>
      <c r="V211" t="s">
        <v>4156</v>
      </c>
      <c r="W211" t="s">
        <v>4157</v>
      </c>
      <c r="X211" t="s">
        <v>3239</v>
      </c>
      <c r="Y211" t="s">
        <v>4158</v>
      </c>
      <c r="Z211" t="s">
        <v>4159</v>
      </c>
      <c r="AA211" t="s">
        <v>74</v>
      </c>
      <c r="AB211" t="s">
        <v>74</v>
      </c>
      <c r="AC211" t="s">
        <v>74</v>
      </c>
      <c r="AD211" t="s">
        <v>74</v>
      </c>
      <c r="AE211" t="s">
        <v>74</v>
      </c>
      <c r="AF211" t="s">
        <v>74</v>
      </c>
      <c r="AG211">
        <v>184</v>
      </c>
      <c r="AH211">
        <v>1</v>
      </c>
      <c r="AI211">
        <v>1</v>
      </c>
      <c r="AJ211">
        <v>0</v>
      </c>
      <c r="AK211">
        <v>1</v>
      </c>
      <c r="AL211" t="s">
        <v>3352</v>
      </c>
      <c r="AM211" t="s">
        <v>3353</v>
      </c>
      <c r="AN211" t="s">
        <v>3354</v>
      </c>
      <c r="AO211" t="s">
        <v>74</v>
      </c>
      <c r="AP211" t="s">
        <v>74</v>
      </c>
      <c r="AQ211" t="s">
        <v>4160</v>
      </c>
      <c r="AR211" t="s">
        <v>4161</v>
      </c>
      <c r="AS211" t="s">
        <v>74</v>
      </c>
      <c r="AT211" t="s">
        <v>74</v>
      </c>
      <c r="AU211">
        <v>2013</v>
      </c>
      <c r="AV211" t="s">
        <v>74</v>
      </c>
      <c r="AW211" t="s">
        <v>74</v>
      </c>
      <c r="AX211" t="s">
        <v>74</v>
      </c>
      <c r="AY211" t="s">
        <v>74</v>
      </c>
      <c r="AZ211" t="s">
        <v>74</v>
      </c>
      <c r="BA211" t="s">
        <v>74</v>
      </c>
      <c r="BB211">
        <v>251</v>
      </c>
      <c r="BC211">
        <v>269</v>
      </c>
      <c r="BD211" t="s">
        <v>74</v>
      </c>
      <c r="BE211" t="s">
        <v>74</v>
      </c>
      <c r="BF211" t="s">
        <v>74</v>
      </c>
      <c r="BG211" t="s">
        <v>74</v>
      </c>
      <c r="BH211" t="s">
        <v>74</v>
      </c>
      <c r="BI211">
        <v>19</v>
      </c>
      <c r="BJ211" t="s">
        <v>4162</v>
      </c>
      <c r="BK211" t="s">
        <v>3379</v>
      </c>
      <c r="BL211" t="s">
        <v>4162</v>
      </c>
      <c r="BM211" t="s">
        <v>4163</v>
      </c>
      <c r="BN211" t="s">
        <v>74</v>
      </c>
      <c r="BO211" t="s">
        <v>74</v>
      </c>
      <c r="BP211" t="s">
        <v>74</v>
      </c>
      <c r="BQ211" t="s">
        <v>74</v>
      </c>
      <c r="BR211" t="s">
        <v>105</v>
      </c>
      <c r="BS211" t="s">
        <v>4164</v>
      </c>
      <c r="BT211" t="str">
        <f>HYPERLINK("https%3A%2F%2Fwww.webofscience.com%2Fwos%2Fwoscc%2Ffull-record%2FWOS:000332424200019","View Full Record in Web of Science")</f>
        <v>View Full Record in Web of Science</v>
      </c>
    </row>
    <row r="212" spans="1:72" x14ac:dyDescent="0.15">
      <c r="A212" t="s">
        <v>3224</v>
      </c>
      <c r="B212" t="s">
        <v>4165</v>
      </c>
      <c r="C212" t="s">
        <v>74</v>
      </c>
      <c r="D212" t="s">
        <v>4166</v>
      </c>
      <c r="E212" t="s">
        <v>74</v>
      </c>
      <c r="F212" t="s">
        <v>4167</v>
      </c>
      <c r="G212" t="s">
        <v>74</v>
      </c>
      <c r="H212" t="s">
        <v>74</v>
      </c>
      <c r="I212" t="s">
        <v>4168</v>
      </c>
      <c r="J212" t="s">
        <v>4169</v>
      </c>
      <c r="K212" t="s">
        <v>4088</v>
      </c>
      <c r="L212" t="s">
        <v>74</v>
      </c>
      <c r="M212" t="s">
        <v>78</v>
      </c>
      <c r="N212" t="s">
        <v>3231</v>
      </c>
      <c r="O212" t="s">
        <v>4170</v>
      </c>
      <c r="P212" t="s">
        <v>4171</v>
      </c>
      <c r="Q212" t="s">
        <v>4172</v>
      </c>
      <c r="R212" t="s">
        <v>74</v>
      </c>
      <c r="S212" t="s">
        <v>74</v>
      </c>
      <c r="T212" t="s">
        <v>4173</v>
      </c>
      <c r="U212" t="s">
        <v>74</v>
      </c>
      <c r="V212" t="s">
        <v>4174</v>
      </c>
      <c r="W212" t="s">
        <v>4175</v>
      </c>
      <c r="X212" t="s">
        <v>4176</v>
      </c>
      <c r="Y212" t="s">
        <v>4177</v>
      </c>
      <c r="Z212" t="s">
        <v>4178</v>
      </c>
      <c r="AA212" t="s">
        <v>4179</v>
      </c>
      <c r="AB212" t="s">
        <v>4180</v>
      </c>
      <c r="AC212" t="s">
        <v>74</v>
      </c>
      <c r="AD212" t="s">
        <v>74</v>
      </c>
      <c r="AE212" t="s">
        <v>74</v>
      </c>
      <c r="AF212" t="s">
        <v>74</v>
      </c>
      <c r="AG212">
        <v>7</v>
      </c>
      <c r="AH212">
        <v>1</v>
      </c>
      <c r="AI212">
        <v>1</v>
      </c>
      <c r="AJ212">
        <v>1</v>
      </c>
      <c r="AK212">
        <v>19</v>
      </c>
      <c r="AL212" t="s">
        <v>3899</v>
      </c>
      <c r="AM212" t="s">
        <v>4099</v>
      </c>
      <c r="AN212" t="s">
        <v>4100</v>
      </c>
      <c r="AO212" t="s">
        <v>4101</v>
      </c>
      <c r="AP212" t="s">
        <v>74</v>
      </c>
      <c r="AQ212" t="s">
        <v>4181</v>
      </c>
      <c r="AR212" t="s">
        <v>4103</v>
      </c>
      <c r="AS212" t="s">
        <v>74</v>
      </c>
      <c r="AT212" t="s">
        <v>74</v>
      </c>
      <c r="AU212">
        <v>2013</v>
      </c>
      <c r="AV212">
        <v>813</v>
      </c>
      <c r="AW212" t="s">
        <v>74</v>
      </c>
      <c r="AX212" t="s">
        <v>74</v>
      </c>
      <c r="AY212" t="s">
        <v>74</v>
      </c>
      <c r="AZ212" t="s">
        <v>74</v>
      </c>
      <c r="BA212" t="s">
        <v>74</v>
      </c>
      <c r="BB212">
        <v>377</v>
      </c>
      <c r="BC212">
        <v>381</v>
      </c>
      <c r="BD212" t="s">
        <v>74</v>
      </c>
      <c r="BE212" t="s">
        <v>4182</v>
      </c>
      <c r="BF212" t="str">
        <f>HYPERLINK("http://dx.doi.org/10.4028/www.scientific.net/AMR.813.377","http://dx.doi.org/10.4028/www.scientific.net/AMR.813.377")</f>
        <v>http://dx.doi.org/10.4028/www.scientific.net/AMR.813.377</v>
      </c>
      <c r="BG212" t="s">
        <v>74</v>
      </c>
      <c r="BH212" t="s">
        <v>74</v>
      </c>
      <c r="BI212">
        <v>5</v>
      </c>
      <c r="BJ212" t="s">
        <v>4183</v>
      </c>
      <c r="BK212" t="s">
        <v>3247</v>
      </c>
      <c r="BL212" t="s">
        <v>4184</v>
      </c>
      <c r="BM212" t="s">
        <v>4185</v>
      </c>
      <c r="BN212" t="s">
        <v>74</v>
      </c>
      <c r="BO212" t="s">
        <v>74</v>
      </c>
      <c r="BP212" t="s">
        <v>74</v>
      </c>
      <c r="BQ212" t="s">
        <v>74</v>
      </c>
      <c r="BR212" t="s">
        <v>105</v>
      </c>
      <c r="BS212" t="s">
        <v>4186</v>
      </c>
      <c r="BT212" t="str">
        <f>HYPERLINK("https%3A%2F%2Fwww.webofscience.com%2Fwos%2Fwoscc%2Ffull-record%2FWOS:000334556700079","View Full Record in Web of Science")</f>
        <v>View Full Record in Web of Science</v>
      </c>
    </row>
    <row r="213" spans="1:72" x14ac:dyDescent="0.15">
      <c r="A213" t="s">
        <v>3224</v>
      </c>
      <c r="B213" t="s">
        <v>4187</v>
      </c>
      <c r="C213" t="s">
        <v>74</v>
      </c>
      <c r="D213" t="s">
        <v>74</v>
      </c>
      <c r="E213" t="s">
        <v>3226</v>
      </c>
      <c r="F213" t="s">
        <v>4188</v>
      </c>
      <c r="G213" t="s">
        <v>74</v>
      </c>
      <c r="H213" t="s">
        <v>74</v>
      </c>
      <c r="I213" t="s">
        <v>4189</v>
      </c>
      <c r="J213" t="s">
        <v>4190</v>
      </c>
      <c r="K213" t="s">
        <v>4191</v>
      </c>
      <c r="L213" t="s">
        <v>74</v>
      </c>
      <c r="M213" t="s">
        <v>78</v>
      </c>
      <c r="N213" t="s">
        <v>3231</v>
      </c>
      <c r="O213" t="s">
        <v>4192</v>
      </c>
      <c r="P213" t="s">
        <v>4193</v>
      </c>
      <c r="Q213" t="s">
        <v>4194</v>
      </c>
      <c r="R213" t="s">
        <v>74</v>
      </c>
      <c r="S213" t="s">
        <v>74</v>
      </c>
      <c r="T213" t="s">
        <v>74</v>
      </c>
      <c r="U213" t="s">
        <v>74</v>
      </c>
      <c r="V213" t="s">
        <v>4195</v>
      </c>
      <c r="W213" t="s">
        <v>4196</v>
      </c>
      <c r="X213" t="s">
        <v>4197</v>
      </c>
      <c r="Y213" t="s">
        <v>4198</v>
      </c>
      <c r="Z213" t="s">
        <v>4199</v>
      </c>
      <c r="AA213" t="s">
        <v>74</v>
      </c>
      <c r="AB213" t="s">
        <v>74</v>
      </c>
      <c r="AC213" t="s">
        <v>74</v>
      </c>
      <c r="AD213" t="s">
        <v>74</v>
      </c>
      <c r="AE213" t="s">
        <v>74</v>
      </c>
      <c r="AF213" t="s">
        <v>74</v>
      </c>
      <c r="AG213">
        <v>2</v>
      </c>
      <c r="AH213">
        <v>4</v>
      </c>
      <c r="AI213">
        <v>4</v>
      </c>
      <c r="AJ213">
        <v>0</v>
      </c>
      <c r="AK213">
        <v>4</v>
      </c>
      <c r="AL213" t="s">
        <v>3226</v>
      </c>
      <c r="AM213" t="s">
        <v>296</v>
      </c>
      <c r="AN213" t="s">
        <v>3244</v>
      </c>
      <c r="AO213" t="s">
        <v>4200</v>
      </c>
      <c r="AP213" t="s">
        <v>74</v>
      </c>
      <c r="AQ213" t="s">
        <v>4201</v>
      </c>
      <c r="AR213" t="s">
        <v>4202</v>
      </c>
      <c r="AS213" t="s">
        <v>74</v>
      </c>
      <c r="AT213" t="s">
        <v>74</v>
      </c>
      <c r="AU213">
        <v>2013</v>
      </c>
      <c r="AV213" t="s">
        <v>74</v>
      </c>
      <c r="AW213" t="s">
        <v>74</v>
      </c>
      <c r="AX213" t="s">
        <v>74</v>
      </c>
      <c r="AY213" t="s">
        <v>74</v>
      </c>
      <c r="AZ213" t="s">
        <v>74</v>
      </c>
      <c r="BA213" t="s">
        <v>74</v>
      </c>
      <c r="BB213" t="s">
        <v>74</v>
      </c>
      <c r="BC213" t="s">
        <v>74</v>
      </c>
      <c r="BD213" t="s">
        <v>74</v>
      </c>
      <c r="BE213" t="s">
        <v>74</v>
      </c>
      <c r="BF213" t="s">
        <v>74</v>
      </c>
      <c r="BG213" t="s">
        <v>74</v>
      </c>
      <c r="BH213" t="s">
        <v>74</v>
      </c>
      <c r="BI213">
        <v>4</v>
      </c>
      <c r="BJ213" t="s">
        <v>4203</v>
      </c>
      <c r="BK213" t="s">
        <v>3247</v>
      </c>
      <c r="BL213" t="s">
        <v>4204</v>
      </c>
      <c r="BM213" t="s">
        <v>4205</v>
      </c>
      <c r="BN213" t="s">
        <v>74</v>
      </c>
      <c r="BO213" t="s">
        <v>74</v>
      </c>
      <c r="BP213" t="s">
        <v>74</v>
      </c>
      <c r="BQ213" t="s">
        <v>74</v>
      </c>
      <c r="BR213" t="s">
        <v>105</v>
      </c>
      <c r="BS213" t="s">
        <v>4206</v>
      </c>
      <c r="BT213" t="str">
        <f>HYPERLINK("https%3A%2F%2Fwww.webofscience.com%2Fwos%2Fwoscc%2Ffull-record%2FWOS:000332480800072","View Full Record in Web of Science")</f>
        <v>View Full Record in Web of Science</v>
      </c>
    </row>
    <row r="214" spans="1:72" x14ac:dyDescent="0.15">
      <c r="A214" t="s">
        <v>3224</v>
      </c>
      <c r="B214" t="s">
        <v>4207</v>
      </c>
      <c r="C214" t="s">
        <v>74</v>
      </c>
      <c r="D214" t="s">
        <v>4208</v>
      </c>
      <c r="E214" t="s">
        <v>74</v>
      </c>
      <c r="F214" t="s">
        <v>4209</v>
      </c>
      <c r="G214" t="s">
        <v>74</v>
      </c>
      <c r="H214" t="s">
        <v>74</v>
      </c>
      <c r="I214" t="s">
        <v>4210</v>
      </c>
      <c r="J214" t="s">
        <v>4211</v>
      </c>
      <c r="K214" t="s">
        <v>4212</v>
      </c>
      <c r="L214" t="s">
        <v>74</v>
      </c>
      <c r="M214" t="s">
        <v>78</v>
      </c>
      <c r="N214" t="s">
        <v>3231</v>
      </c>
      <c r="O214" t="s">
        <v>4213</v>
      </c>
      <c r="P214" t="s">
        <v>4214</v>
      </c>
      <c r="Q214" t="s">
        <v>4215</v>
      </c>
      <c r="R214" t="s">
        <v>74</v>
      </c>
      <c r="S214" t="s">
        <v>74</v>
      </c>
      <c r="T214" t="s">
        <v>4216</v>
      </c>
      <c r="U214" t="s">
        <v>4217</v>
      </c>
      <c r="V214" t="s">
        <v>4218</v>
      </c>
      <c r="W214" t="s">
        <v>4219</v>
      </c>
      <c r="X214" t="s">
        <v>4220</v>
      </c>
      <c r="Y214" t="s">
        <v>4221</v>
      </c>
      <c r="Z214" t="s">
        <v>74</v>
      </c>
      <c r="AA214" t="s">
        <v>4222</v>
      </c>
      <c r="AB214" t="s">
        <v>4223</v>
      </c>
      <c r="AC214" t="s">
        <v>74</v>
      </c>
      <c r="AD214" t="s">
        <v>74</v>
      </c>
      <c r="AE214" t="s">
        <v>74</v>
      </c>
      <c r="AF214" t="s">
        <v>74</v>
      </c>
      <c r="AG214">
        <v>7</v>
      </c>
      <c r="AH214">
        <v>0</v>
      </c>
      <c r="AI214">
        <v>0</v>
      </c>
      <c r="AJ214">
        <v>0</v>
      </c>
      <c r="AK214">
        <v>6</v>
      </c>
      <c r="AL214" t="s">
        <v>4224</v>
      </c>
      <c r="AM214" t="s">
        <v>4225</v>
      </c>
      <c r="AN214" t="s">
        <v>4226</v>
      </c>
      <c r="AO214" t="s">
        <v>4227</v>
      </c>
      <c r="AP214" t="s">
        <v>74</v>
      </c>
      <c r="AQ214" t="s">
        <v>4228</v>
      </c>
      <c r="AR214" t="s">
        <v>4229</v>
      </c>
      <c r="AS214" t="s">
        <v>74</v>
      </c>
      <c r="AT214" t="s">
        <v>74</v>
      </c>
      <c r="AU214">
        <v>2013</v>
      </c>
      <c r="AV214">
        <v>1558</v>
      </c>
      <c r="AW214" t="s">
        <v>74</v>
      </c>
      <c r="AX214" t="s">
        <v>74</v>
      </c>
      <c r="AY214" t="s">
        <v>74</v>
      </c>
      <c r="AZ214" t="s">
        <v>74</v>
      </c>
      <c r="BA214" t="s">
        <v>74</v>
      </c>
      <c r="BB214">
        <v>542</v>
      </c>
      <c r="BC214">
        <v>545</v>
      </c>
      <c r="BD214" t="s">
        <v>74</v>
      </c>
      <c r="BE214" t="s">
        <v>4230</v>
      </c>
      <c r="BF214" t="str">
        <f>HYPERLINK("http://dx.doi.org/10.1063/1.4825547","http://dx.doi.org/10.1063/1.4825547")</f>
        <v>http://dx.doi.org/10.1063/1.4825547</v>
      </c>
      <c r="BG214" t="s">
        <v>74</v>
      </c>
      <c r="BH214" t="s">
        <v>74</v>
      </c>
      <c r="BI214">
        <v>4</v>
      </c>
      <c r="BJ214" t="s">
        <v>4231</v>
      </c>
      <c r="BK214" t="s">
        <v>3247</v>
      </c>
      <c r="BL214" t="s">
        <v>4232</v>
      </c>
      <c r="BM214" t="s">
        <v>4233</v>
      </c>
      <c r="BN214" t="s">
        <v>74</v>
      </c>
      <c r="BO214" t="s">
        <v>74</v>
      </c>
      <c r="BP214" t="s">
        <v>74</v>
      </c>
      <c r="BQ214" t="s">
        <v>74</v>
      </c>
      <c r="BR214" t="s">
        <v>105</v>
      </c>
      <c r="BS214" t="s">
        <v>4234</v>
      </c>
      <c r="BT214" t="str">
        <f>HYPERLINK("https%3A%2F%2Fwww.webofscience.com%2Fwos%2Fwoscc%2Ffull-record%2FWOS:000331472800130","View Full Record in Web of Science")</f>
        <v>View Full Record in Web of Science</v>
      </c>
    </row>
    <row r="215" spans="1:72" x14ac:dyDescent="0.15">
      <c r="A215" t="s">
        <v>72</v>
      </c>
      <c r="B215" t="s">
        <v>4235</v>
      </c>
      <c r="C215" t="s">
        <v>74</v>
      </c>
      <c r="D215" t="s">
        <v>74</v>
      </c>
      <c r="E215" t="s">
        <v>74</v>
      </c>
      <c r="F215" t="s">
        <v>4236</v>
      </c>
      <c r="G215" t="s">
        <v>74</v>
      </c>
      <c r="H215" t="s">
        <v>74</v>
      </c>
      <c r="I215" t="s">
        <v>4237</v>
      </c>
      <c r="J215" t="s">
        <v>4238</v>
      </c>
      <c r="K215" t="s">
        <v>74</v>
      </c>
      <c r="L215" t="s">
        <v>74</v>
      </c>
      <c r="M215" t="s">
        <v>78</v>
      </c>
      <c r="N215" t="s">
        <v>79</v>
      </c>
      <c r="O215" t="s">
        <v>74</v>
      </c>
      <c r="P215" t="s">
        <v>74</v>
      </c>
      <c r="Q215" t="s">
        <v>74</v>
      </c>
      <c r="R215" t="s">
        <v>74</v>
      </c>
      <c r="S215" t="s">
        <v>74</v>
      </c>
      <c r="T215" t="s">
        <v>74</v>
      </c>
      <c r="U215" t="s">
        <v>4239</v>
      </c>
      <c r="V215" t="s">
        <v>4240</v>
      </c>
      <c r="W215" t="s">
        <v>4241</v>
      </c>
      <c r="X215" t="s">
        <v>4242</v>
      </c>
      <c r="Y215" t="s">
        <v>4243</v>
      </c>
      <c r="Z215" t="s">
        <v>4244</v>
      </c>
      <c r="AA215" t="s">
        <v>74</v>
      </c>
      <c r="AB215" t="s">
        <v>74</v>
      </c>
      <c r="AC215" t="s">
        <v>4245</v>
      </c>
      <c r="AD215" t="s">
        <v>4246</v>
      </c>
      <c r="AE215" t="s">
        <v>4247</v>
      </c>
      <c r="AF215" t="s">
        <v>74</v>
      </c>
      <c r="AG215">
        <v>79</v>
      </c>
      <c r="AH215">
        <v>26</v>
      </c>
      <c r="AI215">
        <v>26</v>
      </c>
      <c r="AJ215">
        <v>0</v>
      </c>
      <c r="AK215">
        <v>8</v>
      </c>
      <c r="AL215" t="s">
        <v>4248</v>
      </c>
      <c r="AM215" t="s">
        <v>4249</v>
      </c>
      <c r="AN215" t="s">
        <v>4250</v>
      </c>
      <c r="AO215" t="s">
        <v>4251</v>
      </c>
      <c r="AP215" t="s">
        <v>4252</v>
      </c>
      <c r="AQ215" t="s">
        <v>74</v>
      </c>
      <c r="AR215" t="s">
        <v>4238</v>
      </c>
      <c r="AS215" t="s">
        <v>4253</v>
      </c>
      <c r="AT215" t="s">
        <v>74</v>
      </c>
      <c r="AU215">
        <v>2013</v>
      </c>
      <c r="AV215">
        <v>7</v>
      </c>
      <c r="AW215">
        <v>6</v>
      </c>
      <c r="AX215" t="s">
        <v>74</v>
      </c>
      <c r="AY215" t="s">
        <v>74</v>
      </c>
      <c r="AZ215" t="s">
        <v>74</v>
      </c>
      <c r="BA215" t="s">
        <v>74</v>
      </c>
      <c r="BB215">
        <v>1949</v>
      </c>
      <c r="BC215">
        <v>1970</v>
      </c>
      <c r="BD215" t="s">
        <v>74</v>
      </c>
      <c r="BE215" t="s">
        <v>4254</v>
      </c>
      <c r="BF215" t="str">
        <f>HYPERLINK("http://dx.doi.org/10.5194/tc-7-1949-2013","http://dx.doi.org/10.5194/tc-7-1949-2013")</f>
        <v>http://dx.doi.org/10.5194/tc-7-1949-2013</v>
      </c>
      <c r="BG215" t="s">
        <v>74</v>
      </c>
      <c r="BH215" t="s">
        <v>74</v>
      </c>
      <c r="BI215">
        <v>22</v>
      </c>
      <c r="BJ215" t="s">
        <v>2261</v>
      </c>
      <c r="BK215" t="s">
        <v>102</v>
      </c>
      <c r="BL215" t="s">
        <v>2262</v>
      </c>
      <c r="BM215" t="s">
        <v>4255</v>
      </c>
      <c r="BN215" t="s">
        <v>74</v>
      </c>
      <c r="BO215" t="s">
        <v>4132</v>
      </c>
      <c r="BP215" t="s">
        <v>74</v>
      </c>
      <c r="BQ215" t="s">
        <v>74</v>
      </c>
      <c r="BR215" t="s">
        <v>105</v>
      </c>
      <c r="BS215" t="s">
        <v>4256</v>
      </c>
      <c r="BT215" t="str">
        <f>HYPERLINK("https%3A%2F%2Fwww.webofscience.com%2Fwos%2Fwoscc%2Ffull-record%2FWOS:000330830300001","View Full Record in Web of Science")</f>
        <v>View Full Record in Web of Science</v>
      </c>
    </row>
    <row r="216" spans="1:72" x14ac:dyDescent="0.15">
      <c r="A216" t="s">
        <v>3224</v>
      </c>
      <c r="B216" t="s">
        <v>4257</v>
      </c>
      <c r="C216" t="s">
        <v>74</v>
      </c>
      <c r="D216" t="s">
        <v>74</v>
      </c>
      <c r="E216" t="s">
        <v>3226</v>
      </c>
      <c r="F216" t="s">
        <v>4258</v>
      </c>
      <c r="G216" t="s">
        <v>74</v>
      </c>
      <c r="H216" t="s">
        <v>74</v>
      </c>
      <c r="I216" t="s">
        <v>4259</v>
      </c>
      <c r="J216" t="s">
        <v>4260</v>
      </c>
      <c r="K216" t="s">
        <v>74</v>
      </c>
      <c r="L216" t="s">
        <v>74</v>
      </c>
      <c r="M216" t="s">
        <v>78</v>
      </c>
      <c r="N216" t="s">
        <v>3231</v>
      </c>
      <c r="O216" t="s">
        <v>4261</v>
      </c>
      <c r="P216" t="s">
        <v>4262</v>
      </c>
      <c r="Q216" t="s">
        <v>4263</v>
      </c>
      <c r="R216" t="s">
        <v>74</v>
      </c>
      <c r="S216" t="s">
        <v>74</v>
      </c>
      <c r="T216" t="s">
        <v>4264</v>
      </c>
      <c r="U216" t="s">
        <v>4265</v>
      </c>
      <c r="V216" t="s">
        <v>4266</v>
      </c>
      <c r="W216" t="s">
        <v>4267</v>
      </c>
      <c r="X216" t="s">
        <v>4268</v>
      </c>
      <c r="Y216" t="s">
        <v>4269</v>
      </c>
      <c r="Z216" t="s">
        <v>4270</v>
      </c>
      <c r="AA216" t="s">
        <v>4271</v>
      </c>
      <c r="AB216" t="s">
        <v>4272</v>
      </c>
      <c r="AC216" t="s">
        <v>74</v>
      </c>
      <c r="AD216" t="s">
        <v>74</v>
      </c>
      <c r="AE216" t="s">
        <v>74</v>
      </c>
      <c r="AF216" t="s">
        <v>74</v>
      </c>
      <c r="AG216">
        <v>27</v>
      </c>
      <c r="AH216">
        <v>0</v>
      </c>
      <c r="AI216">
        <v>0</v>
      </c>
      <c r="AJ216">
        <v>0</v>
      </c>
      <c r="AK216">
        <v>0</v>
      </c>
      <c r="AL216" t="s">
        <v>3226</v>
      </c>
      <c r="AM216" t="s">
        <v>296</v>
      </c>
      <c r="AN216" t="s">
        <v>3244</v>
      </c>
      <c r="AO216" t="s">
        <v>74</v>
      </c>
      <c r="AP216" t="s">
        <v>74</v>
      </c>
      <c r="AQ216" t="s">
        <v>4273</v>
      </c>
      <c r="AR216" t="s">
        <v>74</v>
      </c>
      <c r="AS216" t="s">
        <v>74</v>
      </c>
      <c r="AT216" t="s">
        <v>74</v>
      </c>
      <c r="AU216">
        <v>2013</v>
      </c>
      <c r="AV216" t="s">
        <v>74</v>
      </c>
      <c r="AW216" t="s">
        <v>74</v>
      </c>
      <c r="AX216" t="s">
        <v>74</v>
      </c>
      <c r="AY216" t="s">
        <v>74</v>
      </c>
      <c r="AZ216" t="s">
        <v>74</v>
      </c>
      <c r="BA216" t="s">
        <v>74</v>
      </c>
      <c r="BB216" t="s">
        <v>74</v>
      </c>
      <c r="BC216" t="s">
        <v>74</v>
      </c>
      <c r="BD216" t="s">
        <v>74</v>
      </c>
      <c r="BE216" t="s">
        <v>74</v>
      </c>
      <c r="BF216" t="s">
        <v>74</v>
      </c>
      <c r="BG216" t="s">
        <v>74</v>
      </c>
      <c r="BH216" t="s">
        <v>74</v>
      </c>
      <c r="BI216">
        <v>7</v>
      </c>
      <c r="BJ216" t="s">
        <v>4274</v>
      </c>
      <c r="BK216" t="s">
        <v>3247</v>
      </c>
      <c r="BL216" t="s">
        <v>4275</v>
      </c>
      <c r="BM216" t="s">
        <v>4276</v>
      </c>
      <c r="BN216" t="s">
        <v>74</v>
      </c>
      <c r="BO216" t="s">
        <v>74</v>
      </c>
      <c r="BP216" t="s">
        <v>74</v>
      </c>
      <c r="BQ216" t="s">
        <v>74</v>
      </c>
      <c r="BR216" t="s">
        <v>105</v>
      </c>
      <c r="BS216" t="s">
        <v>4277</v>
      </c>
      <c r="BT216" t="str">
        <f>HYPERLINK("https%3A%2F%2Fwww.webofscience.com%2Fwos%2Fwoscc%2Ffull-record%2FWOS:000330575600014","View Full Record in Web of Science")</f>
        <v>View Full Record in Web of Science</v>
      </c>
    </row>
    <row r="217" spans="1:72" x14ac:dyDescent="0.15">
      <c r="A217" t="s">
        <v>72</v>
      </c>
      <c r="B217" t="s">
        <v>4278</v>
      </c>
      <c r="C217" t="s">
        <v>74</v>
      </c>
      <c r="D217" t="s">
        <v>74</v>
      </c>
      <c r="E217" t="s">
        <v>74</v>
      </c>
      <c r="F217" t="s">
        <v>4279</v>
      </c>
      <c r="G217" t="s">
        <v>74</v>
      </c>
      <c r="H217" t="s">
        <v>74</v>
      </c>
      <c r="I217" t="s">
        <v>4280</v>
      </c>
      <c r="J217" t="s">
        <v>4281</v>
      </c>
      <c r="K217" t="s">
        <v>74</v>
      </c>
      <c r="L217" t="s">
        <v>74</v>
      </c>
      <c r="M217" t="s">
        <v>4282</v>
      </c>
      <c r="N217" t="s">
        <v>79</v>
      </c>
      <c r="O217" t="s">
        <v>74</v>
      </c>
      <c r="P217" t="s">
        <v>74</v>
      </c>
      <c r="Q217" t="s">
        <v>74</v>
      </c>
      <c r="R217" t="s">
        <v>74</v>
      </c>
      <c r="S217" t="s">
        <v>74</v>
      </c>
      <c r="T217" t="s">
        <v>4283</v>
      </c>
      <c r="U217" t="s">
        <v>4284</v>
      </c>
      <c r="V217" t="s">
        <v>4285</v>
      </c>
      <c r="W217" t="s">
        <v>4286</v>
      </c>
      <c r="X217" t="s">
        <v>4287</v>
      </c>
      <c r="Y217" t="s">
        <v>4288</v>
      </c>
      <c r="Z217" t="s">
        <v>4289</v>
      </c>
      <c r="AA217" t="s">
        <v>4290</v>
      </c>
      <c r="AB217" t="s">
        <v>4291</v>
      </c>
      <c r="AC217" t="s">
        <v>74</v>
      </c>
      <c r="AD217" t="s">
        <v>74</v>
      </c>
      <c r="AE217" t="s">
        <v>74</v>
      </c>
      <c r="AF217" t="s">
        <v>74</v>
      </c>
      <c r="AG217">
        <v>52</v>
      </c>
      <c r="AH217">
        <v>5</v>
      </c>
      <c r="AI217">
        <v>5</v>
      </c>
      <c r="AJ217">
        <v>1</v>
      </c>
      <c r="AK217">
        <v>15</v>
      </c>
      <c r="AL217" t="s">
        <v>4292</v>
      </c>
      <c r="AM217" t="s">
        <v>4293</v>
      </c>
      <c r="AN217" t="s">
        <v>4294</v>
      </c>
      <c r="AO217" t="s">
        <v>4295</v>
      </c>
      <c r="AP217" t="s">
        <v>74</v>
      </c>
      <c r="AQ217" t="s">
        <v>74</v>
      </c>
      <c r="AR217" t="s">
        <v>4281</v>
      </c>
      <c r="AS217" t="s">
        <v>4296</v>
      </c>
      <c r="AT217" t="s">
        <v>74</v>
      </c>
      <c r="AU217">
        <v>2013</v>
      </c>
      <c r="AV217">
        <v>77</v>
      </c>
      <c r="AW217">
        <v>2</v>
      </c>
      <c r="AX217" t="s">
        <v>74</v>
      </c>
      <c r="AY217" t="s">
        <v>74</v>
      </c>
      <c r="AZ217" t="s">
        <v>74</v>
      </c>
      <c r="BA217" t="s">
        <v>74</v>
      </c>
      <c r="BB217">
        <v>75</v>
      </c>
      <c r="BC217">
        <v>82</v>
      </c>
      <c r="BD217" t="s">
        <v>74</v>
      </c>
      <c r="BE217" t="s">
        <v>4297</v>
      </c>
      <c r="BF217" t="str">
        <f>HYPERLINK("http://dx.doi.org/10.4067/S0717-65382013000200001","http://dx.doi.org/10.4067/S0717-65382013000200001")</f>
        <v>http://dx.doi.org/10.4067/S0717-65382013000200001</v>
      </c>
      <c r="BG217" t="s">
        <v>74</v>
      </c>
      <c r="BH217" t="s">
        <v>74</v>
      </c>
      <c r="BI217">
        <v>8</v>
      </c>
      <c r="BJ217" t="s">
        <v>4298</v>
      </c>
      <c r="BK217" t="s">
        <v>102</v>
      </c>
      <c r="BL217" t="s">
        <v>4298</v>
      </c>
      <c r="BM217" t="s">
        <v>4299</v>
      </c>
      <c r="BN217" t="s">
        <v>74</v>
      </c>
      <c r="BO217" t="s">
        <v>1719</v>
      </c>
      <c r="BP217" t="s">
        <v>74</v>
      </c>
      <c r="BQ217" t="s">
        <v>74</v>
      </c>
      <c r="BR217" t="s">
        <v>105</v>
      </c>
      <c r="BS217" t="s">
        <v>4300</v>
      </c>
      <c r="BT217" t="str">
        <f>HYPERLINK("https%3A%2F%2Fwww.webofscience.com%2Fwos%2Fwoscc%2Ffull-record%2FWOS:000330416400001","View Full Record in Web of Science")</f>
        <v>View Full Record in Web of Science</v>
      </c>
    </row>
    <row r="218" spans="1:72" x14ac:dyDescent="0.15">
      <c r="A218" t="s">
        <v>72</v>
      </c>
      <c r="B218" t="s">
        <v>4301</v>
      </c>
      <c r="C218" t="s">
        <v>74</v>
      </c>
      <c r="D218" t="s">
        <v>74</v>
      </c>
      <c r="E218" t="s">
        <v>74</v>
      </c>
      <c r="F218" t="s">
        <v>4302</v>
      </c>
      <c r="G218" t="s">
        <v>74</v>
      </c>
      <c r="H218" t="s">
        <v>74</v>
      </c>
      <c r="I218" t="s">
        <v>4303</v>
      </c>
      <c r="J218" t="s">
        <v>4304</v>
      </c>
      <c r="K218" t="s">
        <v>74</v>
      </c>
      <c r="L218" t="s">
        <v>74</v>
      </c>
      <c r="M218" t="s">
        <v>78</v>
      </c>
      <c r="N218" t="s">
        <v>79</v>
      </c>
      <c r="O218" t="s">
        <v>74</v>
      </c>
      <c r="P218" t="s">
        <v>74</v>
      </c>
      <c r="Q218" t="s">
        <v>74</v>
      </c>
      <c r="R218" t="s">
        <v>74</v>
      </c>
      <c r="S218" t="s">
        <v>74</v>
      </c>
      <c r="T218" t="s">
        <v>4305</v>
      </c>
      <c r="U218" t="s">
        <v>4306</v>
      </c>
      <c r="V218" t="s">
        <v>4307</v>
      </c>
      <c r="W218" t="s">
        <v>4308</v>
      </c>
      <c r="X218" t="s">
        <v>4309</v>
      </c>
      <c r="Y218" t="s">
        <v>4310</v>
      </c>
      <c r="Z218" t="s">
        <v>4311</v>
      </c>
      <c r="AA218" t="s">
        <v>4312</v>
      </c>
      <c r="AB218" t="s">
        <v>4313</v>
      </c>
      <c r="AC218" t="s">
        <v>4314</v>
      </c>
      <c r="AD218" t="s">
        <v>4314</v>
      </c>
      <c r="AE218" t="s">
        <v>4315</v>
      </c>
      <c r="AF218" t="s">
        <v>74</v>
      </c>
      <c r="AG218">
        <v>114</v>
      </c>
      <c r="AH218">
        <v>8</v>
      </c>
      <c r="AI218">
        <v>9</v>
      </c>
      <c r="AJ218">
        <v>0</v>
      </c>
      <c r="AK218">
        <v>9</v>
      </c>
      <c r="AL218" t="s">
        <v>4316</v>
      </c>
      <c r="AM218" t="s">
        <v>4317</v>
      </c>
      <c r="AN218" t="s">
        <v>4318</v>
      </c>
      <c r="AO218" t="s">
        <v>4319</v>
      </c>
      <c r="AP218" t="s">
        <v>4320</v>
      </c>
      <c r="AQ218" t="s">
        <v>74</v>
      </c>
      <c r="AR218" t="s">
        <v>4321</v>
      </c>
      <c r="AS218" t="s">
        <v>4322</v>
      </c>
      <c r="AT218" t="s">
        <v>74</v>
      </c>
      <c r="AU218">
        <v>2013</v>
      </c>
      <c r="AV218">
        <v>57</v>
      </c>
      <c r="AW218">
        <v>4</v>
      </c>
      <c r="AX218" t="s">
        <v>74</v>
      </c>
      <c r="AY218" t="s">
        <v>74</v>
      </c>
      <c r="AZ218" t="s">
        <v>74</v>
      </c>
      <c r="BA218" t="s">
        <v>74</v>
      </c>
      <c r="BB218">
        <v>567</v>
      </c>
      <c r="BC218">
        <v>582</v>
      </c>
      <c r="BD218" t="s">
        <v>74</v>
      </c>
      <c r="BE218" t="s">
        <v>4323</v>
      </c>
      <c r="BF218" t="str">
        <f>HYPERLINK("http://dx.doi.org/10.7306/gq.1112","http://dx.doi.org/10.7306/gq.1112")</f>
        <v>http://dx.doi.org/10.7306/gq.1112</v>
      </c>
      <c r="BG218" t="s">
        <v>74</v>
      </c>
      <c r="BH218" t="s">
        <v>74</v>
      </c>
      <c r="BI218">
        <v>16</v>
      </c>
      <c r="BJ218" t="s">
        <v>1605</v>
      </c>
      <c r="BK218" t="s">
        <v>102</v>
      </c>
      <c r="BL218" t="s">
        <v>1605</v>
      </c>
      <c r="BM218" t="s">
        <v>4324</v>
      </c>
      <c r="BN218" t="s">
        <v>74</v>
      </c>
      <c r="BO218" t="s">
        <v>1427</v>
      </c>
      <c r="BP218" t="s">
        <v>74</v>
      </c>
      <c r="BQ218" t="s">
        <v>74</v>
      </c>
      <c r="BR218" t="s">
        <v>105</v>
      </c>
      <c r="BS218" t="s">
        <v>4325</v>
      </c>
      <c r="BT218" t="str">
        <f>HYPERLINK("https%3A%2F%2Fwww.webofscience.com%2Fwos%2Fwoscc%2Ffull-record%2FWOS:000330145300001","View Full Record in Web of Science")</f>
        <v>View Full Record in Web of Science</v>
      </c>
    </row>
    <row r="219" spans="1:72" x14ac:dyDescent="0.15">
      <c r="A219" t="s">
        <v>72</v>
      </c>
      <c r="B219" t="s">
        <v>4326</v>
      </c>
      <c r="C219" t="s">
        <v>74</v>
      </c>
      <c r="D219" t="s">
        <v>74</v>
      </c>
      <c r="E219" t="s">
        <v>74</v>
      </c>
      <c r="F219" t="s">
        <v>4327</v>
      </c>
      <c r="G219" t="s">
        <v>74</v>
      </c>
      <c r="H219" t="s">
        <v>74</v>
      </c>
      <c r="I219" t="s">
        <v>4328</v>
      </c>
      <c r="J219" t="s">
        <v>4329</v>
      </c>
      <c r="K219" t="s">
        <v>74</v>
      </c>
      <c r="L219" t="s">
        <v>74</v>
      </c>
      <c r="M219" t="s">
        <v>78</v>
      </c>
      <c r="N219" t="s">
        <v>79</v>
      </c>
      <c r="O219" t="s">
        <v>74</v>
      </c>
      <c r="P219" t="s">
        <v>74</v>
      </c>
      <c r="Q219" t="s">
        <v>74</v>
      </c>
      <c r="R219" t="s">
        <v>74</v>
      </c>
      <c r="S219" t="s">
        <v>74</v>
      </c>
      <c r="T219" t="s">
        <v>4330</v>
      </c>
      <c r="U219" t="s">
        <v>4331</v>
      </c>
      <c r="V219" t="s">
        <v>4332</v>
      </c>
      <c r="W219" t="s">
        <v>4333</v>
      </c>
      <c r="X219" t="s">
        <v>4334</v>
      </c>
      <c r="Y219" t="s">
        <v>4335</v>
      </c>
      <c r="Z219" t="s">
        <v>4336</v>
      </c>
      <c r="AA219" t="s">
        <v>4337</v>
      </c>
      <c r="AB219" t="s">
        <v>4338</v>
      </c>
      <c r="AC219" t="s">
        <v>74</v>
      </c>
      <c r="AD219" t="s">
        <v>74</v>
      </c>
      <c r="AE219" t="s">
        <v>74</v>
      </c>
      <c r="AF219" t="s">
        <v>74</v>
      </c>
      <c r="AG219">
        <v>32</v>
      </c>
      <c r="AH219">
        <v>12</v>
      </c>
      <c r="AI219">
        <v>14</v>
      </c>
      <c r="AJ219">
        <v>0</v>
      </c>
      <c r="AK219">
        <v>2</v>
      </c>
      <c r="AL219" t="s">
        <v>4339</v>
      </c>
      <c r="AM219" t="s">
        <v>4340</v>
      </c>
      <c r="AN219" t="s">
        <v>4341</v>
      </c>
      <c r="AO219" t="s">
        <v>4342</v>
      </c>
      <c r="AP219" t="s">
        <v>4343</v>
      </c>
      <c r="AQ219" t="s">
        <v>74</v>
      </c>
      <c r="AR219" t="s">
        <v>4329</v>
      </c>
      <c r="AS219" t="s">
        <v>4344</v>
      </c>
      <c r="AT219" t="s">
        <v>74</v>
      </c>
      <c r="AU219">
        <v>2013</v>
      </c>
      <c r="AV219">
        <v>50</v>
      </c>
      <c r="AW219">
        <v>6</v>
      </c>
      <c r="AX219" t="s">
        <v>74</v>
      </c>
      <c r="AY219" t="s">
        <v>74</v>
      </c>
      <c r="AZ219" t="s">
        <v>74</v>
      </c>
      <c r="BA219" t="s">
        <v>74</v>
      </c>
      <c r="BB219">
        <v>545</v>
      </c>
      <c r="BC219">
        <v>553</v>
      </c>
      <c r="BD219" t="s">
        <v>74</v>
      </c>
      <c r="BE219" t="s">
        <v>4345</v>
      </c>
      <c r="BF219" t="str">
        <f>HYPERLINK("http://dx.doi.org/10.5710/AMGH.09.10.2013.1058","http://dx.doi.org/10.5710/AMGH.09.10.2013.1058")</f>
        <v>http://dx.doi.org/10.5710/AMGH.09.10.2013.1058</v>
      </c>
      <c r="BG219" t="s">
        <v>74</v>
      </c>
      <c r="BH219" t="s">
        <v>74</v>
      </c>
      <c r="BI219">
        <v>9</v>
      </c>
      <c r="BJ219" t="s">
        <v>4346</v>
      </c>
      <c r="BK219" t="s">
        <v>102</v>
      </c>
      <c r="BL219" t="s">
        <v>4346</v>
      </c>
      <c r="BM219" t="s">
        <v>4347</v>
      </c>
      <c r="BN219" t="s">
        <v>74</v>
      </c>
      <c r="BO219" t="s">
        <v>429</v>
      </c>
      <c r="BP219" t="s">
        <v>74</v>
      </c>
      <c r="BQ219" t="s">
        <v>74</v>
      </c>
      <c r="BR219" t="s">
        <v>105</v>
      </c>
      <c r="BS219" t="s">
        <v>4348</v>
      </c>
      <c r="BT219" t="str">
        <f>HYPERLINK("https%3A%2F%2Fwww.webofscience.com%2Fwos%2Fwoscc%2Ffull-record%2FWOS:000329981800001","View Full Record in Web of Science")</f>
        <v>View Full Record in Web of Science</v>
      </c>
    </row>
    <row r="220" spans="1:72" x14ac:dyDescent="0.15">
      <c r="A220" t="s">
        <v>72</v>
      </c>
      <c r="B220" t="s">
        <v>4349</v>
      </c>
      <c r="C220" t="s">
        <v>74</v>
      </c>
      <c r="D220" t="s">
        <v>74</v>
      </c>
      <c r="E220" t="s">
        <v>74</v>
      </c>
      <c r="F220" t="s">
        <v>4350</v>
      </c>
      <c r="G220" t="s">
        <v>74</v>
      </c>
      <c r="H220" t="s">
        <v>74</v>
      </c>
      <c r="I220" t="s">
        <v>4351</v>
      </c>
      <c r="J220" t="s">
        <v>4352</v>
      </c>
      <c r="K220" t="s">
        <v>74</v>
      </c>
      <c r="L220" t="s">
        <v>74</v>
      </c>
      <c r="M220" t="s">
        <v>78</v>
      </c>
      <c r="N220" t="s">
        <v>79</v>
      </c>
      <c r="O220" t="s">
        <v>74</v>
      </c>
      <c r="P220" t="s">
        <v>74</v>
      </c>
      <c r="Q220" t="s">
        <v>74</v>
      </c>
      <c r="R220" t="s">
        <v>74</v>
      </c>
      <c r="S220" t="s">
        <v>74</v>
      </c>
      <c r="T220" t="s">
        <v>4353</v>
      </c>
      <c r="U220" t="s">
        <v>4354</v>
      </c>
      <c r="V220" t="s">
        <v>4355</v>
      </c>
      <c r="W220" t="s">
        <v>4356</v>
      </c>
      <c r="X220" t="s">
        <v>4357</v>
      </c>
      <c r="Y220" t="s">
        <v>4358</v>
      </c>
      <c r="Z220" t="s">
        <v>561</v>
      </c>
      <c r="AA220" t="s">
        <v>74</v>
      </c>
      <c r="AB220" t="s">
        <v>4359</v>
      </c>
      <c r="AC220" t="s">
        <v>4360</v>
      </c>
      <c r="AD220" t="s">
        <v>4361</v>
      </c>
      <c r="AE220" t="s">
        <v>4362</v>
      </c>
      <c r="AF220" t="s">
        <v>74</v>
      </c>
      <c r="AG220">
        <v>55</v>
      </c>
      <c r="AH220">
        <v>15</v>
      </c>
      <c r="AI220">
        <v>17</v>
      </c>
      <c r="AJ220">
        <v>0</v>
      </c>
      <c r="AK220">
        <v>17</v>
      </c>
      <c r="AL220" t="s">
        <v>4363</v>
      </c>
      <c r="AM220" t="s">
        <v>4364</v>
      </c>
      <c r="AN220" t="s">
        <v>4365</v>
      </c>
      <c r="AO220" t="s">
        <v>4366</v>
      </c>
      <c r="AP220" t="s">
        <v>4367</v>
      </c>
      <c r="AQ220" t="s">
        <v>74</v>
      </c>
      <c r="AR220" t="s">
        <v>4368</v>
      </c>
      <c r="AS220" t="s">
        <v>4369</v>
      </c>
      <c r="AT220" t="s">
        <v>74</v>
      </c>
      <c r="AU220">
        <v>2013</v>
      </c>
      <c r="AV220">
        <v>71</v>
      </c>
      <c r="AW220">
        <v>2</v>
      </c>
      <c r="AX220" t="s">
        <v>74</v>
      </c>
      <c r="AY220" t="s">
        <v>74</v>
      </c>
      <c r="AZ220" t="s">
        <v>74</v>
      </c>
      <c r="BA220" t="s">
        <v>74</v>
      </c>
      <c r="BB220">
        <v>117</v>
      </c>
      <c r="BC220">
        <v>129</v>
      </c>
      <c r="BD220" t="s">
        <v>74</v>
      </c>
      <c r="BE220" t="s">
        <v>4370</v>
      </c>
      <c r="BF220" t="str">
        <f>HYPERLINK("http://dx.doi.org/10.3354/ame01670","http://dx.doi.org/10.3354/ame01670")</f>
        <v>http://dx.doi.org/10.3354/ame01670</v>
      </c>
      <c r="BG220" t="s">
        <v>74</v>
      </c>
      <c r="BH220" t="s">
        <v>74</v>
      </c>
      <c r="BI220">
        <v>13</v>
      </c>
      <c r="BJ220" t="s">
        <v>4371</v>
      </c>
      <c r="BK220" t="s">
        <v>102</v>
      </c>
      <c r="BL220" t="s">
        <v>4372</v>
      </c>
      <c r="BM220" t="s">
        <v>4373</v>
      </c>
      <c r="BN220" t="s">
        <v>74</v>
      </c>
      <c r="BO220" t="s">
        <v>128</v>
      </c>
      <c r="BP220" t="s">
        <v>74</v>
      </c>
      <c r="BQ220" t="s">
        <v>74</v>
      </c>
      <c r="BR220" t="s">
        <v>105</v>
      </c>
      <c r="BS220" t="s">
        <v>4374</v>
      </c>
      <c r="BT220" t="str">
        <f>HYPERLINK("https%3A%2F%2Fwww.webofscience.com%2Fwos%2Fwoscc%2Ffull-record%2FWOS:000329951800002","View Full Record in Web of Science")</f>
        <v>View Full Record in Web of Science</v>
      </c>
    </row>
    <row r="221" spans="1:72" x14ac:dyDescent="0.15">
      <c r="A221" t="s">
        <v>3341</v>
      </c>
      <c r="B221" t="s">
        <v>4375</v>
      </c>
      <c r="C221" t="s">
        <v>74</v>
      </c>
      <c r="D221" t="s">
        <v>4376</v>
      </c>
      <c r="E221" t="s">
        <v>74</v>
      </c>
      <c r="F221" t="s">
        <v>4377</v>
      </c>
      <c r="G221" t="s">
        <v>74</v>
      </c>
      <c r="H221" t="s">
        <v>74</v>
      </c>
      <c r="I221" t="s">
        <v>4378</v>
      </c>
      <c r="J221" t="s">
        <v>4379</v>
      </c>
      <c r="K221" t="s">
        <v>4380</v>
      </c>
      <c r="L221" t="s">
        <v>74</v>
      </c>
      <c r="M221" t="s">
        <v>78</v>
      </c>
      <c r="N221" t="s">
        <v>3258</v>
      </c>
      <c r="O221" t="s">
        <v>74</v>
      </c>
      <c r="P221" t="s">
        <v>74</v>
      </c>
      <c r="Q221" t="s">
        <v>74</v>
      </c>
      <c r="R221" t="s">
        <v>74</v>
      </c>
      <c r="S221" t="s">
        <v>74</v>
      </c>
      <c r="T221" t="s">
        <v>74</v>
      </c>
      <c r="U221" t="s">
        <v>4381</v>
      </c>
      <c r="V221" t="s">
        <v>74</v>
      </c>
      <c r="W221" t="s">
        <v>4382</v>
      </c>
      <c r="X221" t="s">
        <v>4383</v>
      </c>
      <c r="Y221" t="s">
        <v>4384</v>
      </c>
      <c r="Z221" t="s">
        <v>74</v>
      </c>
      <c r="AA221" t="s">
        <v>4385</v>
      </c>
      <c r="AB221" t="s">
        <v>4386</v>
      </c>
      <c r="AC221" t="s">
        <v>74</v>
      </c>
      <c r="AD221" t="s">
        <v>74</v>
      </c>
      <c r="AE221" t="s">
        <v>74</v>
      </c>
      <c r="AF221" t="s">
        <v>74</v>
      </c>
      <c r="AG221">
        <v>79</v>
      </c>
      <c r="AH221">
        <v>1</v>
      </c>
      <c r="AI221">
        <v>1</v>
      </c>
      <c r="AJ221">
        <v>0</v>
      </c>
      <c r="AK221">
        <v>5</v>
      </c>
      <c r="AL221" t="s">
        <v>4387</v>
      </c>
      <c r="AM221" t="s">
        <v>4388</v>
      </c>
      <c r="AN221" t="s">
        <v>4389</v>
      </c>
      <c r="AO221" t="s">
        <v>4390</v>
      </c>
      <c r="AP221" t="s">
        <v>74</v>
      </c>
      <c r="AQ221" t="s">
        <v>4391</v>
      </c>
      <c r="AR221" t="s">
        <v>4392</v>
      </c>
      <c r="AS221" t="s">
        <v>74</v>
      </c>
      <c r="AT221" t="s">
        <v>74</v>
      </c>
      <c r="AU221">
        <v>2013</v>
      </c>
      <c r="AV221">
        <v>1326</v>
      </c>
      <c r="AW221" t="s">
        <v>74</v>
      </c>
      <c r="AX221" t="s">
        <v>74</v>
      </c>
      <c r="AY221" t="s">
        <v>74</v>
      </c>
      <c r="AZ221" t="s">
        <v>74</v>
      </c>
      <c r="BA221" t="s">
        <v>74</v>
      </c>
      <c r="BB221">
        <v>227</v>
      </c>
      <c r="BC221">
        <v>254</v>
      </c>
      <c r="BD221" t="s">
        <v>74</v>
      </c>
      <c r="BE221" t="s">
        <v>74</v>
      </c>
      <c r="BF221" t="s">
        <v>74</v>
      </c>
      <c r="BG221" t="s">
        <v>74</v>
      </c>
      <c r="BH221" t="s">
        <v>74</v>
      </c>
      <c r="BI221">
        <v>28</v>
      </c>
      <c r="BJ221" t="s">
        <v>4393</v>
      </c>
      <c r="BK221" t="s">
        <v>3379</v>
      </c>
      <c r="BL221" t="s">
        <v>4393</v>
      </c>
      <c r="BM221" t="s">
        <v>4394</v>
      </c>
      <c r="BN221" t="s">
        <v>74</v>
      </c>
      <c r="BO221" t="s">
        <v>74</v>
      </c>
      <c r="BP221" t="s">
        <v>74</v>
      </c>
      <c r="BQ221" t="s">
        <v>74</v>
      </c>
      <c r="BR221" t="s">
        <v>105</v>
      </c>
      <c r="BS221" t="s">
        <v>4395</v>
      </c>
      <c r="BT221" t="str">
        <f>HYPERLINK("https%3A%2F%2Fwww.webofscience.com%2Fwos%2Fwoscc%2Ffull-record%2FWOS:000328085700008","View Full Record in Web of Science")</f>
        <v>View Full Record in Web of Science</v>
      </c>
    </row>
    <row r="222" spans="1:72" x14ac:dyDescent="0.15">
      <c r="A222" t="s">
        <v>72</v>
      </c>
      <c r="B222" t="s">
        <v>4396</v>
      </c>
      <c r="C222" t="s">
        <v>74</v>
      </c>
      <c r="D222" t="s">
        <v>74</v>
      </c>
      <c r="E222" t="s">
        <v>74</v>
      </c>
      <c r="F222" t="s">
        <v>4397</v>
      </c>
      <c r="G222" t="s">
        <v>74</v>
      </c>
      <c r="H222" t="s">
        <v>74</v>
      </c>
      <c r="I222" t="s">
        <v>4398</v>
      </c>
      <c r="J222" t="s">
        <v>4399</v>
      </c>
      <c r="K222" t="s">
        <v>74</v>
      </c>
      <c r="L222" t="s">
        <v>74</v>
      </c>
      <c r="M222" t="s">
        <v>78</v>
      </c>
      <c r="N222" t="s">
        <v>1120</v>
      </c>
      <c r="O222" t="s">
        <v>74</v>
      </c>
      <c r="P222" t="s">
        <v>74</v>
      </c>
      <c r="Q222" t="s">
        <v>74</v>
      </c>
      <c r="R222" t="s">
        <v>74</v>
      </c>
      <c r="S222" t="s">
        <v>74</v>
      </c>
      <c r="T222" t="s">
        <v>4400</v>
      </c>
      <c r="U222" t="s">
        <v>4401</v>
      </c>
      <c r="V222" t="s">
        <v>4402</v>
      </c>
      <c r="W222" t="s">
        <v>4403</v>
      </c>
      <c r="X222" t="s">
        <v>4404</v>
      </c>
      <c r="Y222" t="s">
        <v>4405</v>
      </c>
      <c r="Z222" t="s">
        <v>4406</v>
      </c>
      <c r="AA222" t="s">
        <v>4407</v>
      </c>
      <c r="AB222" t="s">
        <v>4408</v>
      </c>
      <c r="AC222" t="s">
        <v>4409</v>
      </c>
      <c r="AD222" t="s">
        <v>4410</v>
      </c>
      <c r="AE222" t="s">
        <v>4411</v>
      </c>
      <c r="AF222" t="s">
        <v>74</v>
      </c>
      <c r="AG222">
        <v>123</v>
      </c>
      <c r="AH222">
        <v>39</v>
      </c>
      <c r="AI222">
        <v>45</v>
      </c>
      <c r="AJ222">
        <v>0</v>
      </c>
      <c r="AK222">
        <v>77</v>
      </c>
      <c r="AL222" t="s">
        <v>4412</v>
      </c>
      <c r="AM222" t="s">
        <v>4413</v>
      </c>
      <c r="AN222" t="s">
        <v>4414</v>
      </c>
      <c r="AO222" t="s">
        <v>4415</v>
      </c>
      <c r="AP222" t="s">
        <v>74</v>
      </c>
      <c r="AQ222" t="s">
        <v>74</v>
      </c>
      <c r="AR222" t="s">
        <v>4416</v>
      </c>
      <c r="AS222" t="s">
        <v>4417</v>
      </c>
      <c r="AT222" t="s">
        <v>74</v>
      </c>
      <c r="AU222">
        <v>2013</v>
      </c>
      <c r="AV222">
        <v>78</v>
      </c>
      <c r="AW222">
        <v>11</v>
      </c>
      <c r="AX222" t="s">
        <v>74</v>
      </c>
      <c r="AY222" t="s">
        <v>74</v>
      </c>
      <c r="AZ222" t="s">
        <v>74</v>
      </c>
      <c r="BA222" t="s">
        <v>74</v>
      </c>
      <c r="BB222">
        <v>1729</v>
      </c>
      <c r="BC222">
        <v>1761</v>
      </c>
      <c r="BD222" t="s">
        <v>74</v>
      </c>
      <c r="BE222" t="s">
        <v>4418</v>
      </c>
      <c r="BF222" t="str">
        <f>HYPERLINK("http://dx.doi.org/10.2298/JSC130829098R","http://dx.doi.org/10.2298/JSC130829098R")</f>
        <v>http://dx.doi.org/10.2298/JSC130829098R</v>
      </c>
      <c r="BG222" t="s">
        <v>74</v>
      </c>
      <c r="BH222" t="s">
        <v>74</v>
      </c>
      <c r="BI222">
        <v>33</v>
      </c>
      <c r="BJ222" t="s">
        <v>4419</v>
      </c>
      <c r="BK222" t="s">
        <v>102</v>
      </c>
      <c r="BL222" t="s">
        <v>4420</v>
      </c>
      <c r="BM222" t="s">
        <v>4421</v>
      </c>
      <c r="BN222" t="s">
        <v>74</v>
      </c>
      <c r="BO222" t="s">
        <v>2766</v>
      </c>
      <c r="BP222" t="s">
        <v>74</v>
      </c>
      <c r="BQ222" t="s">
        <v>74</v>
      </c>
      <c r="BR222" t="s">
        <v>105</v>
      </c>
      <c r="BS222" t="s">
        <v>4422</v>
      </c>
      <c r="BT222" t="str">
        <f>HYPERLINK("https%3A%2F%2Fwww.webofscience.com%2Fwos%2Fwoscc%2Ffull-record%2FWOS:000329265400009","View Full Record in Web of Science")</f>
        <v>View Full Record in Web of Science</v>
      </c>
    </row>
    <row r="223" spans="1:72" x14ac:dyDescent="0.15">
      <c r="A223" t="s">
        <v>72</v>
      </c>
      <c r="B223" t="s">
        <v>4423</v>
      </c>
      <c r="C223" t="s">
        <v>74</v>
      </c>
      <c r="D223" t="s">
        <v>74</v>
      </c>
      <c r="E223" t="s">
        <v>74</v>
      </c>
      <c r="F223" t="s">
        <v>4424</v>
      </c>
      <c r="G223" t="s">
        <v>74</v>
      </c>
      <c r="H223" t="s">
        <v>74</v>
      </c>
      <c r="I223" t="s">
        <v>4425</v>
      </c>
      <c r="J223" t="s">
        <v>4426</v>
      </c>
      <c r="K223" t="s">
        <v>74</v>
      </c>
      <c r="L223" t="s">
        <v>74</v>
      </c>
      <c r="M223" t="s">
        <v>78</v>
      </c>
      <c r="N223" t="s">
        <v>79</v>
      </c>
      <c r="O223" t="s">
        <v>74</v>
      </c>
      <c r="P223" t="s">
        <v>74</v>
      </c>
      <c r="Q223" t="s">
        <v>74</v>
      </c>
      <c r="R223" t="s">
        <v>74</v>
      </c>
      <c r="S223" t="s">
        <v>74</v>
      </c>
      <c r="T223" t="s">
        <v>74</v>
      </c>
      <c r="U223" t="s">
        <v>4427</v>
      </c>
      <c r="V223" t="s">
        <v>4428</v>
      </c>
      <c r="W223" t="s">
        <v>4429</v>
      </c>
      <c r="X223" t="s">
        <v>4430</v>
      </c>
      <c r="Y223" t="s">
        <v>4431</v>
      </c>
      <c r="Z223" t="s">
        <v>4432</v>
      </c>
      <c r="AA223" t="s">
        <v>4433</v>
      </c>
      <c r="AB223" t="s">
        <v>4434</v>
      </c>
      <c r="AC223" t="s">
        <v>4435</v>
      </c>
      <c r="AD223" t="s">
        <v>4435</v>
      </c>
      <c r="AE223" t="s">
        <v>4436</v>
      </c>
      <c r="AF223" t="s">
        <v>74</v>
      </c>
      <c r="AG223">
        <v>22</v>
      </c>
      <c r="AH223">
        <v>5</v>
      </c>
      <c r="AI223">
        <v>5</v>
      </c>
      <c r="AJ223">
        <v>0</v>
      </c>
      <c r="AK223">
        <v>19</v>
      </c>
      <c r="AL223" t="s">
        <v>4437</v>
      </c>
      <c r="AM223" t="s">
        <v>296</v>
      </c>
      <c r="AN223" t="s">
        <v>4438</v>
      </c>
      <c r="AO223" t="s">
        <v>4439</v>
      </c>
      <c r="AP223" t="s">
        <v>74</v>
      </c>
      <c r="AQ223" t="s">
        <v>74</v>
      </c>
      <c r="AR223" t="s">
        <v>4440</v>
      </c>
      <c r="AS223" t="s">
        <v>4441</v>
      </c>
      <c r="AT223" t="s">
        <v>74</v>
      </c>
      <c r="AU223">
        <v>2013</v>
      </c>
      <c r="AV223" t="s">
        <v>74</v>
      </c>
      <c r="AW223" t="s">
        <v>74</v>
      </c>
      <c r="AX223" t="s">
        <v>74</v>
      </c>
      <c r="AY223" t="s">
        <v>74</v>
      </c>
      <c r="AZ223" t="s">
        <v>74</v>
      </c>
      <c r="BA223" t="s">
        <v>74</v>
      </c>
      <c r="BB223" t="s">
        <v>74</v>
      </c>
      <c r="BC223" t="s">
        <v>74</v>
      </c>
      <c r="BD223">
        <v>741906</v>
      </c>
      <c r="BE223" t="s">
        <v>4442</v>
      </c>
      <c r="BF223" t="str">
        <f>HYPERLINK("http://dx.doi.org/10.1155/2013/741906","http://dx.doi.org/10.1155/2013/741906")</f>
        <v>http://dx.doi.org/10.1155/2013/741906</v>
      </c>
      <c r="BG223" t="s">
        <v>74</v>
      </c>
      <c r="BH223" t="s">
        <v>74</v>
      </c>
      <c r="BI223">
        <v>9</v>
      </c>
      <c r="BJ223" t="s">
        <v>328</v>
      </c>
      <c r="BK223" t="s">
        <v>102</v>
      </c>
      <c r="BL223" t="s">
        <v>329</v>
      </c>
      <c r="BM223" t="s">
        <v>4443</v>
      </c>
      <c r="BN223">
        <v>24459445</v>
      </c>
      <c r="BO223" t="s">
        <v>2359</v>
      </c>
      <c r="BP223" t="s">
        <v>74</v>
      </c>
      <c r="BQ223" t="s">
        <v>74</v>
      </c>
      <c r="BR223" t="s">
        <v>105</v>
      </c>
      <c r="BS223" t="s">
        <v>4444</v>
      </c>
      <c r="BT223" t="str">
        <f>HYPERLINK("https%3A%2F%2Fwww.webofscience.com%2Fwos%2Fwoscc%2Ffull-record%2FWOS:000329698900001","View Full Record in Web of Science")</f>
        <v>View Full Record in Web of Science</v>
      </c>
    </row>
    <row r="224" spans="1:72" x14ac:dyDescent="0.15">
      <c r="A224" t="s">
        <v>72</v>
      </c>
      <c r="B224" t="s">
        <v>4445</v>
      </c>
      <c r="C224" t="s">
        <v>74</v>
      </c>
      <c r="D224" t="s">
        <v>74</v>
      </c>
      <c r="E224" t="s">
        <v>74</v>
      </c>
      <c r="F224" t="s">
        <v>4446</v>
      </c>
      <c r="G224" t="s">
        <v>74</v>
      </c>
      <c r="H224" t="s">
        <v>74</v>
      </c>
      <c r="I224" t="s">
        <v>4447</v>
      </c>
      <c r="J224" t="s">
        <v>4448</v>
      </c>
      <c r="K224" t="s">
        <v>74</v>
      </c>
      <c r="L224" t="s">
        <v>74</v>
      </c>
      <c r="M224" t="s">
        <v>78</v>
      </c>
      <c r="N224" t="s">
        <v>79</v>
      </c>
      <c r="O224" t="s">
        <v>74</v>
      </c>
      <c r="P224" t="s">
        <v>74</v>
      </c>
      <c r="Q224" t="s">
        <v>74</v>
      </c>
      <c r="R224" t="s">
        <v>74</v>
      </c>
      <c r="S224" t="s">
        <v>74</v>
      </c>
      <c r="T224" t="s">
        <v>4449</v>
      </c>
      <c r="U224" t="s">
        <v>4450</v>
      </c>
      <c r="V224" t="s">
        <v>4451</v>
      </c>
      <c r="W224" t="s">
        <v>4452</v>
      </c>
      <c r="X224" t="s">
        <v>4453</v>
      </c>
      <c r="Y224" t="s">
        <v>4454</v>
      </c>
      <c r="Z224" t="s">
        <v>4455</v>
      </c>
      <c r="AA224" t="s">
        <v>74</v>
      </c>
      <c r="AB224" t="s">
        <v>74</v>
      </c>
      <c r="AC224" t="s">
        <v>4456</v>
      </c>
      <c r="AD224" t="s">
        <v>4457</v>
      </c>
      <c r="AE224" t="s">
        <v>4458</v>
      </c>
      <c r="AF224" t="s">
        <v>74</v>
      </c>
      <c r="AG224">
        <v>59</v>
      </c>
      <c r="AH224">
        <v>2</v>
      </c>
      <c r="AI224">
        <v>2</v>
      </c>
      <c r="AJ224">
        <v>0</v>
      </c>
      <c r="AK224">
        <v>14</v>
      </c>
      <c r="AL224" t="s">
        <v>4459</v>
      </c>
      <c r="AM224" t="s">
        <v>4460</v>
      </c>
      <c r="AN224" t="s">
        <v>4461</v>
      </c>
      <c r="AO224" t="s">
        <v>4462</v>
      </c>
      <c r="AP224" t="s">
        <v>4463</v>
      </c>
      <c r="AQ224" t="s">
        <v>74</v>
      </c>
      <c r="AR224" t="s">
        <v>4464</v>
      </c>
      <c r="AS224" t="s">
        <v>4465</v>
      </c>
      <c r="AT224" t="s">
        <v>74</v>
      </c>
      <c r="AU224">
        <v>2013</v>
      </c>
      <c r="AV224">
        <v>35</v>
      </c>
      <c r="AW224">
        <v>4</v>
      </c>
      <c r="AX224" t="s">
        <v>74</v>
      </c>
      <c r="AY224" t="s">
        <v>74</v>
      </c>
      <c r="AZ224" t="s">
        <v>74</v>
      </c>
      <c r="BA224" t="s">
        <v>74</v>
      </c>
      <c r="BB224">
        <v>533</v>
      </c>
      <c r="BC224">
        <v>543</v>
      </c>
      <c r="BD224" t="s">
        <v>74</v>
      </c>
      <c r="BE224" t="s">
        <v>4466</v>
      </c>
      <c r="BF224" t="str">
        <f>HYPERLINK("http://dx.doi.org/10.2989/1814232X.2013.860048","http://dx.doi.org/10.2989/1814232X.2013.860048")</f>
        <v>http://dx.doi.org/10.2989/1814232X.2013.860048</v>
      </c>
      <c r="BG224" t="s">
        <v>74</v>
      </c>
      <c r="BH224" t="s">
        <v>74</v>
      </c>
      <c r="BI224">
        <v>11</v>
      </c>
      <c r="BJ224" t="s">
        <v>223</v>
      </c>
      <c r="BK224" t="s">
        <v>102</v>
      </c>
      <c r="BL224" t="s">
        <v>223</v>
      </c>
      <c r="BM224" t="s">
        <v>4467</v>
      </c>
      <c r="BN224" t="s">
        <v>74</v>
      </c>
      <c r="BO224" t="s">
        <v>74</v>
      </c>
      <c r="BP224" t="s">
        <v>74</v>
      </c>
      <c r="BQ224" t="s">
        <v>74</v>
      </c>
      <c r="BR224" t="s">
        <v>105</v>
      </c>
      <c r="BS224" t="s">
        <v>4468</v>
      </c>
      <c r="BT224" t="str">
        <f>HYPERLINK("https%3A%2F%2Fwww.webofscience.com%2Fwos%2Fwoscc%2Ffull-record%2FWOS:000328940500007","View Full Record in Web of Science")</f>
        <v>View Full Record in Web of Science</v>
      </c>
    </row>
    <row r="225" spans="1:72" x14ac:dyDescent="0.15">
      <c r="A225" t="s">
        <v>72</v>
      </c>
      <c r="B225" t="s">
        <v>4469</v>
      </c>
      <c r="C225" t="s">
        <v>74</v>
      </c>
      <c r="D225" t="s">
        <v>74</v>
      </c>
      <c r="E225" t="s">
        <v>74</v>
      </c>
      <c r="F225" t="s">
        <v>4470</v>
      </c>
      <c r="G225" t="s">
        <v>74</v>
      </c>
      <c r="H225" t="s">
        <v>74</v>
      </c>
      <c r="I225" t="s">
        <v>4471</v>
      </c>
      <c r="J225" t="s">
        <v>4472</v>
      </c>
      <c r="K225" t="s">
        <v>74</v>
      </c>
      <c r="L225" t="s">
        <v>74</v>
      </c>
      <c r="M225" t="s">
        <v>78</v>
      </c>
      <c r="N225" t="s">
        <v>79</v>
      </c>
      <c r="O225" t="s">
        <v>74</v>
      </c>
      <c r="P225" t="s">
        <v>74</v>
      </c>
      <c r="Q225" t="s">
        <v>74</v>
      </c>
      <c r="R225" t="s">
        <v>74</v>
      </c>
      <c r="S225" t="s">
        <v>74</v>
      </c>
      <c r="T225" t="s">
        <v>74</v>
      </c>
      <c r="U225" t="s">
        <v>4473</v>
      </c>
      <c r="V225" t="s">
        <v>4474</v>
      </c>
      <c r="W225" t="s">
        <v>4475</v>
      </c>
      <c r="X225" t="s">
        <v>4476</v>
      </c>
      <c r="Y225" t="s">
        <v>4477</v>
      </c>
      <c r="Z225" t="s">
        <v>4478</v>
      </c>
      <c r="AA225" t="s">
        <v>4479</v>
      </c>
      <c r="AB225" t="s">
        <v>4480</v>
      </c>
      <c r="AC225" t="s">
        <v>4481</v>
      </c>
      <c r="AD225" t="s">
        <v>4482</v>
      </c>
      <c r="AE225" t="s">
        <v>4483</v>
      </c>
      <c r="AF225" t="s">
        <v>74</v>
      </c>
      <c r="AG225">
        <v>28</v>
      </c>
      <c r="AH225">
        <v>6</v>
      </c>
      <c r="AI225">
        <v>6</v>
      </c>
      <c r="AJ225">
        <v>1</v>
      </c>
      <c r="AK225">
        <v>3</v>
      </c>
      <c r="AL225" t="s">
        <v>816</v>
      </c>
      <c r="AM225" t="s">
        <v>2038</v>
      </c>
      <c r="AN225" t="s">
        <v>4484</v>
      </c>
      <c r="AO225" t="s">
        <v>4485</v>
      </c>
      <c r="AP225" t="s">
        <v>4486</v>
      </c>
      <c r="AQ225" t="s">
        <v>74</v>
      </c>
      <c r="AR225" t="s">
        <v>4487</v>
      </c>
      <c r="AS225" t="s">
        <v>4488</v>
      </c>
      <c r="AT225" t="s">
        <v>74</v>
      </c>
      <c r="AU225">
        <v>2013</v>
      </c>
      <c r="AV225">
        <v>59</v>
      </c>
      <c r="AW225">
        <v>218</v>
      </c>
      <c r="AX225" t="s">
        <v>74</v>
      </c>
      <c r="AY225" t="s">
        <v>74</v>
      </c>
      <c r="AZ225" t="s">
        <v>74</v>
      </c>
      <c r="BA225" t="s">
        <v>74</v>
      </c>
      <c r="BB225">
        <v>1093</v>
      </c>
      <c r="BC225">
        <v>1105</v>
      </c>
      <c r="BD225" t="s">
        <v>74</v>
      </c>
      <c r="BE225" t="s">
        <v>4489</v>
      </c>
      <c r="BF225" t="str">
        <f>HYPERLINK("http://dx.doi.org/10.3189/2013JoG12J236","http://dx.doi.org/10.3189/2013JoG12J236")</f>
        <v>http://dx.doi.org/10.3189/2013JoG12J236</v>
      </c>
      <c r="BG225" t="s">
        <v>74</v>
      </c>
      <c r="BH225" t="s">
        <v>74</v>
      </c>
      <c r="BI225">
        <v>13</v>
      </c>
      <c r="BJ225" t="s">
        <v>2261</v>
      </c>
      <c r="BK225" t="s">
        <v>102</v>
      </c>
      <c r="BL225" t="s">
        <v>2262</v>
      </c>
      <c r="BM225" t="s">
        <v>4490</v>
      </c>
      <c r="BN225" t="s">
        <v>74</v>
      </c>
      <c r="BO225" t="s">
        <v>128</v>
      </c>
      <c r="BP225" t="s">
        <v>74</v>
      </c>
      <c r="BQ225" t="s">
        <v>74</v>
      </c>
      <c r="BR225" t="s">
        <v>105</v>
      </c>
      <c r="BS225" t="s">
        <v>4491</v>
      </c>
      <c r="BT225" t="str">
        <f>HYPERLINK("https%3A%2F%2Fwww.webofscience.com%2Fwos%2Fwoscc%2Ffull-record%2FWOS:000329013700009","View Full Record in Web of Science")</f>
        <v>View Full Record in Web of Science</v>
      </c>
    </row>
    <row r="226" spans="1:72" x14ac:dyDescent="0.15">
      <c r="A226" t="s">
        <v>72</v>
      </c>
      <c r="B226" t="s">
        <v>4492</v>
      </c>
      <c r="C226" t="s">
        <v>74</v>
      </c>
      <c r="D226" t="s">
        <v>74</v>
      </c>
      <c r="E226" t="s">
        <v>74</v>
      </c>
      <c r="F226" t="s">
        <v>4493</v>
      </c>
      <c r="G226" t="s">
        <v>74</v>
      </c>
      <c r="H226" t="s">
        <v>74</v>
      </c>
      <c r="I226" t="s">
        <v>4494</v>
      </c>
      <c r="J226" t="s">
        <v>4495</v>
      </c>
      <c r="K226" t="s">
        <v>74</v>
      </c>
      <c r="L226" t="s">
        <v>74</v>
      </c>
      <c r="M226" t="s">
        <v>78</v>
      </c>
      <c r="N226" t="s">
        <v>79</v>
      </c>
      <c r="O226" t="s">
        <v>74</v>
      </c>
      <c r="P226" t="s">
        <v>74</v>
      </c>
      <c r="Q226" t="s">
        <v>74</v>
      </c>
      <c r="R226" t="s">
        <v>74</v>
      </c>
      <c r="S226" t="s">
        <v>74</v>
      </c>
      <c r="T226" t="s">
        <v>4496</v>
      </c>
      <c r="U226" t="s">
        <v>4497</v>
      </c>
      <c r="V226" t="s">
        <v>4498</v>
      </c>
      <c r="W226" t="s">
        <v>4499</v>
      </c>
      <c r="X226" t="s">
        <v>4500</v>
      </c>
      <c r="Y226" t="s">
        <v>4501</v>
      </c>
      <c r="Z226" t="s">
        <v>4502</v>
      </c>
      <c r="AA226" t="s">
        <v>74</v>
      </c>
      <c r="AB226" t="s">
        <v>74</v>
      </c>
      <c r="AC226" t="s">
        <v>4503</v>
      </c>
      <c r="AD226" t="s">
        <v>4504</v>
      </c>
      <c r="AE226" t="s">
        <v>4505</v>
      </c>
      <c r="AF226" t="s">
        <v>74</v>
      </c>
      <c r="AG226">
        <v>54</v>
      </c>
      <c r="AH226">
        <v>11</v>
      </c>
      <c r="AI226">
        <v>12</v>
      </c>
      <c r="AJ226">
        <v>0</v>
      </c>
      <c r="AK226">
        <v>47</v>
      </c>
      <c r="AL226" t="s">
        <v>4506</v>
      </c>
      <c r="AM226" t="s">
        <v>4507</v>
      </c>
      <c r="AN226" t="s">
        <v>4508</v>
      </c>
      <c r="AO226" t="s">
        <v>4509</v>
      </c>
      <c r="AP226" t="s">
        <v>4510</v>
      </c>
      <c r="AQ226" t="s">
        <v>74</v>
      </c>
      <c r="AR226" t="s">
        <v>4511</v>
      </c>
      <c r="AS226" t="s">
        <v>4512</v>
      </c>
      <c r="AT226" t="s">
        <v>74</v>
      </c>
      <c r="AU226">
        <v>2013</v>
      </c>
      <c r="AV226">
        <v>32</v>
      </c>
      <c r="AW226" t="s">
        <v>74</v>
      </c>
      <c r="AX226" t="s">
        <v>74</v>
      </c>
      <c r="AY226" t="s">
        <v>74</v>
      </c>
      <c r="AZ226" t="s">
        <v>74</v>
      </c>
      <c r="BA226" t="s">
        <v>74</v>
      </c>
      <c r="BB226" t="s">
        <v>74</v>
      </c>
      <c r="BC226" t="s">
        <v>74</v>
      </c>
      <c r="BD226">
        <v>19932</v>
      </c>
      <c r="BE226" t="s">
        <v>4513</v>
      </c>
      <c r="BF226" t="str">
        <f>HYPERLINK("http://dx.doi.org/10.3402/polar.v32i0.19932","http://dx.doi.org/10.3402/polar.v32i0.19932")</f>
        <v>http://dx.doi.org/10.3402/polar.v32i0.19932</v>
      </c>
      <c r="BG226" t="s">
        <v>74</v>
      </c>
      <c r="BH226" t="s">
        <v>74</v>
      </c>
      <c r="BI226">
        <v>10</v>
      </c>
      <c r="BJ226" t="s">
        <v>4514</v>
      </c>
      <c r="BK226" t="s">
        <v>102</v>
      </c>
      <c r="BL226" t="s">
        <v>4515</v>
      </c>
      <c r="BM226" t="s">
        <v>4516</v>
      </c>
      <c r="BN226" t="s">
        <v>74</v>
      </c>
      <c r="BO226" t="s">
        <v>1719</v>
      </c>
      <c r="BP226" t="s">
        <v>74</v>
      </c>
      <c r="BQ226" t="s">
        <v>74</v>
      </c>
      <c r="BR226" t="s">
        <v>105</v>
      </c>
      <c r="BS226" t="s">
        <v>4517</v>
      </c>
      <c r="BT226" t="str">
        <f>HYPERLINK("https%3A%2F%2Fwww.webofscience.com%2Fwos%2Fwoscc%2Ffull-record%2FWOS:000329128000001","View Full Record in Web of Science")</f>
        <v>View Full Record in Web of Science</v>
      </c>
    </row>
    <row r="227" spans="1:72" x14ac:dyDescent="0.15">
      <c r="A227" t="s">
        <v>72</v>
      </c>
      <c r="B227" t="s">
        <v>4518</v>
      </c>
      <c r="C227" t="s">
        <v>74</v>
      </c>
      <c r="D227" t="s">
        <v>74</v>
      </c>
      <c r="E227" t="s">
        <v>74</v>
      </c>
      <c r="F227" t="s">
        <v>4519</v>
      </c>
      <c r="G227" t="s">
        <v>74</v>
      </c>
      <c r="H227" t="s">
        <v>74</v>
      </c>
      <c r="I227" t="s">
        <v>4520</v>
      </c>
      <c r="J227" t="s">
        <v>4521</v>
      </c>
      <c r="K227" t="s">
        <v>74</v>
      </c>
      <c r="L227" t="s">
        <v>74</v>
      </c>
      <c r="M227" t="s">
        <v>78</v>
      </c>
      <c r="N227" t="s">
        <v>79</v>
      </c>
      <c r="O227" t="s">
        <v>74</v>
      </c>
      <c r="P227" t="s">
        <v>74</v>
      </c>
      <c r="Q227" t="s">
        <v>74</v>
      </c>
      <c r="R227" t="s">
        <v>74</v>
      </c>
      <c r="S227" t="s">
        <v>74</v>
      </c>
      <c r="T227" t="s">
        <v>74</v>
      </c>
      <c r="U227" t="s">
        <v>4522</v>
      </c>
      <c r="V227" t="s">
        <v>4523</v>
      </c>
      <c r="W227" t="s">
        <v>4524</v>
      </c>
      <c r="X227" t="s">
        <v>4525</v>
      </c>
      <c r="Y227" t="s">
        <v>4526</v>
      </c>
      <c r="Z227" t="s">
        <v>4527</v>
      </c>
      <c r="AA227" t="s">
        <v>4528</v>
      </c>
      <c r="AB227" t="s">
        <v>4529</v>
      </c>
      <c r="AC227" t="s">
        <v>4530</v>
      </c>
      <c r="AD227" t="s">
        <v>4531</v>
      </c>
      <c r="AE227" t="s">
        <v>4532</v>
      </c>
      <c r="AF227" t="s">
        <v>74</v>
      </c>
      <c r="AG227">
        <v>61</v>
      </c>
      <c r="AH227">
        <v>43</v>
      </c>
      <c r="AI227">
        <v>43</v>
      </c>
      <c r="AJ227">
        <v>5</v>
      </c>
      <c r="AK227">
        <v>78</v>
      </c>
      <c r="AL227" t="s">
        <v>4248</v>
      </c>
      <c r="AM227" t="s">
        <v>4249</v>
      </c>
      <c r="AN227" t="s">
        <v>4250</v>
      </c>
      <c r="AO227" t="s">
        <v>4533</v>
      </c>
      <c r="AP227" t="s">
        <v>4534</v>
      </c>
      <c r="AQ227" t="s">
        <v>74</v>
      </c>
      <c r="AR227" t="s">
        <v>4535</v>
      </c>
      <c r="AS227" t="s">
        <v>4536</v>
      </c>
      <c r="AT227" t="s">
        <v>74</v>
      </c>
      <c r="AU227">
        <v>2013</v>
      </c>
      <c r="AV227">
        <v>13</v>
      </c>
      <c r="AW227">
        <v>23</v>
      </c>
      <c r="AX227" t="s">
        <v>74</v>
      </c>
      <c r="AY227" t="s">
        <v>74</v>
      </c>
      <c r="AZ227" t="s">
        <v>74</v>
      </c>
      <c r="BA227" t="s">
        <v>74</v>
      </c>
      <c r="BB227">
        <v>12029</v>
      </c>
      <c r="BC227">
        <v>12041</v>
      </c>
      <c r="BD227" t="s">
        <v>74</v>
      </c>
      <c r="BE227" t="s">
        <v>4537</v>
      </c>
      <c r="BF227" t="str">
        <f>HYPERLINK("http://dx.doi.org/10.5194/acp-13-12029-2013","http://dx.doi.org/10.5194/acp-13-12029-2013")</f>
        <v>http://dx.doi.org/10.5194/acp-13-12029-2013</v>
      </c>
      <c r="BG227" t="s">
        <v>74</v>
      </c>
      <c r="BH227" t="s">
        <v>74</v>
      </c>
      <c r="BI227">
        <v>13</v>
      </c>
      <c r="BJ227" t="s">
        <v>1627</v>
      </c>
      <c r="BK227" t="s">
        <v>102</v>
      </c>
      <c r="BL227" t="s">
        <v>1628</v>
      </c>
      <c r="BM227" t="s">
        <v>4538</v>
      </c>
      <c r="BN227" t="s">
        <v>74</v>
      </c>
      <c r="BO227" t="s">
        <v>4132</v>
      </c>
      <c r="BP227" t="s">
        <v>74</v>
      </c>
      <c r="BQ227" t="s">
        <v>74</v>
      </c>
      <c r="BR227" t="s">
        <v>105</v>
      </c>
      <c r="BS227" t="s">
        <v>4539</v>
      </c>
      <c r="BT227" t="str">
        <f>HYPERLINK("https%3A%2F%2Fwww.webofscience.com%2Fwos%2Fwoscc%2Ffull-record%2FWOS:000328616800028","View Full Record in Web of Science")</f>
        <v>View Full Record in Web of Science</v>
      </c>
    </row>
    <row r="228" spans="1:72" x14ac:dyDescent="0.15">
      <c r="A228" t="s">
        <v>72</v>
      </c>
      <c r="B228" t="s">
        <v>4540</v>
      </c>
      <c r="C228" t="s">
        <v>74</v>
      </c>
      <c r="D228" t="s">
        <v>74</v>
      </c>
      <c r="E228" t="s">
        <v>74</v>
      </c>
      <c r="F228" t="s">
        <v>4541</v>
      </c>
      <c r="G228" t="s">
        <v>74</v>
      </c>
      <c r="H228" t="s">
        <v>74</v>
      </c>
      <c r="I228" t="s">
        <v>4542</v>
      </c>
      <c r="J228" t="s">
        <v>4238</v>
      </c>
      <c r="K228" t="s">
        <v>74</v>
      </c>
      <c r="L228" t="s">
        <v>74</v>
      </c>
      <c r="M228" t="s">
        <v>78</v>
      </c>
      <c r="N228" t="s">
        <v>79</v>
      </c>
      <c r="O228" t="s">
        <v>74</v>
      </c>
      <c r="P228" t="s">
        <v>74</v>
      </c>
      <c r="Q228" t="s">
        <v>74</v>
      </c>
      <c r="R228" t="s">
        <v>74</v>
      </c>
      <c r="S228" t="s">
        <v>74</v>
      </c>
      <c r="T228" t="s">
        <v>74</v>
      </c>
      <c r="U228" t="s">
        <v>4543</v>
      </c>
      <c r="V228" t="s">
        <v>4544</v>
      </c>
      <c r="W228" t="s">
        <v>4545</v>
      </c>
      <c r="X228" t="s">
        <v>4546</v>
      </c>
      <c r="Y228" t="s">
        <v>4547</v>
      </c>
      <c r="Z228" t="s">
        <v>4548</v>
      </c>
      <c r="AA228" t="s">
        <v>4549</v>
      </c>
      <c r="AB228" t="s">
        <v>4550</v>
      </c>
      <c r="AC228" t="s">
        <v>4551</v>
      </c>
      <c r="AD228" t="s">
        <v>4552</v>
      </c>
      <c r="AE228" t="s">
        <v>4553</v>
      </c>
      <c r="AF228" t="s">
        <v>74</v>
      </c>
      <c r="AG228">
        <v>38</v>
      </c>
      <c r="AH228">
        <v>30</v>
      </c>
      <c r="AI228">
        <v>32</v>
      </c>
      <c r="AJ228">
        <v>0</v>
      </c>
      <c r="AK228">
        <v>10</v>
      </c>
      <c r="AL228" t="s">
        <v>4248</v>
      </c>
      <c r="AM228" t="s">
        <v>4249</v>
      </c>
      <c r="AN228" t="s">
        <v>4250</v>
      </c>
      <c r="AO228" t="s">
        <v>4251</v>
      </c>
      <c r="AP228" t="s">
        <v>4252</v>
      </c>
      <c r="AQ228" t="s">
        <v>74</v>
      </c>
      <c r="AR228" t="s">
        <v>4238</v>
      </c>
      <c r="AS228" t="s">
        <v>4253</v>
      </c>
      <c r="AT228" t="s">
        <v>74</v>
      </c>
      <c r="AU228">
        <v>2013</v>
      </c>
      <c r="AV228">
        <v>7</v>
      </c>
      <c r="AW228">
        <v>5</v>
      </c>
      <c r="AX228" t="s">
        <v>74</v>
      </c>
      <c r="AY228" t="s">
        <v>74</v>
      </c>
      <c r="AZ228" t="s">
        <v>74</v>
      </c>
      <c r="BA228" t="s">
        <v>74</v>
      </c>
      <c r="BB228">
        <v>1375</v>
      </c>
      <c r="BC228">
        <v>1384</v>
      </c>
      <c r="BD228" t="s">
        <v>74</v>
      </c>
      <c r="BE228" t="s">
        <v>4554</v>
      </c>
      <c r="BF228" t="str">
        <f>HYPERLINK("http://dx.doi.org/10.5194/tc-7-1375-2013","http://dx.doi.org/10.5194/tc-7-1375-2013")</f>
        <v>http://dx.doi.org/10.5194/tc-7-1375-2013</v>
      </c>
      <c r="BG228" t="s">
        <v>74</v>
      </c>
      <c r="BH228" t="s">
        <v>74</v>
      </c>
      <c r="BI228">
        <v>10</v>
      </c>
      <c r="BJ228" t="s">
        <v>2261</v>
      </c>
      <c r="BK228" t="s">
        <v>102</v>
      </c>
      <c r="BL228" t="s">
        <v>2262</v>
      </c>
      <c r="BM228" t="s">
        <v>4555</v>
      </c>
      <c r="BN228" t="s">
        <v>74</v>
      </c>
      <c r="BO228" t="s">
        <v>4556</v>
      </c>
      <c r="BP228" t="s">
        <v>74</v>
      </c>
      <c r="BQ228" t="s">
        <v>74</v>
      </c>
      <c r="BR228" t="s">
        <v>105</v>
      </c>
      <c r="BS228" t="s">
        <v>4557</v>
      </c>
      <c r="BT228" t="str">
        <f>HYPERLINK("https%3A%2F%2Fwww.webofscience.com%2Fwos%2Fwoscc%2Ffull-record%2FWOS:000328544800004","View Full Record in Web of Science")</f>
        <v>View Full Record in Web of Science</v>
      </c>
    </row>
    <row r="229" spans="1:72" x14ac:dyDescent="0.15">
      <c r="A229" t="s">
        <v>72</v>
      </c>
      <c r="B229" t="s">
        <v>4558</v>
      </c>
      <c r="C229" t="s">
        <v>74</v>
      </c>
      <c r="D229" t="s">
        <v>74</v>
      </c>
      <c r="E229" t="s">
        <v>74</v>
      </c>
      <c r="F229" t="s">
        <v>4559</v>
      </c>
      <c r="G229" t="s">
        <v>74</v>
      </c>
      <c r="H229" t="s">
        <v>74</v>
      </c>
      <c r="I229" t="s">
        <v>4560</v>
      </c>
      <c r="J229" t="s">
        <v>4238</v>
      </c>
      <c r="K229" t="s">
        <v>74</v>
      </c>
      <c r="L229" t="s">
        <v>74</v>
      </c>
      <c r="M229" t="s">
        <v>78</v>
      </c>
      <c r="N229" t="s">
        <v>79</v>
      </c>
      <c r="O229" t="s">
        <v>74</v>
      </c>
      <c r="P229" t="s">
        <v>74</v>
      </c>
      <c r="Q229" t="s">
        <v>74</v>
      </c>
      <c r="R229" t="s">
        <v>74</v>
      </c>
      <c r="S229" t="s">
        <v>74</v>
      </c>
      <c r="T229" t="s">
        <v>74</v>
      </c>
      <c r="U229" t="s">
        <v>4561</v>
      </c>
      <c r="V229" t="s">
        <v>4562</v>
      </c>
      <c r="W229" t="s">
        <v>4563</v>
      </c>
      <c r="X229" t="s">
        <v>4564</v>
      </c>
      <c r="Y229" t="s">
        <v>4565</v>
      </c>
      <c r="Z229" t="s">
        <v>4566</v>
      </c>
      <c r="AA229" t="s">
        <v>4567</v>
      </c>
      <c r="AB229" t="s">
        <v>4568</v>
      </c>
      <c r="AC229" t="s">
        <v>4569</v>
      </c>
      <c r="AD229" t="s">
        <v>4570</v>
      </c>
      <c r="AE229" t="s">
        <v>4571</v>
      </c>
      <c r="AF229" t="s">
        <v>74</v>
      </c>
      <c r="AG229">
        <v>43</v>
      </c>
      <c r="AH229">
        <v>9</v>
      </c>
      <c r="AI229">
        <v>9</v>
      </c>
      <c r="AJ229">
        <v>3</v>
      </c>
      <c r="AK229">
        <v>24</v>
      </c>
      <c r="AL229" t="s">
        <v>4248</v>
      </c>
      <c r="AM229" t="s">
        <v>4249</v>
      </c>
      <c r="AN229" t="s">
        <v>4250</v>
      </c>
      <c r="AO229" t="s">
        <v>4251</v>
      </c>
      <c r="AP229" t="s">
        <v>4252</v>
      </c>
      <c r="AQ229" t="s">
        <v>74</v>
      </c>
      <c r="AR229" t="s">
        <v>4238</v>
      </c>
      <c r="AS229" t="s">
        <v>4253</v>
      </c>
      <c r="AT229" t="s">
        <v>74</v>
      </c>
      <c r="AU229">
        <v>2013</v>
      </c>
      <c r="AV229">
        <v>7</v>
      </c>
      <c r="AW229">
        <v>5</v>
      </c>
      <c r="AX229" t="s">
        <v>74</v>
      </c>
      <c r="AY229" t="s">
        <v>74</v>
      </c>
      <c r="AZ229" t="s">
        <v>74</v>
      </c>
      <c r="BA229" t="s">
        <v>74</v>
      </c>
      <c r="BB229">
        <v>1399</v>
      </c>
      <c r="BC229">
        <v>1410</v>
      </c>
      <c r="BD229" t="s">
        <v>74</v>
      </c>
      <c r="BE229" t="s">
        <v>4572</v>
      </c>
      <c r="BF229" t="str">
        <f>HYPERLINK("http://dx.doi.org/10.5194/tc-7-1399-2013","http://dx.doi.org/10.5194/tc-7-1399-2013")</f>
        <v>http://dx.doi.org/10.5194/tc-7-1399-2013</v>
      </c>
      <c r="BG229" t="s">
        <v>74</v>
      </c>
      <c r="BH229" t="s">
        <v>74</v>
      </c>
      <c r="BI229">
        <v>12</v>
      </c>
      <c r="BJ229" t="s">
        <v>2261</v>
      </c>
      <c r="BK229" t="s">
        <v>102</v>
      </c>
      <c r="BL229" t="s">
        <v>2262</v>
      </c>
      <c r="BM229" t="s">
        <v>4555</v>
      </c>
      <c r="BN229" t="s">
        <v>74</v>
      </c>
      <c r="BO229" t="s">
        <v>4132</v>
      </c>
      <c r="BP229" t="s">
        <v>74</v>
      </c>
      <c r="BQ229" t="s">
        <v>74</v>
      </c>
      <c r="BR229" t="s">
        <v>105</v>
      </c>
      <c r="BS229" t="s">
        <v>4573</v>
      </c>
      <c r="BT229" t="str">
        <f>HYPERLINK("https%3A%2F%2Fwww.webofscience.com%2Fwos%2Fwoscc%2Ffull-record%2FWOS:000328544800006","View Full Record in Web of Science")</f>
        <v>View Full Record in Web of Science</v>
      </c>
    </row>
    <row r="230" spans="1:72" x14ac:dyDescent="0.15">
      <c r="A230" t="s">
        <v>72</v>
      </c>
      <c r="B230" t="s">
        <v>4574</v>
      </c>
      <c r="C230" t="s">
        <v>74</v>
      </c>
      <c r="D230" t="s">
        <v>74</v>
      </c>
      <c r="E230" t="s">
        <v>74</v>
      </c>
      <c r="F230" t="s">
        <v>4575</v>
      </c>
      <c r="G230" t="s">
        <v>74</v>
      </c>
      <c r="H230" t="s">
        <v>74</v>
      </c>
      <c r="I230" t="s">
        <v>4576</v>
      </c>
      <c r="J230" t="s">
        <v>4238</v>
      </c>
      <c r="K230" t="s">
        <v>74</v>
      </c>
      <c r="L230" t="s">
        <v>74</v>
      </c>
      <c r="M230" t="s">
        <v>78</v>
      </c>
      <c r="N230" t="s">
        <v>79</v>
      </c>
      <c r="O230" t="s">
        <v>74</v>
      </c>
      <c r="P230" t="s">
        <v>74</v>
      </c>
      <c r="Q230" t="s">
        <v>74</v>
      </c>
      <c r="R230" t="s">
        <v>74</v>
      </c>
      <c r="S230" t="s">
        <v>74</v>
      </c>
      <c r="T230" t="s">
        <v>74</v>
      </c>
      <c r="U230" t="s">
        <v>4577</v>
      </c>
      <c r="V230" t="s">
        <v>4578</v>
      </c>
      <c r="W230" t="s">
        <v>4579</v>
      </c>
      <c r="X230" t="s">
        <v>4580</v>
      </c>
      <c r="Y230" t="s">
        <v>4581</v>
      </c>
      <c r="Z230" t="s">
        <v>4582</v>
      </c>
      <c r="AA230" t="s">
        <v>4583</v>
      </c>
      <c r="AB230" t="s">
        <v>4584</v>
      </c>
      <c r="AC230" t="s">
        <v>4585</v>
      </c>
      <c r="AD230" t="s">
        <v>4586</v>
      </c>
      <c r="AE230" t="s">
        <v>4587</v>
      </c>
      <c r="AF230" t="s">
        <v>74</v>
      </c>
      <c r="AG230">
        <v>64</v>
      </c>
      <c r="AH230">
        <v>71</v>
      </c>
      <c r="AI230">
        <v>78</v>
      </c>
      <c r="AJ230">
        <v>0</v>
      </c>
      <c r="AK230">
        <v>16</v>
      </c>
      <c r="AL230" t="s">
        <v>4248</v>
      </c>
      <c r="AM230" t="s">
        <v>4249</v>
      </c>
      <c r="AN230" t="s">
        <v>4250</v>
      </c>
      <c r="AO230" t="s">
        <v>4251</v>
      </c>
      <c r="AP230" t="s">
        <v>4252</v>
      </c>
      <c r="AQ230" t="s">
        <v>74</v>
      </c>
      <c r="AR230" t="s">
        <v>4238</v>
      </c>
      <c r="AS230" t="s">
        <v>4253</v>
      </c>
      <c r="AT230" t="s">
        <v>74</v>
      </c>
      <c r="AU230">
        <v>2013</v>
      </c>
      <c r="AV230">
        <v>7</v>
      </c>
      <c r="AW230">
        <v>5</v>
      </c>
      <c r="AX230" t="s">
        <v>74</v>
      </c>
      <c r="AY230" t="s">
        <v>74</v>
      </c>
      <c r="AZ230" t="s">
        <v>74</v>
      </c>
      <c r="BA230" t="s">
        <v>74</v>
      </c>
      <c r="BB230">
        <v>1411</v>
      </c>
      <c r="BC230">
        <v>1432</v>
      </c>
      <c r="BD230" t="s">
        <v>74</v>
      </c>
      <c r="BE230" t="s">
        <v>4588</v>
      </c>
      <c r="BF230" t="str">
        <f>HYPERLINK("http://dx.doi.org/10.5194/tc-7-1411-2013","http://dx.doi.org/10.5194/tc-7-1411-2013")</f>
        <v>http://dx.doi.org/10.5194/tc-7-1411-2013</v>
      </c>
      <c r="BG230" t="s">
        <v>74</v>
      </c>
      <c r="BH230" t="s">
        <v>74</v>
      </c>
      <c r="BI230">
        <v>22</v>
      </c>
      <c r="BJ230" t="s">
        <v>2261</v>
      </c>
      <c r="BK230" t="s">
        <v>102</v>
      </c>
      <c r="BL230" t="s">
        <v>2262</v>
      </c>
      <c r="BM230" t="s">
        <v>4555</v>
      </c>
      <c r="BN230" t="s">
        <v>74</v>
      </c>
      <c r="BO230" t="s">
        <v>4132</v>
      </c>
      <c r="BP230" t="s">
        <v>74</v>
      </c>
      <c r="BQ230" t="s">
        <v>74</v>
      </c>
      <c r="BR230" t="s">
        <v>105</v>
      </c>
      <c r="BS230" t="s">
        <v>4589</v>
      </c>
      <c r="BT230" t="str">
        <f>HYPERLINK("https%3A%2F%2Fwww.webofscience.com%2Fwos%2Fwoscc%2Ffull-record%2FWOS:000328544800007","View Full Record in Web of Science")</f>
        <v>View Full Record in Web of Science</v>
      </c>
    </row>
    <row r="231" spans="1:72" x14ac:dyDescent="0.15">
      <c r="A231" t="s">
        <v>72</v>
      </c>
      <c r="B231" t="s">
        <v>4590</v>
      </c>
      <c r="C231" t="s">
        <v>74</v>
      </c>
      <c r="D231" t="s">
        <v>74</v>
      </c>
      <c r="E231" t="s">
        <v>74</v>
      </c>
      <c r="F231" t="s">
        <v>4591</v>
      </c>
      <c r="G231" t="s">
        <v>74</v>
      </c>
      <c r="H231" t="s">
        <v>74</v>
      </c>
      <c r="I231" t="s">
        <v>4592</v>
      </c>
      <c r="J231" t="s">
        <v>4238</v>
      </c>
      <c r="K231" t="s">
        <v>74</v>
      </c>
      <c r="L231" t="s">
        <v>74</v>
      </c>
      <c r="M231" t="s">
        <v>78</v>
      </c>
      <c r="N231" t="s">
        <v>79</v>
      </c>
      <c r="O231" t="s">
        <v>74</v>
      </c>
      <c r="P231" t="s">
        <v>74</v>
      </c>
      <c r="Q231" t="s">
        <v>74</v>
      </c>
      <c r="R231" t="s">
        <v>74</v>
      </c>
      <c r="S231" t="s">
        <v>74</v>
      </c>
      <c r="T231" t="s">
        <v>74</v>
      </c>
      <c r="U231" t="s">
        <v>4593</v>
      </c>
      <c r="V231" t="s">
        <v>4594</v>
      </c>
      <c r="W231" t="s">
        <v>4595</v>
      </c>
      <c r="X231" t="s">
        <v>4596</v>
      </c>
      <c r="Y231" t="s">
        <v>4597</v>
      </c>
      <c r="Z231" t="s">
        <v>4598</v>
      </c>
      <c r="AA231" t="s">
        <v>4599</v>
      </c>
      <c r="AB231" t="s">
        <v>4600</v>
      </c>
      <c r="AC231" t="s">
        <v>4601</v>
      </c>
      <c r="AD231" t="s">
        <v>4602</v>
      </c>
      <c r="AE231" t="s">
        <v>4603</v>
      </c>
      <c r="AF231" t="s">
        <v>74</v>
      </c>
      <c r="AG231">
        <v>70</v>
      </c>
      <c r="AH231">
        <v>36</v>
      </c>
      <c r="AI231">
        <v>40</v>
      </c>
      <c r="AJ231">
        <v>0</v>
      </c>
      <c r="AK231">
        <v>22</v>
      </c>
      <c r="AL231" t="s">
        <v>4248</v>
      </c>
      <c r="AM231" t="s">
        <v>4249</v>
      </c>
      <c r="AN231" t="s">
        <v>4250</v>
      </c>
      <c r="AO231" t="s">
        <v>4251</v>
      </c>
      <c r="AP231" t="s">
        <v>4252</v>
      </c>
      <c r="AQ231" t="s">
        <v>74</v>
      </c>
      <c r="AR231" t="s">
        <v>4238</v>
      </c>
      <c r="AS231" t="s">
        <v>4253</v>
      </c>
      <c r="AT231" t="s">
        <v>74</v>
      </c>
      <c r="AU231">
        <v>2013</v>
      </c>
      <c r="AV231">
        <v>7</v>
      </c>
      <c r="AW231">
        <v>5</v>
      </c>
      <c r="AX231" t="s">
        <v>74</v>
      </c>
      <c r="AY231" t="s">
        <v>74</v>
      </c>
      <c r="AZ231" t="s">
        <v>74</v>
      </c>
      <c r="BA231" t="s">
        <v>74</v>
      </c>
      <c r="BB231">
        <v>1481</v>
      </c>
      <c r="BC231">
        <v>1498</v>
      </c>
      <c r="BD231" t="s">
        <v>74</v>
      </c>
      <c r="BE231" t="s">
        <v>4604</v>
      </c>
      <c r="BF231" t="str">
        <f>HYPERLINK("http://dx.doi.org/10.5194/tc-7-1481-2013","http://dx.doi.org/10.5194/tc-7-1481-2013")</f>
        <v>http://dx.doi.org/10.5194/tc-7-1481-2013</v>
      </c>
      <c r="BG231" t="s">
        <v>74</v>
      </c>
      <c r="BH231" t="s">
        <v>74</v>
      </c>
      <c r="BI231">
        <v>18</v>
      </c>
      <c r="BJ231" t="s">
        <v>2261</v>
      </c>
      <c r="BK231" t="s">
        <v>102</v>
      </c>
      <c r="BL231" t="s">
        <v>2262</v>
      </c>
      <c r="BM231" t="s">
        <v>4555</v>
      </c>
      <c r="BN231" t="s">
        <v>74</v>
      </c>
      <c r="BO231" t="s">
        <v>4605</v>
      </c>
      <c r="BP231" t="s">
        <v>74</v>
      </c>
      <c r="BQ231" t="s">
        <v>74</v>
      </c>
      <c r="BR231" t="s">
        <v>105</v>
      </c>
      <c r="BS231" t="s">
        <v>4606</v>
      </c>
      <c r="BT231" t="str">
        <f>HYPERLINK("https%3A%2F%2Fwww.webofscience.com%2Fwos%2Fwoscc%2Ffull-record%2FWOS:000328544800012","View Full Record in Web of Science")</f>
        <v>View Full Record in Web of Science</v>
      </c>
    </row>
    <row r="232" spans="1:72" x14ac:dyDescent="0.15">
      <c r="A232" t="s">
        <v>72</v>
      </c>
      <c r="B232" t="s">
        <v>4607</v>
      </c>
      <c r="C232" t="s">
        <v>74</v>
      </c>
      <c r="D232" t="s">
        <v>74</v>
      </c>
      <c r="E232" t="s">
        <v>74</v>
      </c>
      <c r="F232" t="s">
        <v>4608</v>
      </c>
      <c r="G232" t="s">
        <v>74</v>
      </c>
      <c r="H232" t="s">
        <v>74</v>
      </c>
      <c r="I232" t="s">
        <v>4609</v>
      </c>
      <c r="J232" t="s">
        <v>4238</v>
      </c>
      <c r="K232" t="s">
        <v>74</v>
      </c>
      <c r="L232" t="s">
        <v>74</v>
      </c>
      <c r="M232" t="s">
        <v>78</v>
      </c>
      <c r="N232" t="s">
        <v>79</v>
      </c>
      <c r="O232" t="s">
        <v>74</v>
      </c>
      <c r="P232" t="s">
        <v>74</v>
      </c>
      <c r="Q232" t="s">
        <v>74</v>
      </c>
      <c r="R232" t="s">
        <v>74</v>
      </c>
      <c r="S232" t="s">
        <v>74</v>
      </c>
      <c r="T232" t="s">
        <v>74</v>
      </c>
      <c r="U232" t="s">
        <v>4610</v>
      </c>
      <c r="V232" t="s">
        <v>4611</v>
      </c>
      <c r="W232" t="s">
        <v>4612</v>
      </c>
      <c r="X232" t="s">
        <v>4613</v>
      </c>
      <c r="Y232" t="s">
        <v>4614</v>
      </c>
      <c r="Z232" t="s">
        <v>4615</v>
      </c>
      <c r="AA232" t="s">
        <v>74</v>
      </c>
      <c r="AB232" t="s">
        <v>4616</v>
      </c>
      <c r="AC232" t="s">
        <v>4617</v>
      </c>
      <c r="AD232" t="s">
        <v>4618</v>
      </c>
      <c r="AE232" t="s">
        <v>4619</v>
      </c>
      <c r="AF232" t="s">
        <v>74</v>
      </c>
      <c r="AG232">
        <v>44</v>
      </c>
      <c r="AH232">
        <v>59</v>
      </c>
      <c r="AI232">
        <v>62</v>
      </c>
      <c r="AJ232">
        <v>0</v>
      </c>
      <c r="AK232">
        <v>14</v>
      </c>
      <c r="AL232" t="s">
        <v>4248</v>
      </c>
      <c r="AM232" t="s">
        <v>4249</v>
      </c>
      <c r="AN232" t="s">
        <v>4250</v>
      </c>
      <c r="AO232" t="s">
        <v>4251</v>
      </c>
      <c r="AP232" t="s">
        <v>4252</v>
      </c>
      <c r="AQ232" t="s">
        <v>74</v>
      </c>
      <c r="AR232" t="s">
        <v>4238</v>
      </c>
      <c r="AS232" t="s">
        <v>4253</v>
      </c>
      <c r="AT232" t="s">
        <v>74</v>
      </c>
      <c r="AU232">
        <v>2013</v>
      </c>
      <c r="AV232">
        <v>7</v>
      </c>
      <c r="AW232">
        <v>5</v>
      </c>
      <c r="AX232" t="s">
        <v>74</v>
      </c>
      <c r="AY232" t="s">
        <v>74</v>
      </c>
      <c r="AZ232" t="s">
        <v>74</v>
      </c>
      <c r="BA232" t="s">
        <v>74</v>
      </c>
      <c r="BB232">
        <v>1513</v>
      </c>
      <c r="BC232">
        <v>1526</v>
      </c>
      <c r="BD232" t="s">
        <v>74</v>
      </c>
      <c r="BE232" t="s">
        <v>4620</v>
      </c>
      <c r="BF232" t="str">
        <f>HYPERLINK("http://dx.doi.org/10.5194/tc-7-1513-2013","http://dx.doi.org/10.5194/tc-7-1513-2013")</f>
        <v>http://dx.doi.org/10.5194/tc-7-1513-2013</v>
      </c>
      <c r="BG232" t="s">
        <v>74</v>
      </c>
      <c r="BH232" t="s">
        <v>74</v>
      </c>
      <c r="BI232">
        <v>14</v>
      </c>
      <c r="BJ232" t="s">
        <v>2261</v>
      </c>
      <c r="BK232" t="s">
        <v>102</v>
      </c>
      <c r="BL232" t="s">
        <v>2262</v>
      </c>
      <c r="BM232" t="s">
        <v>4555</v>
      </c>
      <c r="BN232" t="s">
        <v>74</v>
      </c>
      <c r="BO232" t="s">
        <v>4621</v>
      </c>
      <c r="BP232" t="s">
        <v>74</v>
      </c>
      <c r="BQ232" t="s">
        <v>74</v>
      </c>
      <c r="BR232" t="s">
        <v>105</v>
      </c>
      <c r="BS232" t="s">
        <v>4622</v>
      </c>
      <c r="BT232" t="str">
        <f>HYPERLINK("https%3A%2F%2Fwww.webofscience.com%2Fwos%2Fwoscc%2Ffull-record%2FWOS:000328544800014","View Full Record in Web of Science")</f>
        <v>View Full Record in Web of Science</v>
      </c>
    </row>
    <row r="233" spans="1:72" x14ac:dyDescent="0.15">
      <c r="A233" t="s">
        <v>72</v>
      </c>
      <c r="B233" t="s">
        <v>4623</v>
      </c>
      <c r="C233" t="s">
        <v>74</v>
      </c>
      <c r="D233" t="s">
        <v>74</v>
      </c>
      <c r="E233" t="s">
        <v>74</v>
      </c>
      <c r="F233" t="s">
        <v>4624</v>
      </c>
      <c r="G233" t="s">
        <v>74</v>
      </c>
      <c r="H233" t="s">
        <v>74</v>
      </c>
      <c r="I233" t="s">
        <v>4625</v>
      </c>
      <c r="J233" t="s">
        <v>4238</v>
      </c>
      <c r="K233" t="s">
        <v>74</v>
      </c>
      <c r="L233" t="s">
        <v>74</v>
      </c>
      <c r="M233" t="s">
        <v>78</v>
      </c>
      <c r="N233" t="s">
        <v>79</v>
      </c>
      <c r="O233" t="s">
        <v>74</v>
      </c>
      <c r="P233" t="s">
        <v>74</v>
      </c>
      <c r="Q233" t="s">
        <v>74</v>
      </c>
      <c r="R233" t="s">
        <v>74</v>
      </c>
      <c r="S233" t="s">
        <v>74</v>
      </c>
      <c r="T233" t="s">
        <v>74</v>
      </c>
      <c r="U233" t="s">
        <v>4626</v>
      </c>
      <c r="V233" t="s">
        <v>4627</v>
      </c>
      <c r="W233" t="s">
        <v>4628</v>
      </c>
      <c r="X233" t="s">
        <v>4629</v>
      </c>
      <c r="Y233" t="s">
        <v>4630</v>
      </c>
      <c r="Z233" t="s">
        <v>4631</v>
      </c>
      <c r="AA233" t="s">
        <v>4632</v>
      </c>
      <c r="AB233" t="s">
        <v>4633</v>
      </c>
      <c r="AC233" t="s">
        <v>4634</v>
      </c>
      <c r="AD233" t="s">
        <v>4635</v>
      </c>
      <c r="AE233" t="s">
        <v>4636</v>
      </c>
      <c r="AF233" t="s">
        <v>74</v>
      </c>
      <c r="AG233">
        <v>56</v>
      </c>
      <c r="AH233">
        <v>19</v>
      </c>
      <c r="AI233">
        <v>20</v>
      </c>
      <c r="AJ233">
        <v>0</v>
      </c>
      <c r="AK233">
        <v>14</v>
      </c>
      <c r="AL233" t="s">
        <v>4248</v>
      </c>
      <c r="AM233" t="s">
        <v>4249</v>
      </c>
      <c r="AN233" t="s">
        <v>4250</v>
      </c>
      <c r="AO233" t="s">
        <v>4251</v>
      </c>
      <c r="AP233" t="s">
        <v>4252</v>
      </c>
      <c r="AQ233" t="s">
        <v>74</v>
      </c>
      <c r="AR233" t="s">
        <v>4238</v>
      </c>
      <c r="AS233" t="s">
        <v>4253</v>
      </c>
      <c r="AT233" t="s">
        <v>74</v>
      </c>
      <c r="AU233">
        <v>2013</v>
      </c>
      <c r="AV233">
        <v>7</v>
      </c>
      <c r="AW233">
        <v>5</v>
      </c>
      <c r="AX233" t="s">
        <v>74</v>
      </c>
      <c r="AY233" t="s">
        <v>74</v>
      </c>
      <c r="AZ233" t="s">
        <v>74</v>
      </c>
      <c r="BA233" t="s">
        <v>74</v>
      </c>
      <c r="BB233">
        <v>1635</v>
      </c>
      <c r="BC233">
        <v>1644</v>
      </c>
      <c r="BD233" t="s">
        <v>74</v>
      </c>
      <c r="BE233" t="s">
        <v>4637</v>
      </c>
      <c r="BF233" t="str">
        <f>HYPERLINK("http://dx.doi.org/10.5194/tc-7-1635-2013","http://dx.doi.org/10.5194/tc-7-1635-2013")</f>
        <v>http://dx.doi.org/10.5194/tc-7-1635-2013</v>
      </c>
      <c r="BG233" t="s">
        <v>74</v>
      </c>
      <c r="BH233" t="s">
        <v>74</v>
      </c>
      <c r="BI233">
        <v>10</v>
      </c>
      <c r="BJ233" t="s">
        <v>2261</v>
      </c>
      <c r="BK233" t="s">
        <v>102</v>
      </c>
      <c r="BL233" t="s">
        <v>2262</v>
      </c>
      <c r="BM233" t="s">
        <v>4555</v>
      </c>
      <c r="BN233" t="s">
        <v>74</v>
      </c>
      <c r="BO233" t="s">
        <v>2766</v>
      </c>
      <c r="BP233" t="s">
        <v>74</v>
      </c>
      <c r="BQ233" t="s">
        <v>74</v>
      </c>
      <c r="BR233" t="s">
        <v>105</v>
      </c>
      <c r="BS233" t="s">
        <v>4638</v>
      </c>
      <c r="BT233" t="str">
        <f>HYPERLINK("https%3A%2F%2Fwww.webofscience.com%2Fwos%2Fwoscc%2Ffull-record%2FWOS:000328544800023","View Full Record in Web of Science")</f>
        <v>View Full Record in Web of Science</v>
      </c>
    </row>
    <row r="234" spans="1:72" x14ac:dyDescent="0.15">
      <c r="A234" t="s">
        <v>72</v>
      </c>
      <c r="B234" t="s">
        <v>4639</v>
      </c>
      <c r="C234" t="s">
        <v>74</v>
      </c>
      <c r="D234" t="s">
        <v>74</v>
      </c>
      <c r="E234" t="s">
        <v>74</v>
      </c>
      <c r="F234" t="s">
        <v>4640</v>
      </c>
      <c r="G234" t="s">
        <v>74</v>
      </c>
      <c r="H234" t="s">
        <v>74</v>
      </c>
      <c r="I234" t="s">
        <v>4641</v>
      </c>
      <c r="J234" t="s">
        <v>4238</v>
      </c>
      <c r="K234" t="s">
        <v>74</v>
      </c>
      <c r="L234" t="s">
        <v>74</v>
      </c>
      <c r="M234" t="s">
        <v>78</v>
      </c>
      <c r="N234" t="s">
        <v>79</v>
      </c>
      <c r="O234" t="s">
        <v>74</v>
      </c>
      <c r="P234" t="s">
        <v>74</v>
      </c>
      <c r="Q234" t="s">
        <v>74</v>
      </c>
      <c r="R234" t="s">
        <v>74</v>
      </c>
      <c r="S234" t="s">
        <v>74</v>
      </c>
      <c r="T234" t="s">
        <v>74</v>
      </c>
      <c r="U234" t="s">
        <v>4642</v>
      </c>
      <c r="V234" t="s">
        <v>4643</v>
      </c>
      <c r="W234" t="s">
        <v>4644</v>
      </c>
      <c r="X234" t="s">
        <v>4645</v>
      </c>
      <c r="Y234" t="s">
        <v>4646</v>
      </c>
      <c r="Z234" t="s">
        <v>4647</v>
      </c>
      <c r="AA234" t="s">
        <v>4648</v>
      </c>
      <c r="AB234" t="s">
        <v>4649</v>
      </c>
      <c r="AC234" t="s">
        <v>4650</v>
      </c>
      <c r="AD234" t="s">
        <v>4651</v>
      </c>
      <c r="AE234" t="s">
        <v>4652</v>
      </c>
      <c r="AF234" t="s">
        <v>74</v>
      </c>
      <c r="AG234">
        <v>82</v>
      </c>
      <c r="AH234">
        <v>72</v>
      </c>
      <c r="AI234">
        <v>81</v>
      </c>
      <c r="AJ234">
        <v>0</v>
      </c>
      <c r="AK234">
        <v>29</v>
      </c>
      <c r="AL234" t="s">
        <v>4248</v>
      </c>
      <c r="AM234" t="s">
        <v>4249</v>
      </c>
      <c r="AN234" t="s">
        <v>4250</v>
      </c>
      <c r="AO234" t="s">
        <v>4251</v>
      </c>
      <c r="AP234" t="s">
        <v>4252</v>
      </c>
      <c r="AQ234" t="s">
        <v>74</v>
      </c>
      <c r="AR234" t="s">
        <v>4238</v>
      </c>
      <c r="AS234" t="s">
        <v>4253</v>
      </c>
      <c r="AT234" t="s">
        <v>74</v>
      </c>
      <c r="AU234">
        <v>2013</v>
      </c>
      <c r="AV234">
        <v>7</v>
      </c>
      <c r="AW234">
        <v>6</v>
      </c>
      <c r="AX234" t="s">
        <v>74</v>
      </c>
      <c r="AY234" t="s">
        <v>74</v>
      </c>
      <c r="AZ234" t="s">
        <v>74</v>
      </c>
      <c r="BA234" t="s">
        <v>74</v>
      </c>
      <c r="BB234">
        <v>1931</v>
      </c>
      <c r="BC234">
        <v>1947</v>
      </c>
      <c r="BD234" t="s">
        <v>74</v>
      </c>
      <c r="BE234" t="s">
        <v>4653</v>
      </c>
      <c r="BF234" t="str">
        <f>HYPERLINK("http://dx.doi.org/10.5194/tc-7-1931-2013","http://dx.doi.org/10.5194/tc-7-1931-2013")</f>
        <v>http://dx.doi.org/10.5194/tc-7-1931-2013</v>
      </c>
      <c r="BG234" t="s">
        <v>74</v>
      </c>
      <c r="BH234" t="s">
        <v>74</v>
      </c>
      <c r="BI234">
        <v>17</v>
      </c>
      <c r="BJ234" t="s">
        <v>2261</v>
      </c>
      <c r="BK234" t="s">
        <v>102</v>
      </c>
      <c r="BL234" t="s">
        <v>2262</v>
      </c>
      <c r="BM234" t="s">
        <v>4654</v>
      </c>
      <c r="BN234" t="s">
        <v>74</v>
      </c>
      <c r="BO234" t="s">
        <v>4132</v>
      </c>
      <c r="BP234" t="s">
        <v>74</v>
      </c>
      <c r="BQ234" t="s">
        <v>74</v>
      </c>
      <c r="BR234" t="s">
        <v>105</v>
      </c>
      <c r="BS234" t="s">
        <v>4655</v>
      </c>
      <c r="BT234" t="str">
        <f>HYPERLINK("https%3A%2F%2Fwww.webofscience.com%2Fwos%2Fwoscc%2Ffull-record%2FWOS:000328546300020","View Full Record in Web of Science")</f>
        <v>View Full Record in Web of Science</v>
      </c>
    </row>
    <row r="235" spans="1:72" x14ac:dyDescent="0.15">
      <c r="A235" t="s">
        <v>72</v>
      </c>
      <c r="B235" t="s">
        <v>4656</v>
      </c>
      <c r="C235" t="s">
        <v>74</v>
      </c>
      <c r="D235" t="s">
        <v>74</v>
      </c>
      <c r="E235" t="s">
        <v>74</v>
      </c>
      <c r="F235" t="s">
        <v>4657</v>
      </c>
      <c r="G235" t="s">
        <v>74</v>
      </c>
      <c r="H235" t="s">
        <v>74</v>
      </c>
      <c r="I235" t="s">
        <v>4658</v>
      </c>
      <c r="J235" t="s">
        <v>4659</v>
      </c>
      <c r="K235" t="s">
        <v>74</v>
      </c>
      <c r="L235" t="s">
        <v>74</v>
      </c>
      <c r="M235" t="s">
        <v>78</v>
      </c>
      <c r="N235" t="s">
        <v>79</v>
      </c>
      <c r="O235" t="s">
        <v>74</v>
      </c>
      <c r="P235" t="s">
        <v>74</v>
      </c>
      <c r="Q235" t="s">
        <v>74</v>
      </c>
      <c r="R235" t="s">
        <v>74</v>
      </c>
      <c r="S235" t="s">
        <v>74</v>
      </c>
      <c r="T235" t="s">
        <v>4660</v>
      </c>
      <c r="U235" t="s">
        <v>4661</v>
      </c>
      <c r="V235" t="s">
        <v>4662</v>
      </c>
      <c r="W235" t="s">
        <v>4663</v>
      </c>
      <c r="X235" t="s">
        <v>4664</v>
      </c>
      <c r="Y235" t="s">
        <v>4665</v>
      </c>
      <c r="Z235" t="s">
        <v>4666</v>
      </c>
      <c r="AA235" t="s">
        <v>4667</v>
      </c>
      <c r="AB235" t="s">
        <v>4668</v>
      </c>
      <c r="AC235" t="s">
        <v>4669</v>
      </c>
      <c r="AD235" t="s">
        <v>4669</v>
      </c>
      <c r="AE235" t="s">
        <v>4670</v>
      </c>
      <c r="AF235" t="s">
        <v>74</v>
      </c>
      <c r="AG235">
        <v>61</v>
      </c>
      <c r="AH235">
        <v>19</v>
      </c>
      <c r="AI235">
        <v>20</v>
      </c>
      <c r="AJ235">
        <v>0</v>
      </c>
      <c r="AK235">
        <v>7</v>
      </c>
      <c r="AL235" t="s">
        <v>4671</v>
      </c>
      <c r="AM235" t="s">
        <v>474</v>
      </c>
      <c r="AN235" t="s">
        <v>4672</v>
      </c>
      <c r="AO235" t="s">
        <v>4673</v>
      </c>
      <c r="AP235" t="s">
        <v>74</v>
      </c>
      <c r="AQ235" t="s">
        <v>74</v>
      </c>
      <c r="AR235" t="s">
        <v>4674</v>
      </c>
      <c r="AS235" t="s">
        <v>4675</v>
      </c>
      <c r="AT235" t="s">
        <v>74</v>
      </c>
      <c r="AU235">
        <v>2013</v>
      </c>
      <c r="AV235">
        <v>65</v>
      </c>
      <c r="AW235">
        <v>12</v>
      </c>
      <c r="AX235" t="s">
        <v>74</v>
      </c>
      <c r="AY235" t="s">
        <v>74</v>
      </c>
      <c r="AZ235" t="s">
        <v>74</v>
      </c>
      <c r="BA235" t="s">
        <v>74</v>
      </c>
      <c r="BB235">
        <v>1541</v>
      </c>
      <c r="BC235">
        <v>1553</v>
      </c>
      <c r="BD235" t="s">
        <v>74</v>
      </c>
      <c r="BE235" t="s">
        <v>4676</v>
      </c>
      <c r="BF235" t="str">
        <f>HYPERLINK("http://dx.doi.org/10.5047/eps.2013.09.011","http://dx.doi.org/10.5047/eps.2013.09.011")</f>
        <v>http://dx.doi.org/10.5047/eps.2013.09.011</v>
      </c>
      <c r="BG235" t="s">
        <v>74</v>
      </c>
      <c r="BH235" t="s">
        <v>74</v>
      </c>
      <c r="BI235">
        <v>13</v>
      </c>
      <c r="BJ235" t="s">
        <v>1604</v>
      </c>
      <c r="BK235" t="s">
        <v>102</v>
      </c>
      <c r="BL235" t="s">
        <v>1605</v>
      </c>
      <c r="BM235" t="s">
        <v>4677</v>
      </c>
      <c r="BN235" t="s">
        <v>74</v>
      </c>
      <c r="BO235" t="s">
        <v>104</v>
      </c>
      <c r="BP235" t="s">
        <v>74</v>
      </c>
      <c r="BQ235" t="s">
        <v>74</v>
      </c>
      <c r="BR235" t="s">
        <v>105</v>
      </c>
      <c r="BS235" t="s">
        <v>4678</v>
      </c>
      <c r="BT235" t="str">
        <f>HYPERLINK("https%3A%2F%2Fwww.webofscience.com%2Fwos%2Fwoscc%2Ffull-record%2FWOS:000328705000012","View Full Record in Web of Science")</f>
        <v>View Full Record in Web of Science</v>
      </c>
    </row>
    <row r="236" spans="1:72" x14ac:dyDescent="0.15">
      <c r="A236" t="s">
        <v>3224</v>
      </c>
      <c r="B236" t="s">
        <v>4679</v>
      </c>
      <c r="C236" t="s">
        <v>74</v>
      </c>
      <c r="D236" t="s">
        <v>4680</v>
      </c>
      <c r="E236" t="s">
        <v>74</v>
      </c>
      <c r="F236" t="s">
        <v>4681</v>
      </c>
      <c r="G236" t="s">
        <v>74</v>
      </c>
      <c r="H236" t="s">
        <v>74</v>
      </c>
      <c r="I236" t="s">
        <v>4682</v>
      </c>
      <c r="J236" t="s">
        <v>4683</v>
      </c>
      <c r="K236" t="s">
        <v>74</v>
      </c>
      <c r="L236" t="s">
        <v>74</v>
      </c>
      <c r="M236" t="s">
        <v>78</v>
      </c>
      <c r="N236" t="s">
        <v>3231</v>
      </c>
      <c r="O236" t="s">
        <v>4684</v>
      </c>
      <c r="P236" t="s">
        <v>4685</v>
      </c>
      <c r="Q236" t="s">
        <v>4686</v>
      </c>
      <c r="R236" t="s">
        <v>74</v>
      </c>
      <c r="S236" t="s">
        <v>4687</v>
      </c>
      <c r="T236" t="s">
        <v>74</v>
      </c>
      <c r="U236" t="s">
        <v>4688</v>
      </c>
      <c r="V236" t="s">
        <v>4689</v>
      </c>
      <c r="W236" t="s">
        <v>4690</v>
      </c>
      <c r="X236" t="s">
        <v>4691</v>
      </c>
      <c r="Y236" t="s">
        <v>4692</v>
      </c>
      <c r="Z236" t="s">
        <v>4693</v>
      </c>
      <c r="AA236" t="s">
        <v>4694</v>
      </c>
      <c r="AB236" t="s">
        <v>4695</v>
      </c>
      <c r="AC236" t="s">
        <v>74</v>
      </c>
      <c r="AD236" t="s">
        <v>74</v>
      </c>
      <c r="AE236" t="s">
        <v>74</v>
      </c>
      <c r="AF236" t="s">
        <v>74</v>
      </c>
      <c r="AG236">
        <v>62</v>
      </c>
      <c r="AH236">
        <v>3</v>
      </c>
      <c r="AI236">
        <v>4</v>
      </c>
      <c r="AJ236">
        <v>0</v>
      </c>
      <c r="AK236">
        <v>12</v>
      </c>
      <c r="AL236" t="s">
        <v>4696</v>
      </c>
      <c r="AM236" t="s">
        <v>4697</v>
      </c>
      <c r="AN236" t="s">
        <v>4698</v>
      </c>
      <c r="AO236" t="s">
        <v>74</v>
      </c>
      <c r="AP236" t="s">
        <v>74</v>
      </c>
      <c r="AQ236" t="s">
        <v>4699</v>
      </c>
      <c r="AR236" t="s">
        <v>74</v>
      </c>
      <c r="AS236" t="s">
        <v>74</v>
      </c>
      <c r="AT236" t="s">
        <v>74</v>
      </c>
      <c r="AU236">
        <v>2013</v>
      </c>
      <c r="AV236" t="s">
        <v>74</v>
      </c>
      <c r="AW236" t="s">
        <v>74</v>
      </c>
      <c r="AX236" t="s">
        <v>74</v>
      </c>
      <c r="AY236" t="s">
        <v>74</v>
      </c>
      <c r="AZ236" t="s">
        <v>74</v>
      </c>
      <c r="BA236" t="s">
        <v>74</v>
      </c>
      <c r="BB236">
        <v>3</v>
      </c>
      <c r="BC236">
        <v>10</v>
      </c>
      <c r="BD236" t="s">
        <v>74</v>
      </c>
      <c r="BE236" t="s">
        <v>74</v>
      </c>
      <c r="BF236" t="s">
        <v>74</v>
      </c>
      <c r="BG236" t="s">
        <v>74</v>
      </c>
      <c r="BH236" t="s">
        <v>74</v>
      </c>
      <c r="BI236">
        <v>8</v>
      </c>
      <c r="BJ236" t="s">
        <v>223</v>
      </c>
      <c r="BK236" t="s">
        <v>3247</v>
      </c>
      <c r="BL236" t="s">
        <v>223</v>
      </c>
      <c r="BM236" t="s">
        <v>4700</v>
      </c>
      <c r="BN236" t="s">
        <v>74</v>
      </c>
      <c r="BO236" t="s">
        <v>74</v>
      </c>
      <c r="BP236" t="s">
        <v>74</v>
      </c>
      <c r="BQ236" t="s">
        <v>74</v>
      </c>
      <c r="BR236" t="s">
        <v>105</v>
      </c>
      <c r="BS236" t="s">
        <v>4701</v>
      </c>
      <c r="BT236" t="str">
        <f>HYPERLINK("https%3A%2F%2Fwww.webofscience.com%2Fwos%2Fwoscc%2Ffull-record%2FWOS:000328334100001","View Full Record in Web of Science")</f>
        <v>View Full Record in Web of Science</v>
      </c>
    </row>
    <row r="237" spans="1:72" x14ac:dyDescent="0.15">
      <c r="A237" t="s">
        <v>3224</v>
      </c>
      <c r="B237" t="s">
        <v>4702</v>
      </c>
      <c r="C237" t="s">
        <v>74</v>
      </c>
      <c r="D237" t="s">
        <v>4680</v>
      </c>
      <c r="E237" t="s">
        <v>74</v>
      </c>
      <c r="F237" t="s">
        <v>4703</v>
      </c>
      <c r="G237" t="s">
        <v>74</v>
      </c>
      <c r="H237" t="s">
        <v>74</v>
      </c>
      <c r="I237" t="s">
        <v>4704</v>
      </c>
      <c r="J237" t="s">
        <v>4683</v>
      </c>
      <c r="K237" t="s">
        <v>74</v>
      </c>
      <c r="L237" t="s">
        <v>74</v>
      </c>
      <c r="M237" t="s">
        <v>78</v>
      </c>
      <c r="N237" t="s">
        <v>3231</v>
      </c>
      <c r="O237" t="s">
        <v>4684</v>
      </c>
      <c r="P237" t="s">
        <v>4685</v>
      </c>
      <c r="Q237" t="s">
        <v>4686</v>
      </c>
      <c r="R237" t="s">
        <v>74</v>
      </c>
      <c r="S237" t="s">
        <v>4687</v>
      </c>
      <c r="T237" t="s">
        <v>74</v>
      </c>
      <c r="U237" t="s">
        <v>4705</v>
      </c>
      <c r="V237" t="s">
        <v>4706</v>
      </c>
      <c r="W237" t="s">
        <v>4707</v>
      </c>
      <c r="X237" t="s">
        <v>946</v>
      </c>
      <c r="Y237" t="s">
        <v>4708</v>
      </c>
      <c r="Z237" t="s">
        <v>4709</v>
      </c>
      <c r="AA237" t="s">
        <v>4710</v>
      </c>
      <c r="AB237" t="s">
        <v>4711</v>
      </c>
      <c r="AC237" t="s">
        <v>74</v>
      </c>
      <c r="AD237" t="s">
        <v>74</v>
      </c>
      <c r="AE237" t="s">
        <v>74</v>
      </c>
      <c r="AF237" t="s">
        <v>74</v>
      </c>
      <c r="AG237">
        <v>29</v>
      </c>
      <c r="AH237">
        <v>4</v>
      </c>
      <c r="AI237">
        <v>5</v>
      </c>
      <c r="AJ237">
        <v>0</v>
      </c>
      <c r="AK237">
        <v>31</v>
      </c>
      <c r="AL237" t="s">
        <v>4696</v>
      </c>
      <c r="AM237" t="s">
        <v>4697</v>
      </c>
      <c r="AN237" t="s">
        <v>4698</v>
      </c>
      <c r="AO237" t="s">
        <v>74</v>
      </c>
      <c r="AP237" t="s">
        <v>74</v>
      </c>
      <c r="AQ237" t="s">
        <v>4699</v>
      </c>
      <c r="AR237" t="s">
        <v>74</v>
      </c>
      <c r="AS237" t="s">
        <v>74</v>
      </c>
      <c r="AT237" t="s">
        <v>74</v>
      </c>
      <c r="AU237">
        <v>2013</v>
      </c>
      <c r="AV237" t="s">
        <v>74</v>
      </c>
      <c r="AW237" t="s">
        <v>74</v>
      </c>
      <c r="AX237" t="s">
        <v>74</v>
      </c>
      <c r="AY237" t="s">
        <v>74</v>
      </c>
      <c r="AZ237" t="s">
        <v>74</v>
      </c>
      <c r="BA237" t="s">
        <v>74</v>
      </c>
      <c r="BB237">
        <v>195</v>
      </c>
      <c r="BC237">
        <v>201</v>
      </c>
      <c r="BD237" t="s">
        <v>74</v>
      </c>
      <c r="BE237" t="s">
        <v>74</v>
      </c>
      <c r="BF237" t="s">
        <v>74</v>
      </c>
      <c r="BG237" t="s">
        <v>74</v>
      </c>
      <c r="BH237" t="s">
        <v>74</v>
      </c>
      <c r="BI237">
        <v>7</v>
      </c>
      <c r="BJ237" t="s">
        <v>223</v>
      </c>
      <c r="BK237" t="s">
        <v>3247</v>
      </c>
      <c r="BL237" t="s">
        <v>223</v>
      </c>
      <c r="BM237" t="s">
        <v>4700</v>
      </c>
      <c r="BN237" t="s">
        <v>74</v>
      </c>
      <c r="BO237" t="s">
        <v>74</v>
      </c>
      <c r="BP237" t="s">
        <v>74</v>
      </c>
      <c r="BQ237" t="s">
        <v>74</v>
      </c>
      <c r="BR237" t="s">
        <v>105</v>
      </c>
      <c r="BS237" t="s">
        <v>4712</v>
      </c>
      <c r="BT237" t="str">
        <f>HYPERLINK("https%3A%2F%2Fwww.webofscience.com%2Fwos%2Fwoscc%2Ffull-record%2FWOS:000328334100021","View Full Record in Web of Science")</f>
        <v>View Full Record in Web of Science</v>
      </c>
    </row>
    <row r="238" spans="1:72" x14ac:dyDescent="0.15">
      <c r="A238" t="s">
        <v>3251</v>
      </c>
      <c r="B238" t="s">
        <v>4713</v>
      </c>
      <c r="C238" t="s">
        <v>74</v>
      </c>
      <c r="D238" t="s">
        <v>4680</v>
      </c>
      <c r="E238" t="s">
        <v>74</v>
      </c>
      <c r="F238" t="s">
        <v>4714</v>
      </c>
      <c r="G238" t="s">
        <v>74</v>
      </c>
      <c r="H238" t="s">
        <v>74</v>
      </c>
      <c r="I238" t="s">
        <v>4715</v>
      </c>
      <c r="J238" t="s">
        <v>4683</v>
      </c>
      <c r="K238" t="s">
        <v>74</v>
      </c>
      <c r="L238" t="s">
        <v>74</v>
      </c>
      <c r="M238" t="s">
        <v>78</v>
      </c>
      <c r="N238" t="s">
        <v>52</v>
      </c>
      <c r="O238" t="s">
        <v>4684</v>
      </c>
      <c r="P238" t="s">
        <v>4685</v>
      </c>
      <c r="Q238" t="s">
        <v>4686</v>
      </c>
      <c r="R238" t="s">
        <v>74</v>
      </c>
      <c r="S238" t="s">
        <v>4687</v>
      </c>
      <c r="T238" t="s">
        <v>74</v>
      </c>
      <c r="U238" t="s">
        <v>74</v>
      </c>
      <c r="V238" t="s">
        <v>74</v>
      </c>
      <c r="W238" t="s">
        <v>4716</v>
      </c>
      <c r="X238" t="s">
        <v>4717</v>
      </c>
      <c r="Y238" t="s">
        <v>74</v>
      </c>
      <c r="Z238" t="s">
        <v>74</v>
      </c>
      <c r="AA238" t="s">
        <v>74</v>
      </c>
      <c r="AB238" t="s">
        <v>74</v>
      </c>
      <c r="AC238" t="s">
        <v>74</v>
      </c>
      <c r="AD238" t="s">
        <v>74</v>
      </c>
      <c r="AE238" t="s">
        <v>74</v>
      </c>
      <c r="AF238" t="s">
        <v>74</v>
      </c>
      <c r="AG238">
        <v>0</v>
      </c>
      <c r="AH238">
        <v>0</v>
      </c>
      <c r="AI238">
        <v>0</v>
      </c>
      <c r="AJ238">
        <v>0</v>
      </c>
      <c r="AK238">
        <v>0</v>
      </c>
      <c r="AL238" t="s">
        <v>4696</v>
      </c>
      <c r="AM238" t="s">
        <v>4697</v>
      </c>
      <c r="AN238" t="s">
        <v>4698</v>
      </c>
      <c r="AO238" t="s">
        <v>74</v>
      </c>
      <c r="AP238" t="s">
        <v>74</v>
      </c>
      <c r="AQ238" t="s">
        <v>4699</v>
      </c>
      <c r="AR238" t="s">
        <v>74</v>
      </c>
      <c r="AS238" t="s">
        <v>74</v>
      </c>
      <c r="AT238" t="s">
        <v>74</v>
      </c>
      <c r="AU238">
        <v>2013</v>
      </c>
      <c r="AV238" t="s">
        <v>74</v>
      </c>
      <c r="AW238" t="s">
        <v>74</v>
      </c>
      <c r="AX238" t="s">
        <v>74</v>
      </c>
      <c r="AY238" t="s">
        <v>74</v>
      </c>
      <c r="AZ238" t="s">
        <v>74</v>
      </c>
      <c r="BA238" t="s">
        <v>74</v>
      </c>
      <c r="BB238">
        <v>268</v>
      </c>
      <c r="BC238">
        <v>268</v>
      </c>
      <c r="BD238" t="s">
        <v>74</v>
      </c>
      <c r="BE238" t="s">
        <v>74</v>
      </c>
      <c r="BF238" t="s">
        <v>74</v>
      </c>
      <c r="BG238" t="s">
        <v>74</v>
      </c>
      <c r="BH238" t="s">
        <v>74</v>
      </c>
      <c r="BI238">
        <v>1</v>
      </c>
      <c r="BJ238" t="s">
        <v>223</v>
      </c>
      <c r="BK238" t="s">
        <v>3247</v>
      </c>
      <c r="BL238" t="s">
        <v>223</v>
      </c>
      <c r="BM238" t="s">
        <v>4700</v>
      </c>
      <c r="BN238" t="s">
        <v>74</v>
      </c>
      <c r="BO238" t="s">
        <v>74</v>
      </c>
      <c r="BP238" t="s">
        <v>74</v>
      </c>
      <c r="BQ238" t="s">
        <v>74</v>
      </c>
      <c r="BR238" t="s">
        <v>105</v>
      </c>
      <c r="BS238" t="s">
        <v>4718</v>
      </c>
      <c r="BT238" t="str">
        <f>HYPERLINK("https%3A%2F%2Fwww.webofscience.com%2Fwos%2Fwoscc%2Ffull-record%2FWOS:000328334100074","View Full Record in Web of Science")</f>
        <v>View Full Record in Web of Science</v>
      </c>
    </row>
    <row r="239" spans="1:72" x14ac:dyDescent="0.15">
      <c r="A239" t="s">
        <v>3251</v>
      </c>
      <c r="B239" t="s">
        <v>4719</v>
      </c>
      <c r="C239" t="s">
        <v>74</v>
      </c>
      <c r="D239" t="s">
        <v>4680</v>
      </c>
      <c r="E239" t="s">
        <v>74</v>
      </c>
      <c r="F239" t="s">
        <v>4720</v>
      </c>
      <c r="G239" t="s">
        <v>74</v>
      </c>
      <c r="H239" t="s">
        <v>74</v>
      </c>
      <c r="I239" t="s">
        <v>4721</v>
      </c>
      <c r="J239" t="s">
        <v>4683</v>
      </c>
      <c r="K239" t="s">
        <v>74</v>
      </c>
      <c r="L239" t="s">
        <v>74</v>
      </c>
      <c r="M239" t="s">
        <v>78</v>
      </c>
      <c r="N239" t="s">
        <v>52</v>
      </c>
      <c r="O239" t="s">
        <v>4684</v>
      </c>
      <c r="P239" t="s">
        <v>4685</v>
      </c>
      <c r="Q239" t="s">
        <v>4686</v>
      </c>
      <c r="R239" t="s">
        <v>74</v>
      </c>
      <c r="S239" t="s">
        <v>4687</v>
      </c>
      <c r="T239" t="s">
        <v>74</v>
      </c>
      <c r="U239" t="s">
        <v>74</v>
      </c>
      <c r="V239" t="s">
        <v>74</v>
      </c>
      <c r="W239" t="s">
        <v>4722</v>
      </c>
      <c r="X239" t="s">
        <v>4723</v>
      </c>
      <c r="Y239" t="s">
        <v>74</v>
      </c>
      <c r="Z239" t="s">
        <v>4724</v>
      </c>
      <c r="AA239" t="s">
        <v>74</v>
      </c>
      <c r="AB239" t="s">
        <v>74</v>
      </c>
      <c r="AC239" t="s">
        <v>74</v>
      </c>
      <c r="AD239" t="s">
        <v>74</v>
      </c>
      <c r="AE239" t="s">
        <v>74</v>
      </c>
      <c r="AF239" t="s">
        <v>74</v>
      </c>
      <c r="AG239">
        <v>0</v>
      </c>
      <c r="AH239">
        <v>0</v>
      </c>
      <c r="AI239">
        <v>0</v>
      </c>
      <c r="AJ239">
        <v>0</v>
      </c>
      <c r="AK239">
        <v>3</v>
      </c>
      <c r="AL239" t="s">
        <v>4696</v>
      </c>
      <c r="AM239" t="s">
        <v>4697</v>
      </c>
      <c r="AN239" t="s">
        <v>4698</v>
      </c>
      <c r="AO239" t="s">
        <v>74</v>
      </c>
      <c r="AP239" t="s">
        <v>74</v>
      </c>
      <c r="AQ239" t="s">
        <v>4699</v>
      </c>
      <c r="AR239" t="s">
        <v>74</v>
      </c>
      <c r="AS239" t="s">
        <v>74</v>
      </c>
      <c r="AT239" t="s">
        <v>74</v>
      </c>
      <c r="AU239">
        <v>2013</v>
      </c>
      <c r="AV239" t="s">
        <v>74</v>
      </c>
      <c r="AW239" t="s">
        <v>74</v>
      </c>
      <c r="AX239" t="s">
        <v>74</v>
      </c>
      <c r="AY239" t="s">
        <v>74</v>
      </c>
      <c r="AZ239" t="s">
        <v>74</v>
      </c>
      <c r="BA239" t="s">
        <v>74</v>
      </c>
      <c r="BB239">
        <v>308</v>
      </c>
      <c r="BC239">
        <v>308</v>
      </c>
      <c r="BD239" t="s">
        <v>74</v>
      </c>
      <c r="BE239" t="s">
        <v>74</v>
      </c>
      <c r="BF239" t="s">
        <v>74</v>
      </c>
      <c r="BG239" t="s">
        <v>74</v>
      </c>
      <c r="BH239" t="s">
        <v>74</v>
      </c>
      <c r="BI239">
        <v>1</v>
      </c>
      <c r="BJ239" t="s">
        <v>223</v>
      </c>
      <c r="BK239" t="s">
        <v>3247</v>
      </c>
      <c r="BL239" t="s">
        <v>223</v>
      </c>
      <c r="BM239" t="s">
        <v>4700</v>
      </c>
      <c r="BN239" t="s">
        <v>74</v>
      </c>
      <c r="BO239" t="s">
        <v>74</v>
      </c>
      <c r="BP239" t="s">
        <v>74</v>
      </c>
      <c r="BQ239" t="s">
        <v>74</v>
      </c>
      <c r="BR239" t="s">
        <v>105</v>
      </c>
      <c r="BS239" t="s">
        <v>4725</v>
      </c>
      <c r="BT239" t="str">
        <f>HYPERLINK("https%3A%2F%2Fwww.webofscience.com%2Fwos%2Fwoscc%2Ffull-record%2FWOS:000328334100138","View Full Record in Web of Science")</f>
        <v>View Full Record in Web of Science</v>
      </c>
    </row>
    <row r="240" spans="1:72" x14ac:dyDescent="0.15">
      <c r="A240" t="s">
        <v>3224</v>
      </c>
      <c r="B240" t="s">
        <v>4726</v>
      </c>
      <c r="C240" t="s">
        <v>74</v>
      </c>
      <c r="D240" t="s">
        <v>4727</v>
      </c>
      <c r="E240" t="s">
        <v>74</v>
      </c>
      <c r="F240" t="s">
        <v>4728</v>
      </c>
      <c r="G240" t="s">
        <v>74</v>
      </c>
      <c r="H240" t="s">
        <v>74</v>
      </c>
      <c r="I240" t="s">
        <v>4729</v>
      </c>
      <c r="J240" t="s">
        <v>4730</v>
      </c>
      <c r="K240" t="s">
        <v>4731</v>
      </c>
      <c r="L240" t="s">
        <v>74</v>
      </c>
      <c r="M240" t="s">
        <v>78</v>
      </c>
      <c r="N240" t="s">
        <v>3231</v>
      </c>
      <c r="O240" t="s">
        <v>4732</v>
      </c>
      <c r="P240" t="s">
        <v>4733</v>
      </c>
      <c r="Q240" t="s">
        <v>4734</v>
      </c>
      <c r="R240" t="s">
        <v>74</v>
      </c>
      <c r="S240" t="s">
        <v>4735</v>
      </c>
      <c r="T240" t="s">
        <v>74</v>
      </c>
      <c r="U240" t="s">
        <v>74</v>
      </c>
      <c r="V240" t="s">
        <v>74</v>
      </c>
      <c r="W240" t="s">
        <v>4736</v>
      </c>
      <c r="X240" t="s">
        <v>4737</v>
      </c>
      <c r="Y240" t="s">
        <v>74</v>
      </c>
      <c r="Z240" t="s">
        <v>74</v>
      </c>
      <c r="AA240" t="s">
        <v>74</v>
      </c>
      <c r="AB240" t="s">
        <v>74</v>
      </c>
      <c r="AC240" t="s">
        <v>74</v>
      </c>
      <c r="AD240" t="s">
        <v>74</v>
      </c>
      <c r="AE240" t="s">
        <v>74</v>
      </c>
      <c r="AF240" t="s">
        <v>74</v>
      </c>
      <c r="AG240">
        <v>37</v>
      </c>
      <c r="AH240">
        <v>8</v>
      </c>
      <c r="AI240">
        <v>9</v>
      </c>
      <c r="AJ240">
        <v>0</v>
      </c>
      <c r="AK240">
        <v>5</v>
      </c>
      <c r="AL240" t="s">
        <v>4738</v>
      </c>
      <c r="AM240" t="s">
        <v>4739</v>
      </c>
      <c r="AN240" t="s">
        <v>4740</v>
      </c>
      <c r="AO240" t="s">
        <v>4741</v>
      </c>
      <c r="AP240" t="s">
        <v>74</v>
      </c>
      <c r="AQ240" t="s">
        <v>4742</v>
      </c>
      <c r="AR240" t="s">
        <v>4743</v>
      </c>
      <c r="AS240" t="s">
        <v>74</v>
      </c>
      <c r="AT240" t="s">
        <v>74</v>
      </c>
      <c r="AU240">
        <v>2013</v>
      </c>
      <c r="AV240">
        <v>76</v>
      </c>
      <c r="AW240" t="s">
        <v>74</v>
      </c>
      <c r="AX240" t="s">
        <v>74</v>
      </c>
      <c r="AY240" t="s">
        <v>74</v>
      </c>
      <c r="AZ240" t="s">
        <v>74</v>
      </c>
      <c r="BA240" t="s">
        <v>74</v>
      </c>
      <c r="BB240">
        <v>17</v>
      </c>
      <c r="BC240">
        <v>34</v>
      </c>
      <c r="BD240" t="s">
        <v>74</v>
      </c>
      <c r="BE240" t="s">
        <v>74</v>
      </c>
      <c r="BF240" t="s">
        <v>74</v>
      </c>
      <c r="BG240" t="s">
        <v>74</v>
      </c>
      <c r="BH240" t="s">
        <v>74</v>
      </c>
      <c r="BI240">
        <v>18</v>
      </c>
      <c r="BJ240" t="s">
        <v>4744</v>
      </c>
      <c r="BK240" t="s">
        <v>4058</v>
      </c>
      <c r="BL240" t="s">
        <v>4745</v>
      </c>
      <c r="BM240" t="s">
        <v>4746</v>
      </c>
      <c r="BN240" t="s">
        <v>74</v>
      </c>
      <c r="BO240" t="s">
        <v>74</v>
      </c>
      <c r="BP240" t="s">
        <v>74</v>
      </c>
      <c r="BQ240" t="s">
        <v>74</v>
      </c>
      <c r="BR240" t="s">
        <v>105</v>
      </c>
      <c r="BS240" t="s">
        <v>4747</v>
      </c>
      <c r="BT240" t="str">
        <f>HYPERLINK("https%3A%2F%2Fwww.webofscience.com%2Fwos%2Fwoscc%2Ffull-record%2FWOS:000328337400002","View Full Record in Web of Science")</f>
        <v>View Full Record in Web of Science</v>
      </c>
    </row>
    <row r="241" spans="1:72" x14ac:dyDescent="0.15">
      <c r="A241" t="s">
        <v>3224</v>
      </c>
      <c r="B241" t="s">
        <v>4748</v>
      </c>
      <c r="C241" t="s">
        <v>74</v>
      </c>
      <c r="D241" t="s">
        <v>4727</v>
      </c>
      <c r="E241" t="s">
        <v>74</v>
      </c>
      <c r="F241" t="s">
        <v>4749</v>
      </c>
      <c r="G241" t="s">
        <v>74</v>
      </c>
      <c r="H241" t="s">
        <v>74</v>
      </c>
      <c r="I241" t="s">
        <v>4750</v>
      </c>
      <c r="J241" t="s">
        <v>4730</v>
      </c>
      <c r="K241" t="s">
        <v>4731</v>
      </c>
      <c r="L241" t="s">
        <v>74</v>
      </c>
      <c r="M241" t="s">
        <v>78</v>
      </c>
      <c r="N241" t="s">
        <v>3231</v>
      </c>
      <c r="O241" t="s">
        <v>4732</v>
      </c>
      <c r="P241" t="s">
        <v>4733</v>
      </c>
      <c r="Q241" t="s">
        <v>4734</v>
      </c>
      <c r="R241" t="s">
        <v>74</v>
      </c>
      <c r="S241" t="s">
        <v>4735</v>
      </c>
      <c r="T241" t="s">
        <v>74</v>
      </c>
      <c r="U241" t="s">
        <v>74</v>
      </c>
      <c r="V241" t="s">
        <v>74</v>
      </c>
      <c r="W241" t="s">
        <v>4751</v>
      </c>
      <c r="X241" t="s">
        <v>4752</v>
      </c>
      <c r="Y241" t="s">
        <v>74</v>
      </c>
      <c r="Z241" t="s">
        <v>74</v>
      </c>
      <c r="AA241" t="s">
        <v>4753</v>
      </c>
      <c r="AB241" t="s">
        <v>74</v>
      </c>
      <c r="AC241" t="s">
        <v>74</v>
      </c>
      <c r="AD241" t="s">
        <v>74</v>
      </c>
      <c r="AE241" t="s">
        <v>74</v>
      </c>
      <c r="AF241" t="s">
        <v>74</v>
      </c>
      <c r="AG241">
        <v>11</v>
      </c>
      <c r="AH241">
        <v>3</v>
      </c>
      <c r="AI241">
        <v>3</v>
      </c>
      <c r="AJ241">
        <v>0</v>
      </c>
      <c r="AK241">
        <v>2</v>
      </c>
      <c r="AL241" t="s">
        <v>4738</v>
      </c>
      <c r="AM241" t="s">
        <v>4739</v>
      </c>
      <c r="AN241" t="s">
        <v>4740</v>
      </c>
      <c r="AO241" t="s">
        <v>4741</v>
      </c>
      <c r="AP241" t="s">
        <v>74</v>
      </c>
      <c r="AQ241" t="s">
        <v>4742</v>
      </c>
      <c r="AR241" t="s">
        <v>4743</v>
      </c>
      <c r="AS241" t="s">
        <v>74</v>
      </c>
      <c r="AT241" t="s">
        <v>74</v>
      </c>
      <c r="AU241">
        <v>2013</v>
      </c>
      <c r="AV241">
        <v>76</v>
      </c>
      <c r="AW241" t="s">
        <v>74</v>
      </c>
      <c r="AX241" t="s">
        <v>74</v>
      </c>
      <c r="AY241" t="s">
        <v>74</v>
      </c>
      <c r="AZ241" t="s">
        <v>74</v>
      </c>
      <c r="BA241" t="s">
        <v>74</v>
      </c>
      <c r="BB241">
        <v>217</v>
      </c>
      <c r="BC241">
        <v>242</v>
      </c>
      <c r="BD241" t="s">
        <v>74</v>
      </c>
      <c r="BE241" t="s">
        <v>74</v>
      </c>
      <c r="BF241" t="s">
        <v>74</v>
      </c>
      <c r="BG241" t="s">
        <v>74</v>
      </c>
      <c r="BH241" t="s">
        <v>74</v>
      </c>
      <c r="BI241">
        <v>26</v>
      </c>
      <c r="BJ241" t="s">
        <v>4744</v>
      </c>
      <c r="BK241" t="s">
        <v>4058</v>
      </c>
      <c r="BL241" t="s">
        <v>4745</v>
      </c>
      <c r="BM241" t="s">
        <v>4746</v>
      </c>
      <c r="BN241" t="s">
        <v>74</v>
      </c>
      <c r="BO241" t="s">
        <v>74</v>
      </c>
      <c r="BP241" t="s">
        <v>74</v>
      </c>
      <c r="BQ241" t="s">
        <v>74</v>
      </c>
      <c r="BR241" t="s">
        <v>105</v>
      </c>
      <c r="BS241" t="s">
        <v>4754</v>
      </c>
      <c r="BT241" t="str">
        <f>HYPERLINK("https%3A%2F%2Fwww.webofscience.com%2Fwos%2Fwoscc%2Ffull-record%2FWOS:000328337400010","View Full Record in Web of Science")</f>
        <v>View Full Record in Web of Science</v>
      </c>
    </row>
    <row r="242" spans="1:72" x14ac:dyDescent="0.15">
      <c r="A242" t="s">
        <v>3224</v>
      </c>
      <c r="B242" t="s">
        <v>4755</v>
      </c>
      <c r="C242" t="s">
        <v>74</v>
      </c>
      <c r="D242" t="s">
        <v>4727</v>
      </c>
      <c r="E242" t="s">
        <v>74</v>
      </c>
      <c r="F242" t="s">
        <v>4756</v>
      </c>
      <c r="G242" t="s">
        <v>74</v>
      </c>
      <c r="H242" t="s">
        <v>74</v>
      </c>
      <c r="I242" t="s">
        <v>4757</v>
      </c>
      <c r="J242" t="s">
        <v>4730</v>
      </c>
      <c r="K242" t="s">
        <v>4731</v>
      </c>
      <c r="L242" t="s">
        <v>74</v>
      </c>
      <c r="M242" t="s">
        <v>78</v>
      </c>
      <c r="N242" t="s">
        <v>3231</v>
      </c>
      <c r="O242" t="s">
        <v>4732</v>
      </c>
      <c r="P242" t="s">
        <v>4733</v>
      </c>
      <c r="Q242" t="s">
        <v>4734</v>
      </c>
      <c r="R242" t="s">
        <v>74</v>
      </c>
      <c r="S242" t="s">
        <v>4735</v>
      </c>
      <c r="T242" t="s">
        <v>74</v>
      </c>
      <c r="U242" t="s">
        <v>74</v>
      </c>
      <c r="V242" t="s">
        <v>74</v>
      </c>
      <c r="W242" t="s">
        <v>4758</v>
      </c>
      <c r="X242" t="s">
        <v>3600</v>
      </c>
      <c r="Y242" t="s">
        <v>74</v>
      </c>
      <c r="Z242" t="s">
        <v>74</v>
      </c>
      <c r="AA242" t="s">
        <v>74</v>
      </c>
      <c r="AB242" t="s">
        <v>4759</v>
      </c>
      <c r="AC242" t="s">
        <v>74</v>
      </c>
      <c r="AD242" t="s">
        <v>74</v>
      </c>
      <c r="AE242" t="s">
        <v>74</v>
      </c>
      <c r="AF242" t="s">
        <v>74</v>
      </c>
      <c r="AG242">
        <v>53</v>
      </c>
      <c r="AH242">
        <v>2</v>
      </c>
      <c r="AI242">
        <v>2</v>
      </c>
      <c r="AJ242">
        <v>0</v>
      </c>
      <c r="AK242">
        <v>5</v>
      </c>
      <c r="AL242" t="s">
        <v>4738</v>
      </c>
      <c r="AM242" t="s">
        <v>4739</v>
      </c>
      <c r="AN242" t="s">
        <v>4740</v>
      </c>
      <c r="AO242" t="s">
        <v>4741</v>
      </c>
      <c r="AP242" t="s">
        <v>74</v>
      </c>
      <c r="AQ242" t="s">
        <v>4742</v>
      </c>
      <c r="AR242" t="s">
        <v>4743</v>
      </c>
      <c r="AS242" t="s">
        <v>74</v>
      </c>
      <c r="AT242" t="s">
        <v>74</v>
      </c>
      <c r="AU242">
        <v>2013</v>
      </c>
      <c r="AV242">
        <v>76</v>
      </c>
      <c r="AW242" t="s">
        <v>74</v>
      </c>
      <c r="AX242" t="s">
        <v>74</v>
      </c>
      <c r="AY242" t="s">
        <v>74</v>
      </c>
      <c r="AZ242" t="s">
        <v>74</v>
      </c>
      <c r="BA242" t="s">
        <v>74</v>
      </c>
      <c r="BB242">
        <v>267</v>
      </c>
      <c r="BC242">
        <v>292</v>
      </c>
      <c r="BD242" t="s">
        <v>74</v>
      </c>
      <c r="BE242" t="s">
        <v>74</v>
      </c>
      <c r="BF242" t="s">
        <v>74</v>
      </c>
      <c r="BG242" t="s">
        <v>74</v>
      </c>
      <c r="BH242" t="s">
        <v>74</v>
      </c>
      <c r="BI242">
        <v>26</v>
      </c>
      <c r="BJ242" t="s">
        <v>4744</v>
      </c>
      <c r="BK242" t="s">
        <v>4058</v>
      </c>
      <c r="BL242" t="s">
        <v>4745</v>
      </c>
      <c r="BM242" t="s">
        <v>4746</v>
      </c>
      <c r="BN242" t="s">
        <v>74</v>
      </c>
      <c r="BO242" t="s">
        <v>74</v>
      </c>
      <c r="BP242" t="s">
        <v>74</v>
      </c>
      <c r="BQ242" t="s">
        <v>74</v>
      </c>
      <c r="BR242" t="s">
        <v>105</v>
      </c>
      <c r="BS242" t="s">
        <v>4760</v>
      </c>
      <c r="BT242" t="str">
        <f>HYPERLINK("https%3A%2F%2Fwww.webofscience.com%2Fwos%2Fwoscc%2Ffull-record%2FWOS:000328337400012","View Full Record in Web of Science")</f>
        <v>View Full Record in Web of Science</v>
      </c>
    </row>
    <row r="243" spans="1:72" x14ac:dyDescent="0.15">
      <c r="A243" t="s">
        <v>3224</v>
      </c>
      <c r="B243" t="s">
        <v>4761</v>
      </c>
      <c r="C243" t="s">
        <v>74</v>
      </c>
      <c r="D243" t="s">
        <v>4727</v>
      </c>
      <c r="E243" t="s">
        <v>74</v>
      </c>
      <c r="F243" t="s">
        <v>4762</v>
      </c>
      <c r="G243" t="s">
        <v>74</v>
      </c>
      <c r="H243" t="s">
        <v>74</v>
      </c>
      <c r="I243" t="s">
        <v>4763</v>
      </c>
      <c r="J243" t="s">
        <v>4730</v>
      </c>
      <c r="K243" t="s">
        <v>4731</v>
      </c>
      <c r="L243" t="s">
        <v>74</v>
      </c>
      <c r="M243" t="s">
        <v>78</v>
      </c>
      <c r="N243" t="s">
        <v>3231</v>
      </c>
      <c r="O243" t="s">
        <v>4732</v>
      </c>
      <c r="P243" t="s">
        <v>4733</v>
      </c>
      <c r="Q243" t="s">
        <v>4734</v>
      </c>
      <c r="R243" t="s">
        <v>74</v>
      </c>
      <c r="S243" t="s">
        <v>4735</v>
      </c>
      <c r="T243" t="s">
        <v>74</v>
      </c>
      <c r="U243" t="s">
        <v>74</v>
      </c>
      <c r="V243" t="s">
        <v>74</v>
      </c>
      <c r="W243" t="s">
        <v>74</v>
      </c>
      <c r="X243" t="s">
        <v>74</v>
      </c>
      <c r="Y243" t="s">
        <v>74</v>
      </c>
      <c r="Z243" t="s">
        <v>74</v>
      </c>
      <c r="AA243" t="s">
        <v>74</v>
      </c>
      <c r="AB243" t="s">
        <v>74</v>
      </c>
      <c r="AC243" t="s">
        <v>74</v>
      </c>
      <c r="AD243" t="s">
        <v>74</v>
      </c>
      <c r="AE243" t="s">
        <v>74</v>
      </c>
      <c r="AF243" t="s">
        <v>74</v>
      </c>
      <c r="AG243">
        <v>13</v>
      </c>
      <c r="AH243">
        <v>4</v>
      </c>
      <c r="AI243">
        <v>4</v>
      </c>
      <c r="AJ243">
        <v>0</v>
      </c>
      <c r="AK243">
        <v>1</v>
      </c>
      <c r="AL243" t="s">
        <v>4738</v>
      </c>
      <c r="AM243" t="s">
        <v>4739</v>
      </c>
      <c r="AN243" t="s">
        <v>4740</v>
      </c>
      <c r="AO243" t="s">
        <v>4741</v>
      </c>
      <c r="AP243" t="s">
        <v>74</v>
      </c>
      <c r="AQ243" t="s">
        <v>4742</v>
      </c>
      <c r="AR243" t="s">
        <v>4743</v>
      </c>
      <c r="AS243" t="s">
        <v>74</v>
      </c>
      <c r="AT243" t="s">
        <v>74</v>
      </c>
      <c r="AU243">
        <v>2013</v>
      </c>
      <c r="AV243">
        <v>76</v>
      </c>
      <c r="AW243" t="s">
        <v>74</v>
      </c>
      <c r="AX243" t="s">
        <v>74</v>
      </c>
      <c r="AY243" t="s">
        <v>74</v>
      </c>
      <c r="AZ243" t="s">
        <v>74</v>
      </c>
      <c r="BA243" t="s">
        <v>74</v>
      </c>
      <c r="BB243">
        <v>323</v>
      </c>
      <c r="BC243">
        <v>341</v>
      </c>
      <c r="BD243" t="s">
        <v>74</v>
      </c>
      <c r="BE243" t="s">
        <v>74</v>
      </c>
      <c r="BF243" t="s">
        <v>74</v>
      </c>
      <c r="BG243" t="s">
        <v>74</v>
      </c>
      <c r="BH243" t="s">
        <v>74</v>
      </c>
      <c r="BI243">
        <v>19</v>
      </c>
      <c r="BJ243" t="s">
        <v>4744</v>
      </c>
      <c r="BK243" t="s">
        <v>4058</v>
      </c>
      <c r="BL243" t="s">
        <v>4745</v>
      </c>
      <c r="BM243" t="s">
        <v>4746</v>
      </c>
      <c r="BN243" t="s">
        <v>74</v>
      </c>
      <c r="BO243" t="s">
        <v>74</v>
      </c>
      <c r="BP243" t="s">
        <v>74</v>
      </c>
      <c r="BQ243" t="s">
        <v>74</v>
      </c>
      <c r="BR243" t="s">
        <v>105</v>
      </c>
      <c r="BS243" t="s">
        <v>4764</v>
      </c>
      <c r="BT243" t="str">
        <f>HYPERLINK("https%3A%2F%2Fwww.webofscience.com%2Fwos%2Fwoscc%2Ffull-record%2FWOS:000328337400014","View Full Record in Web of Science")</f>
        <v>View Full Record in Web of Science</v>
      </c>
    </row>
    <row r="244" spans="1:72" x14ac:dyDescent="0.15">
      <c r="A244" t="s">
        <v>3224</v>
      </c>
      <c r="B244" t="s">
        <v>4765</v>
      </c>
      <c r="C244" t="s">
        <v>74</v>
      </c>
      <c r="D244" t="s">
        <v>4766</v>
      </c>
      <c r="E244" t="s">
        <v>74</v>
      </c>
      <c r="F244" t="s">
        <v>4767</v>
      </c>
      <c r="G244" t="s">
        <v>74</v>
      </c>
      <c r="H244" t="s">
        <v>74</v>
      </c>
      <c r="I244" t="s">
        <v>4768</v>
      </c>
      <c r="J244" t="s">
        <v>4769</v>
      </c>
      <c r="K244" t="s">
        <v>74</v>
      </c>
      <c r="L244" t="s">
        <v>74</v>
      </c>
      <c r="M244" t="s">
        <v>78</v>
      </c>
      <c r="N244" t="s">
        <v>3231</v>
      </c>
      <c r="O244" t="s">
        <v>4770</v>
      </c>
      <c r="P244" t="s">
        <v>4771</v>
      </c>
      <c r="Q244" t="s">
        <v>4772</v>
      </c>
      <c r="R244" t="s">
        <v>74</v>
      </c>
      <c r="S244" t="s">
        <v>4773</v>
      </c>
      <c r="T244" t="s">
        <v>4774</v>
      </c>
      <c r="U244" t="s">
        <v>74</v>
      </c>
      <c r="V244" t="s">
        <v>4775</v>
      </c>
      <c r="W244" t="s">
        <v>4776</v>
      </c>
      <c r="X244" t="s">
        <v>4777</v>
      </c>
      <c r="Y244" t="s">
        <v>4778</v>
      </c>
      <c r="Z244" t="s">
        <v>4779</v>
      </c>
      <c r="AA244" t="s">
        <v>74</v>
      </c>
      <c r="AB244" t="s">
        <v>74</v>
      </c>
      <c r="AC244" t="s">
        <v>74</v>
      </c>
      <c r="AD244" t="s">
        <v>74</v>
      </c>
      <c r="AE244" t="s">
        <v>74</v>
      </c>
      <c r="AF244" t="s">
        <v>74</v>
      </c>
      <c r="AG244">
        <v>7</v>
      </c>
      <c r="AH244">
        <v>1</v>
      </c>
      <c r="AI244">
        <v>1</v>
      </c>
      <c r="AJ244">
        <v>1</v>
      </c>
      <c r="AK244">
        <v>6</v>
      </c>
      <c r="AL244" t="s">
        <v>3226</v>
      </c>
      <c r="AM244" t="s">
        <v>296</v>
      </c>
      <c r="AN244" t="s">
        <v>3244</v>
      </c>
      <c r="AO244" t="s">
        <v>74</v>
      </c>
      <c r="AP244" t="s">
        <v>74</v>
      </c>
      <c r="AQ244" t="s">
        <v>4780</v>
      </c>
      <c r="AR244" t="s">
        <v>74</v>
      </c>
      <c r="AS244" t="s">
        <v>74</v>
      </c>
      <c r="AT244" t="s">
        <v>74</v>
      </c>
      <c r="AU244">
        <v>2013</v>
      </c>
      <c r="AV244" t="s">
        <v>74</v>
      </c>
      <c r="AW244" t="s">
        <v>74</v>
      </c>
      <c r="AX244" t="s">
        <v>74</v>
      </c>
      <c r="AY244" t="s">
        <v>74</v>
      </c>
      <c r="AZ244" t="s">
        <v>74</v>
      </c>
      <c r="BA244" t="s">
        <v>74</v>
      </c>
      <c r="BB244">
        <v>167</v>
      </c>
      <c r="BC244">
        <v>170</v>
      </c>
      <c r="BD244" t="s">
        <v>74</v>
      </c>
      <c r="BE244" t="s">
        <v>4781</v>
      </c>
      <c r="BF244" t="str">
        <f>HYPERLINK("http://dx.doi.org/10.1109/DCABES.2013.54","http://dx.doi.org/10.1109/DCABES.2013.54")</f>
        <v>http://dx.doi.org/10.1109/DCABES.2013.54</v>
      </c>
      <c r="BG244" t="s">
        <v>74</v>
      </c>
      <c r="BH244" t="s">
        <v>74</v>
      </c>
      <c r="BI244">
        <v>4</v>
      </c>
      <c r="BJ244" t="s">
        <v>4782</v>
      </c>
      <c r="BK244" t="s">
        <v>3247</v>
      </c>
      <c r="BL244" t="s">
        <v>4783</v>
      </c>
      <c r="BM244" t="s">
        <v>4784</v>
      </c>
      <c r="BN244" t="s">
        <v>74</v>
      </c>
      <c r="BO244" t="s">
        <v>74</v>
      </c>
      <c r="BP244" t="s">
        <v>74</v>
      </c>
      <c r="BQ244" t="s">
        <v>74</v>
      </c>
      <c r="BR244" t="s">
        <v>105</v>
      </c>
      <c r="BS244" t="s">
        <v>4785</v>
      </c>
      <c r="BT244" t="str">
        <f>HYPERLINK("https%3A%2F%2Fwww.webofscience.com%2Fwos%2Fwoscc%2Ffull-record%2FWOS:000328118300033","View Full Record in Web of Science")</f>
        <v>View Full Record in Web of Science</v>
      </c>
    </row>
    <row r="245" spans="1:72" x14ac:dyDescent="0.15">
      <c r="A245" t="s">
        <v>72</v>
      </c>
      <c r="B245" t="s">
        <v>4786</v>
      </c>
      <c r="C245" t="s">
        <v>74</v>
      </c>
      <c r="D245" t="s">
        <v>74</v>
      </c>
      <c r="E245" t="s">
        <v>74</v>
      </c>
      <c r="F245" t="s">
        <v>4787</v>
      </c>
      <c r="G245" t="s">
        <v>74</v>
      </c>
      <c r="H245" t="s">
        <v>74</v>
      </c>
      <c r="I245" t="s">
        <v>4788</v>
      </c>
      <c r="J245" t="s">
        <v>4789</v>
      </c>
      <c r="K245" t="s">
        <v>74</v>
      </c>
      <c r="L245" t="s">
        <v>74</v>
      </c>
      <c r="M245" t="s">
        <v>78</v>
      </c>
      <c r="N245" t="s">
        <v>79</v>
      </c>
      <c r="O245" t="s">
        <v>74</v>
      </c>
      <c r="P245" t="s">
        <v>74</v>
      </c>
      <c r="Q245" t="s">
        <v>74</v>
      </c>
      <c r="R245" t="s">
        <v>74</v>
      </c>
      <c r="S245" t="s">
        <v>74</v>
      </c>
      <c r="T245" t="s">
        <v>74</v>
      </c>
      <c r="U245" t="s">
        <v>4790</v>
      </c>
      <c r="V245" t="s">
        <v>4791</v>
      </c>
      <c r="W245" t="s">
        <v>4792</v>
      </c>
      <c r="X245" t="s">
        <v>4793</v>
      </c>
      <c r="Y245" t="s">
        <v>4794</v>
      </c>
      <c r="Z245" t="s">
        <v>4795</v>
      </c>
      <c r="AA245" t="s">
        <v>4796</v>
      </c>
      <c r="AB245" t="s">
        <v>4797</v>
      </c>
      <c r="AC245" t="s">
        <v>4798</v>
      </c>
      <c r="AD245" t="s">
        <v>4798</v>
      </c>
      <c r="AE245" t="s">
        <v>4799</v>
      </c>
      <c r="AF245" t="s">
        <v>74</v>
      </c>
      <c r="AG245">
        <v>56</v>
      </c>
      <c r="AH245">
        <v>28</v>
      </c>
      <c r="AI245">
        <v>31</v>
      </c>
      <c r="AJ245">
        <v>1</v>
      </c>
      <c r="AK245">
        <v>23</v>
      </c>
      <c r="AL245" t="s">
        <v>4800</v>
      </c>
      <c r="AM245" t="s">
        <v>474</v>
      </c>
      <c r="AN245" t="s">
        <v>4801</v>
      </c>
      <c r="AO245" t="s">
        <v>4802</v>
      </c>
      <c r="AP245" t="s">
        <v>4803</v>
      </c>
      <c r="AQ245" t="s">
        <v>74</v>
      </c>
      <c r="AR245" t="s">
        <v>4804</v>
      </c>
      <c r="AS245" t="s">
        <v>4805</v>
      </c>
      <c r="AT245" t="s">
        <v>74</v>
      </c>
      <c r="AU245">
        <v>2013</v>
      </c>
      <c r="AV245">
        <v>2013</v>
      </c>
      <c r="AW245" t="s">
        <v>74</v>
      </c>
      <c r="AX245" t="s">
        <v>74</v>
      </c>
      <c r="AY245" t="s">
        <v>74</v>
      </c>
      <c r="AZ245" t="s">
        <v>74</v>
      </c>
      <c r="BA245" t="s">
        <v>74</v>
      </c>
      <c r="BB245" t="s">
        <v>74</v>
      </c>
      <c r="BC245" t="s">
        <v>74</v>
      </c>
      <c r="BD245" t="s">
        <v>74</v>
      </c>
      <c r="BE245" t="s">
        <v>4806</v>
      </c>
      <c r="BF245" t="str">
        <f>HYPERLINK("http://dx.doi.org/10.1155/2013/871941","http://dx.doi.org/10.1155/2013/871941")</f>
        <v>http://dx.doi.org/10.1155/2013/871941</v>
      </c>
      <c r="BG245" t="s">
        <v>74</v>
      </c>
      <c r="BH245" t="s">
        <v>74</v>
      </c>
      <c r="BI245">
        <v>10</v>
      </c>
      <c r="BJ245" t="s">
        <v>4807</v>
      </c>
      <c r="BK245" t="s">
        <v>102</v>
      </c>
      <c r="BL245" t="s">
        <v>4808</v>
      </c>
      <c r="BM245" t="s">
        <v>4809</v>
      </c>
      <c r="BN245">
        <v>24381945</v>
      </c>
      <c r="BO245" t="s">
        <v>3098</v>
      </c>
      <c r="BP245" t="s">
        <v>74</v>
      </c>
      <c r="BQ245" t="s">
        <v>74</v>
      </c>
      <c r="BR245" t="s">
        <v>105</v>
      </c>
      <c r="BS245" t="s">
        <v>4810</v>
      </c>
      <c r="BT245" t="str">
        <f>HYPERLINK("https%3A%2F%2Fwww.webofscience.com%2Fwos%2Fwoscc%2Ffull-record%2FWOS:000328411900001","View Full Record in Web of Science")</f>
        <v>View Full Record in Web of Science</v>
      </c>
    </row>
    <row r="246" spans="1:72" x14ac:dyDescent="0.15">
      <c r="A246" t="s">
        <v>72</v>
      </c>
      <c r="B246" t="s">
        <v>4811</v>
      </c>
      <c r="C246" t="s">
        <v>74</v>
      </c>
      <c r="D246" t="s">
        <v>74</v>
      </c>
      <c r="E246" t="s">
        <v>74</v>
      </c>
      <c r="F246" t="s">
        <v>4812</v>
      </c>
      <c r="G246" t="s">
        <v>74</v>
      </c>
      <c r="H246" t="s">
        <v>74</v>
      </c>
      <c r="I246" t="s">
        <v>4813</v>
      </c>
      <c r="J246" t="s">
        <v>4814</v>
      </c>
      <c r="K246" t="s">
        <v>74</v>
      </c>
      <c r="L246" t="s">
        <v>74</v>
      </c>
      <c r="M246" t="s">
        <v>78</v>
      </c>
      <c r="N246" t="s">
        <v>79</v>
      </c>
      <c r="O246" t="s">
        <v>74</v>
      </c>
      <c r="P246" t="s">
        <v>74</v>
      </c>
      <c r="Q246" t="s">
        <v>74</v>
      </c>
      <c r="R246" t="s">
        <v>74</v>
      </c>
      <c r="S246" t="s">
        <v>74</v>
      </c>
      <c r="T246" t="s">
        <v>4815</v>
      </c>
      <c r="U246" t="s">
        <v>4816</v>
      </c>
      <c r="V246" t="s">
        <v>4817</v>
      </c>
      <c r="W246" t="s">
        <v>4818</v>
      </c>
      <c r="X246" t="s">
        <v>4819</v>
      </c>
      <c r="Y246" t="s">
        <v>4820</v>
      </c>
      <c r="Z246" t="s">
        <v>4821</v>
      </c>
      <c r="AA246" t="s">
        <v>4822</v>
      </c>
      <c r="AB246" t="s">
        <v>4823</v>
      </c>
      <c r="AC246" t="s">
        <v>4824</v>
      </c>
      <c r="AD246" t="s">
        <v>4825</v>
      </c>
      <c r="AE246" t="s">
        <v>4826</v>
      </c>
      <c r="AF246" t="s">
        <v>74</v>
      </c>
      <c r="AG246">
        <v>46</v>
      </c>
      <c r="AH246">
        <v>14</v>
      </c>
      <c r="AI246">
        <v>14</v>
      </c>
      <c r="AJ246">
        <v>0</v>
      </c>
      <c r="AK246">
        <v>4</v>
      </c>
      <c r="AL246" t="s">
        <v>4827</v>
      </c>
      <c r="AM246" t="s">
        <v>4828</v>
      </c>
      <c r="AN246" t="s">
        <v>4829</v>
      </c>
      <c r="AO246" t="s">
        <v>4830</v>
      </c>
      <c r="AP246" t="s">
        <v>4831</v>
      </c>
      <c r="AQ246" t="s">
        <v>74</v>
      </c>
      <c r="AR246" t="s">
        <v>4832</v>
      </c>
      <c r="AS246" t="s">
        <v>4833</v>
      </c>
      <c r="AT246" t="s">
        <v>74</v>
      </c>
      <c r="AU246">
        <v>2013</v>
      </c>
      <c r="AV246">
        <v>34</v>
      </c>
      <c r="AW246">
        <v>4</v>
      </c>
      <c r="AX246" t="s">
        <v>74</v>
      </c>
      <c r="AY246" t="s">
        <v>74</v>
      </c>
      <c r="AZ246" t="s">
        <v>74</v>
      </c>
      <c r="BA246" t="s">
        <v>74</v>
      </c>
      <c r="BB246">
        <v>383</v>
      </c>
      <c r="BC246">
        <v>396</v>
      </c>
      <c r="BD246" t="s">
        <v>74</v>
      </c>
      <c r="BE246" t="s">
        <v>4834</v>
      </c>
      <c r="BF246" t="str">
        <f>HYPERLINK("http://dx.doi.org/10.2478/popore-2013-0016","http://dx.doi.org/10.2478/popore-2013-0016")</f>
        <v>http://dx.doi.org/10.2478/popore-2013-0016</v>
      </c>
      <c r="BG246" t="s">
        <v>74</v>
      </c>
      <c r="BH246" t="s">
        <v>74</v>
      </c>
      <c r="BI246">
        <v>14</v>
      </c>
      <c r="BJ246" t="s">
        <v>4835</v>
      </c>
      <c r="BK246" t="s">
        <v>102</v>
      </c>
      <c r="BL246" t="s">
        <v>4836</v>
      </c>
      <c r="BM246" t="s">
        <v>4837</v>
      </c>
      <c r="BN246" t="s">
        <v>74</v>
      </c>
      <c r="BO246" t="s">
        <v>74</v>
      </c>
      <c r="BP246" t="s">
        <v>74</v>
      </c>
      <c r="BQ246" t="s">
        <v>74</v>
      </c>
      <c r="BR246" t="s">
        <v>105</v>
      </c>
      <c r="BS246" t="s">
        <v>4838</v>
      </c>
      <c r="BT246" t="str">
        <f>HYPERLINK("https%3A%2F%2Fwww.webofscience.com%2Fwos%2Fwoscc%2Ffull-record%2FWOS:000328442800004","View Full Record in Web of Science")</f>
        <v>View Full Record in Web of Science</v>
      </c>
    </row>
    <row r="247" spans="1:72" x14ac:dyDescent="0.15">
      <c r="A247" t="s">
        <v>72</v>
      </c>
      <c r="B247" t="s">
        <v>4839</v>
      </c>
      <c r="C247" t="s">
        <v>74</v>
      </c>
      <c r="D247" t="s">
        <v>74</v>
      </c>
      <c r="E247" t="s">
        <v>74</v>
      </c>
      <c r="F247" t="s">
        <v>4840</v>
      </c>
      <c r="G247" t="s">
        <v>74</v>
      </c>
      <c r="H247" t="s">
        <v>74</v>
      </c>
      <c r="I247" t="s">
        <v>4841</v>
      </c>
      <c r="J247" t="s">
        <v>4814</v>
      </c>
      <c r="K247" t="s">
        <v>74</v>
      </c>
      <c r="L247" t="s">
        <v>74</v>
      </c>
      <c r="M247" t="s">
        <v>78</v>
      </c>
      <c r="N247" t="s">
        <v>79</v>
      </c>
      <c r="O247" t="s">
        <v>74</v>
      </c>
      <c r="P247" t="s">
        <v>74</v>
      </c>
      <c r="Q247" t="s">
        <v>74</v>
      </c>
      <c r="R247" t="s">
        <v>74</v>
      </c>
      <c r="S247" t="s">
        <v>74</v>
      </c>
      <c r="T247" t="s">
        <v>4842</v>
      </c>
      <c r="U247" t="s">
        <v>4843</v>
      </c>
      <c r="V247" t="s">
        <v>4844</v>
      </c>
      <c r="W247" t="s">
        <v>4845</v>
      </c>
      <c r="X247" t="s">
        <v>896</v>
      </c>
      <c r="Y247" t="s">
        <v>4846</v>
      </c>
      <c r="Z247" t="s">
        <v>4847</v>
      </c>
      <c r="AA247" t="s">
        <v>4848</v>
      </c>
      <c r="AB247" t="s">
        <v>4849</v>
      </c>
      <c r="AC247" t="s">
        <v>4850</v>
      </c>
      <c r="AD247" t="s">
        <v>4851</v>
      </c>
      <c r="AE247" t="s">
        <v>4852</v>
      </c>
      <c r="AF247" t="s">
        <v>74</v>
      </c>
      <c r="AG247">
        <v>43</v>
      </c>
      <c r="AH247">
        <v>11</v>
      </c>
      <c r="AI247">
        <v>12</v>
      </c>
      <c r="AJ247">
        <v>0</v>
      </c>
      <c r="AK247">
        <v>4</v>
      </c>
      <c r="AL247" t="s">
        <v>4827</v>
      </c>
      <c r="AM247" t="s">
        <v>4828</v>
      </c>
      <c r="AN247" t="s">
        <v>4829</v>
      </c>
      <c r="AO247" t="s">
        <v>4830</v>
      </c>
      <c r="AP247" t="s">
        <v>4831</v>
      </c>
      <c r="AQ247" t="s">
        <v>74</v>
      </c>
      <c r="AR247" t="s">
        <v>4832</v>
      </c>
      <c r="AS247" t="s">
        <v>4833</v>
      </c>
      <c r="AT247" t="s">
        <v>74</v>
      </c>
      <c r="AU247">
        <v>2013</v>
      </c>
      <c r="AV247">
        <v>34</v>
      </c>
      <c r="AW247">
        <v>4</v>
      </c>
      <c r="AX247" t="s">
        <v>74</v>
      </c>
      <c r="AY247" t="s">
        <v>74</v>
      </c>
      <c r="AZ247" t="s">
        <v>74</v>
      </c>
      <c r="BA247" t="s">
        <v>74</v>
      </c>
      <c r="BB247">
        <v>397</v>
      </c>
      <c r="BC247">
        <v>412</v>
      </c>
      <c r="BD247" t="s">
        <v>74</v>
      </c>
      <c r="BE247" t="s">
        <v>4853</v>
      </c>
      <c r="BF247" t="str">
        <f>HYPERLINK("http://dx.doi.org/10.2478/popore-2013-0018","http://dx.doi.org/10.2478/popore-2013-0018")</f>
        <v>http://dx.doi.org/10.2478/popore-2013-0018</v>
      </c>
      <c r="BG247" t="s">
        <v>74</v>
      </c>
      <c r="BH247" t="s">
        <v>74</v>
      </c>
      <c r="BI247">
        <v>16</v>
      </c>
      <c r="BJ247" t="s">
        <v>4835</v>
      </c>
      <c r="BK247" t="s">
        <v>102</v>
      </c>
      <c r="BL247" t="s">
        <v>4836</v>
      </c>
      <c r="BM247" t="s">
        <v>4837</v>
      </c>
      <c r="BN247" t="s">
        <v>74</v>
      </c>
      <c r="BO247" t="s">
        <v>4854</v>
      </c>
      <c r="BP247" t="s">
        <v>74</v>
      </c>
      <c r="BQ247" t="s">
        <v>74</v>
      </c>
      <c r="BR247" t="s">
        <v>105</v>
      </c>
      <c r="BS247" t="s">
        <v>4855</v>
      </c>
      <c r="BT247" t="str">
        <f>HYPERLINK("https%3A%2F%2Fwww.webofscience.com%2Fwos%2Fwoscc%2Ffull-record%2FWOS:000328442800005","View Full Record in Web of Science")</f>
        <v>View Full Record in Web of Science</v>
      </c>
    </row>
    <row r="248" spans="1:72" x14ac:dyDescent="0.15">
      <c r="A248" t="s">
        <v>72</v>
      </c>
      <c r="B248" t="s">
        <v>4856</v>
      </c>
      <c r="C248" t="s">
        <v>74</v>
      </c>
      <c r="D248" t="s">
        <v>74</v>
      </c>
      <c r="E248" t="s">
        <v>74</v>
      </c>
      <c r="F248" t="s">
        <v>4857</v>
      </c>
      <c r="G248" t="s">
        <v>74</v>
      </c>
      <c r="H248" t="s">
        <v>74</v>
      </c>
      <c r="I248" t="s">
        <v>4858</v>
      </c>
      <c r="J248" t="s">
        <v>4814</v>
      </c>
      <c r="K248" t="s">
        <v>74</v>
      </c>
      <c r="L248" t="s">
        <v>74</v>
      </c>
      <c r="M248" t="s">
        <v>78</v>
      </c>
      <c r="N248" t="s">
        <v>79</v>
      </c>
      <c r="O248" t="s">
        <v>74</v>
      </c>
      <c r="P248" t="s">
        <v>74</v>
      </c>
      <c r="Q248" t="s">
        <v>74</v>
      </c>
      <c r="R248" t="s">
        <v>74</v>
      </c>
      <c r="S248" t="s">
        <v>74</v>
      </c>
      <c r="T248" t="s">
        <v>4859</v>
      </c>
      <c r="U248" t="s">
        <v>4860</v>
      </c>
      <c r="V248" t="s">
        <v>4861</v>
      </c>
      <c r="W248" t="s">
        <v>4862</v>
      </c>
      <c r="X248" t="s">
        <v>4863</v>
      </c>
      <c r="Y248" t="s">
        <v>4864</v>
      </c>
      <c r="Z248" t="s">
        <v>4865</v>
      </c>
      <c r="AA248" t="s">
        <v>74</v>
      </c>
      <c r="AB248" t="s">
        <v>4866</v>
      </c>
      <c r="AC248" t="s">
        <v>4867</v>
      </c>
      <c r="AD248" t="s">
        <v>4868</v>
      </c>
      <c r="AE248" t="s">
        <v>4869</v>
      </c>
      <c r="AF248" t="s">
        <v>74</v>
      </c>
      <c r="AG248">
        <v>45</v>
      </c>
      <c r="AH248">
        <v>3</v>
      </c>
      <c r="AI248">
        <v>3</v>
      </c>
      <c r="AJ248">
        <v>0</v>
      </c>
      <c r="AK248">
        <v>19</v>
      </c>
      <c r="AL248" t="s">
        <v>4870</v>
      </c>
      <c r="AM248" t="s">
        <v>4828</v>
      </c>
      <c r="AN248" t="s">
        <v>4871</v>
      </c>
      <c r="AO248" t="s">
        <v>4830</v>
      </c>
      <c r="AP248" t="s">
        <v>4831</v>
      </c>
      <c r="AQ248" t="s">
        <v>74</v>
      </c>
      <c r="AR248" t="s">
        <v>4832</v>
      </c>
      <c r="AS248" t="s">
        <v>4833</v>
      </c>
      <c r="AT248" t="s">
        <v>74</v>
      </c>
      <c r="AU248">
        <v>2013</v>
      </c>
      <c r="AV248">
        <v>34</v>
      </c>
      <c r="AW248">
        <v>4</v>
      </c>
      <c r="AX248" t="s">
        <v>74</v>
      </c>
      <c r="AY248" t="s">
        <v>74</v>
      </c>
      <c r="AZ248" t="s">
        <v>74</v>
      </c>
      <c r="BA248" t="s">
        <v>74</v>
      </c>
      <c r="BB248">
        <v>413</v>
      </c>
      <c r="BC248">
        <v>428</v>
      </c>
      <c r="BD248" t="s">
        <v>74</v>
      </c>
      <c r="BE248" t="s">
        <v>4872</v>
      </c>
      <c r="BF248" t="str">
        <f>HYPERLINK("http://dx.doi.org/10.2478/popore-2013-0025","http://dx.doi.org/10.2478/popore-2013-0025")</f>
        <v>http://dx.doi.org/10.2478/popore-2013-0025</v>
      </c>
      <c r="BG248" t="s">
        <v>74</v>
      </c>
      <c r="BH248" t="s">
        <v>74</v>
      </c>
      <c r="BI248">
        <v>16</v>
      </c>
      <c r="BJ248" t="s">
        <v>4835</v>
      </c>
      <c r="BK248" t="s">
        <v>102</v>
      </c>
      <c r="BL248" t="s">
        <v>4836</v>
      </c>
      <c r="BM248" t="s">
        <v>4837</v>
      </c>
      <c r="BN248" t="s">
        <v>74</v>
      </c>
      <c r="BO248" t="s">
        <v>155</v>
      </c>
      <c r="BP248" t="s">
        <v>74</v>
      </c>
      <c r="BQ248" t="s">
        <v>74</v>
      </c>
      <c r="BR248" t="s">
        <v>105</v>
      </c>
      <c r="BS248" t="s">
        <v>4873</v>
      </c>
      <c r="BT248" t="str">
        <f>HYPERLINK("https%3A%2F%2Fwww.webofscience.com%2Fwos%2Fwoscc%2Ffull-record%2FWOS:000328442800006","View Full Record in Web of Science")</f>
        <v>View Full Record in Web of Science</v>
      </c>
    </row>
    <row r="249" spans="1:72" x14ac:dyDescent="0.15">
      <c r="A249" t="s">
        <v>72</v>
      </c>
      <c r="B249" t="s">
        <v>4874</v>
      </c>
      <c r="C249" t="s">
        <v>74</v>
      </c>
      <c r="D249" t="s">
        <v>74</v>
      </c>
      <c r="E249" t="s">
        <v>74</v>
      </c>
      <c r="F249" t="s">
        <v>4875</v>
      </c>
      <c r="G249" t="s">
        <v>74</v>
      </c>
      <c r="H249" t="s">
        <v>74</v>
      </c>
      <c r="I249" t="s">
        <v>4876</v>
      </c>
      <c r="J249" t="s">
        <v>4814</v>
      </c>
      <c r="K249" t="s">
        <v>74</v>
      </c>
      <c r="L249" t="s">
        <v>74</v>
      </c>
      <c r="M249" t="s">
        <v>78</v>
      </c>
      <c r="N249" t="s">
        <v>79</v>
      </c>
      <c r="O249" t="s">
        <v>74</v>
      </c>
      <c r="P249" t="s">
        <v>74</v>
      </c>
      <c r="Q249" t="s">
        <v>74</v>
      </c>
      <c r="R249" t="s">
        <v>74</v>
      </c>
      <c r="S249" t="s">
        <v>74</v>
      </c>
      <c r="T249" t="s">
        <v>4877</v>
      </c>
      <c r="U249" t="s">
        <v>4878</v>
      </c>
      <c r="V249" t="s">
        <v>4879</v>
      </c>
      <c r="W249" t="s">
        <v>4880</v>
      </c>
      <c r="X249" t="s">
        <v>4881</v>
      </c>
      <c r="Y249" t="s">
        <v>4882</v>
      </c>
      <c r="Z249" t="s">
        <v>4883</v>
      </c>
      <c r="AA249" t="s">
        <v>74</v>
      </c>
      <c r="AB249" t="s">
        <v>74</v>
      </c>
      <c r="AC249" t="s">
        <v>4884</v>
      </c>
      <c r="AD249" t="s">
        <v>4885</v>
      </c>
      <c r="AE249" t="s">
        <v>4886</v>
      </c>
      <c r="AF249" t="s">
        <v>74</v>
      </c>
      <c r="AG249">
        <v>12</v>
      </c>
      <c r="AH249">
        <v>5</v>
      </c>
      <c r="AI249">
        <v>6</v>
      </c>
      <c r="AJ249">
        <v>0</v>
      </c>
      <c r="AK249">
        <v>10</v>
      </c>
      <c r="AL249" t="s">
        <v>4887</v>
      </c>
      <c r="AM249" t="s">
        <v>4317</v>
      </c>
      <c r="AN249" t="s">
        <v>4888</v>
      </c>
      <c r="AO249" t="s">
        <v>4830</v>
      </c>
      <c r="AP249" t="s">
        <v>4831</v>
      </c>
      <c r="AQ249" t="s">
        <v>74</v>
      </c>
      <c r="AR249" t="s">
        <v>4832</v>
      </c>
      <c r="AS249" t="s">
        <v>4833</v>
      </c>
      <c r="AT249" t="s">
        <v>74</v>
      </c>
      <c r="AU249">
        <v>2013</v>
      </c>
      <c r="AV249">
        <v>34</v>
      </c>
      <c r="AW249">
        <v>4</v>
      </c>
      <c r="AX249" t="s">
        <v>74</v>
      </c>
      <c r="AY249" t="s">
        <v>74</v>
      </c>
      <c r="AZ249" t="s">
        <v>74</v>
      </c>
      <c r="BA249" t="s">
        <v>74</v>
      </c>
      <c r="BB249">
        <v>429</v>
      </c>
      <c r="BC249">
        <v>435</v>
      </c>
      <c r="BD249" t="s">
        <v>74</v>
      </c>
      <c r="BE249" t="s">
        <v>4889</v>
      </c>
      <c r="BF249" t="str">
        <f>HYPERLINK("http://dx.doi.org/10.2478/popore-2013-0023","http://dx.doi.org/10.2478/popore-2013-0023")</f>
        <v>http://dx.doi.org/10.2478/popore-2013-0023</v>
      </c>
      <c r="BG249" t="s">
        <v>74</v>
      </c>
      <c r="BH249" t="s">
        <v>74</v>
      </c>
      <c r="BI249">
        <v>7</v>
      </c>
      <c r="BJ249" t="s">
        <v>4835</v>
      </c>
      <c r="BK249" t="s">
        <v>102</v>
      </c>
      <c r="BL249" t="s">
        <v>4836</v>
      </c>
      <c r="BM249" t="s">
        <v>4837</v>
      </c>
      <c r="BN249" t="s">
        <v>74</v>
      </c>
      <c r="BO249" t="s">
        <v>155</v>
      </c>
      <c r="BP249" t="s">
        <v>74</v>
      </c>
      <c r="BQ249" t="s">
        <v>74</v>
      </c>
      <c r="BR249" t="s">
        <v>105</v>
      </c>
      <c r="BS249" t="s">
        <v>4890</v>
      </c>
      <c r="BT249" t="str">
        <f>HYPERLINK("https%3A%2F%2Fwww.webofscience.com%2Fwos%2Fwoscc%2Ffull-record%2FWOS:000328442800007","View Full Record in Web of Science")</f>
        <v>View Full Record in Web of Science</v>
      </c>
    </row>
    <row r="250" spans="1:72" x14ac:dyDescent="0.15">
      <c r="A250" t="s">
        <v>72</v>
      </c>
      <c r="B250" t="s">
        <v>4891</v>
      </c>
      <c r="C250" t="s">
        <v>74</v>
      </c>
      <c r="D250" t="s">
        <v>74</v>
      </c>
      <c r="E250" t="s">
        <v>74</v>
      </c>
      <c r="F250" t="s">
        <v>4892</v>
      </c>
      <c r="G250" t="s">
        <v>74</v>
      </c>
      <c r="H250" t="s">
        <v>74</v>
      </c>
      <c r="I250" t="s">
        <v>4893</v>
      </c>
      <c r="J250" t="s">
        <v>4112</v>
      </c>
      <c r="K250" t="s">
        <v>74</v>
      </c>
      <c r="L250" t="s">
        <v>74</v>
      </c>
      <c r="M250" t="s">
        <v>78</v>
      </c>
      <c r="N250" t="s">
        <v>79</v>
      </c>
      <c r="O250" t="s">
        <v>74</v>
      </c>
      <c r="P250" t="s">
        <v>74</v>
      </c>
      <c r="Q250" t="s">
        <v>74</v>
      </c>
      <c r="R250" t="s">
        <v>74</v>
      </c>
      <c r="S250" t="s">
        <v>74</v>
      </c>
      <c r="T250" t="s">
        <v>74</v>
      </c>
      <c r="U250" t="s">
        <v>4894</v>
      </c>
      <c r="V250" t="s">
        <v>4895</v>
      </c>
      <c r="W250" t="s">
        <v>4896</v>
      </c>
      <c r="X250" t="s">
        <v>4897</v>
      </c>
      <c r="Y250" t="s">
        <v>4898</v>
      </c>
      <c r="Z250" t="s">
        <v>4899</v>
      </c>
      <c r="AA250" t="s">
        <v>4900</v>
      </c>
      <c r="AB250" t="s">
        <v>4901</v>
      </c>
      <c r="AC250" t="s">
        <v>4902</v>
      </c>
      <c r="AD250" t="s">
        <v>4903</v>
      </c>
      <c r="AE250" t="s">
        <v>4904</v>
      </c>
      <c r="AF250" t="s">
        <v>74</v>
      </c>
      <c r="AG250">
        <v>19</v>
      </c>
      <c r="AH250">
        <v>6</v>
      </c>
      <c r="AI250">
        <v>6</v>
      </c>
      <c r="AJ250">
        <v>0</v>
      </c>
      <c r="AK250">
        <v>6</v>
      </c>
      <c r="AL250" t="s">
        <v>4123</v>
      </c>
      <c r="AM250" t="s">
        <v>4124</v>
      </c>
      <c r="AN250" t="s">
        <v>4125</v>
      </c>
      <c r="AO250" t="s">
        <v>4126</v>
      </c>
      <c r="AP250" t="s">
        <v>4127</v>
      </c>
      <c r="AQ250" t="s">
        <v>74</v>
      </c>
      <c r="AR250" t="s">
        <v>4128</v>
      </c>
      <c r="AS250" t="s">
        <v>4129</v>
      </c>
      <c r="AT250" t="s">
        <v>74</v>
      </c>
      <c r="AU250">
        <v>2013</v>
      </c>
      <c r="AV250">
        <v>56</v>
      </c>
      <c r="AW250">
        <v>2</v>
      </c>
      <c r="AX250" t="s">
        <v>74</v>
      </c>
      <c r="AY250" t="s">
        <v>74</v>
      </c>
      <c r="AZ250" t="s">
        <v>221</v>
      </c>
      <c r="BA250" t="s">
        <v>74</v>
      </c>
      <c r="BB250" t="s">
        <v>74</v>
      </c>
      <c r="BC250" t="s">
        <v>74</v>
      </c>
      <c r="BD250" t="s">
        <v>4905</v>
      </c>
      <c r="BE250" t="s">
        <v>4906</v>
      </c>
      <c r="BF250" t="str">
        <f>HYPERLINK("http://dx.doi.org/10.4401/ag-6223","http://dx.doi.org/10.4401/ag-6223")</f>
        <v>http://dx.doi.org/10.4401/ag-6223</v>
      </c>
      <c r="BG250" t="s">
        <v>74</v>
      </c>
      <c r="BH250" t="s">
        <v>74</v>
      </c>
      <c r="BI250">
        <v>5</v>
      </c>
      <c r="BJ250" t="s">
        <v>263</v>
      </c>
      <c r="BK250" t="s">
        <v>102</v>
      </c>
      <c r="BL250" t="s">
        <v>263</v>
      </c>
      <c r="BM250" t="s">
        <v>4907</v>
      </c>
      <c r="BN250" t="s">
        <v>74</v>
      </c>
      <c r="BO250" t="s">
        <v>2629</v>
      </c>
      <c r="BP250" t="s">
        <v>74</v>
      </c>
      <c r="BQ250" t="s">
        <v>74</v>
      </c>
      <c r="BR250" t="s">
        <v>105</v>
      </c>
      <c r="BS250" t="s">
        <v>4908</v>
      </c>
      <c r="BT250" t="str">
        <f>HYPERLINK("https%3A%2F%2Fwww.webofscience.com%2Fwos%2Fwoscc%2Ffull-record%2FWOS:000328252900003","View Full Record in Web of Science")</f>
        <v>View Full Record in Web of Science</v>
      </c>
    </row>
    <row r="251" spans="1:72" x14ac:dyDescent="0.15">
      <c r="A251" t="s">
        <v>72</v>
      </c>
      <c r="B251" t="s">
        <v>4909</v>
      </c>
      <c r="C251" t="s">
        <v>74</v>
      </c>
      <c r="D251" t="s">
        <v>74</v>
      </c>
      <c r="E251" t="s">
        <v>74</v>
      </c>
      <c r="F251" t="s">
        <v>4910</v>
      </c>
      <c r="G251" t="s">
        <v>74</v>
      </c>
      <c r="H251" t="s">
        <v>74</v>
      </c>
      <c r="I251" t="s">
        <v>4911</v>
      </c>
      <c r="J251" t="s">
        <v>4112</v>
      </c>
      <c r="K251" t="s">
        <v>74</v>
      </c>
      <c r="L251" t="s">
        <v>74</v>
      </c>
      <c r="M251" t="s">
        <v>78</v>
      </c>
      <c r="N251" t="s">
        <v>79</v>
      </c>
      <c r="O251" t="s">
        <v>74</v>
      </c>
      <c r="P251" t="s">
        <v>74</v>
      </c>
      <c r="Q251" t="s">
        <v>74</v>
      </c>
      <c r="R251" t="s">
        <v>74</v>
      </c>
      <c r="S251" t="s">
        <v>74</v>
      </c>
      <c r="T251" t="s">
        <v>74</v>
      </c>
      <c r="U251" t="s">
        <v>4912</v>
      </c>
      <c r="V251" t="s">
        <v>4913</v>
      </c>
      <c r="W251" t="s">
        <v>4914</v>
      </c>
      <c r="X251" t="s">
        <v>4915</v>
      </c>
      <c r="Y251" t="s">
        <v>4916</v>
      </c>
      <c r="Z251" t="s">
        <v>4917</v>
      </c>
      <c r="AA251" t="s">
        <v>4918</v>
      </c>
      <c r="AB251" t="s">
        <v>4919</v>
      </c>
      <c r="AC251" t="s">
        <v>4920</v>
      </c>
      <c r="AD251" t="s">
        <v>4920</v>
      </c>
      <c r="AE251" t="s">
        <v>4921</v>
      </c>
      <c r="AF251" t="s">
        <v>74</v>
      </c>
      <c r="AG251">
        <v>14</v>
      </c>
      <c r="AH251">
        <v>0</v>
      </c>
      <c r="AI251">
        <v>0</v>
      </c>
      <c r="AJ251">
        <v>0</v>
      </c>
      <c r="AK251">
        <v>7</v>
      </c>
      <c r="AL251" t="s">
        <v>4123</v>
      </c>
      <c r="AM251" t="s">
        <v>4124</v>
      </c>
      <c r="AN251" t="s">
        <v>4125</v>
      </c>
      <c r="AO251" t="s">
        <v>4126</v>
      </c>
      <c r="AP251" t="s">
        <v>4127</v>
      </c>
      <c r="AQ251" t="s">
        <v>74</v>
      </c>
      <c r="AR251" t="s">
        <v>4128</v>
      </c>
      <c r="AS251" t="s">
        <v>4129</v>
      </c>
      <c r="AT251" t="s">
        <v>74</v>
      </c>
      <c r="AU251">
        <v>2013</v>
      </c>
      <c r="AV251">
        <v>56</v>
      </c>
      <c r="AW251">
        <v>2</v>
      </c>
      <c r="AX251" t="s">
        <v>74</v>
      </c>
      <c r="AY251" t="s">
        <v>74</v>
      </c>
      <c r="AZ251" t="s">
        <v>221</v>
      </c>
      <c r="BA251" t="s">
        <v>74</v>
      </c>
      <c r="BB251" t="s">
        <v>74</v>
      </c>
      <c r="BC251" t="s">
        <v>74</v>
      </c>
      <c r="BD251" t="s">
        <v>4922</v>
      </c>
      <c r="BE251" t="s">
        <v>4923</v>
      </c>
      <c r="BF251" t="str">
        <f>HYPERLINK("http://dx.doi.org/10.4401/ag-6242","http://dx.doi.org/10.4401/ag-6242")</f>
        <v>http://dx.doi.org/10.4401/ag-6242</v>
      </c>
      <c r="BG251" t="s">
        <v>74</v>
      </c>
      <c r="BH251" t="s">
        <v>74</v>
      </c>
      <c r="BI251">
        <v>10</v>
      </c>
      <c r="BJ251" t="s">
        <v>263</v>
      </c>
      <c r="BK251" t="s">
        <v>102</v>
      </c>
      <c r="BL251" t="s">
        <v>263</v>
      </c>
      <c r="BM251" t="s">
        <v>4907</v>
      </c>
      <c r="BN251" t="s">
        <v>74</v>
      </c>
      <c r="BO251" t="s">
        <v>1719</v>
      </c>
      <c r="BP251" t="s">
        <v>74</v>
      </c>
      <c r="BQ251" t="s">
        <v>74</v>
      </c>
      <c r="BR251" t="s">
        <v>105</v>
      </c>
      <c r="BS251" t="s">
        <v>4924</v>
      </c>
      <c r="BT251" t="str">
        <f>HYPERLINK("https%3A%2F%2Fwww.webofscience.com%2Fwos%2Fwoscc%2Ffull-record%2FWOS:000328252900004","View Full Record in Web of Science")</f>
        <v>View Full Record in Web of Science</v>
      </c>
    </row>
    <row r="252" spans="1:72" x14ac:dyDescent="0.15">
      <c r="A252" t="s">
        <v>72</v>
      </c>
      <c r="B252" t="s">
        <v>4925</v>
      </c>
      <c r="C252" t="s">
        <v>74</v>
      </c>
      <c r="D252" t="s">
        <v>74</v>
      </c>
      <c r="E252" t="s">
        <v>74</v>
      </c>
      <c r="F252" t="s">
        <v>4926</v>
      </c>
      <c r="G252" t="s">
        <v>74</v>
      </c>
      <c r="H252" t="s">
        <v>74</v>
      </c>
      <c r="I252" t="s">
        <v>4927</v>
      </c>
      <c r="J252" t="s">
        <v>4112</v>
      </c>
      <c r="K252" t="s">
        <v>74</v>
      </c>
      <c r="L252" t="s">
        <v>74</v>
      </c>
      <c r="M252" t="s">
        <v>78</v>
      </c>
      <c r="N252" t="s">
        <v>79</v>
      </c>
      <c r="O252" t="s">
        <v>74</v>
      </c>
      <c r="P252" t="s">
        <v>74</v>
      </c>
      <c r="Q252" t="s">
        <v>74</v>
      </c>
      <c r="R252" t="s">
        <v>74</v>
      </c>
      <c r="S252" t="s">
        <v>74</v>
      </c>
      <c r="T252" t="s">
        <v>74</v>
      </c>
      <c r="U252" t="s">
        <v>74</v>
      </c>
      <c r="V252" t="s">
        <v>4928</v>
      </c>
      <c r="W252" t="s">
        <v>4929</v>
      </c>
      <c r="X252" t="s">
        <v>4930</v>
      </c>
      <c r="Y252" t="s">
        <v>4931</v>
      </c>
      <c r="Z252" t="s">
        <v>4932</v>
      </c>
      <c r="AA252" t="s">
        <v>4933</v>
      </c>
      <c r="AB252" t="s">
        <v>4934</v>
      </c>
      <c r="AC252" t="s">
        <v>4935</v>
      </c>
      <c r="AD252" t="s">
        <v>4935</v>
      </c>
      <c r="AE252" t="s">
        <v>4936</v>
      </c>
      <c r="AF252" t="s">
        <v>74</v>
      </c>
      <c r="AG252">
        <v>7</v>
      </c>
      <c r="AH252">
        <v>6</v>
      </c>
      <c r="AI252">
        <v>6</v>
      </c>
      <c r="AJ252">
        <v>0</v>
      </c>
      <c r="AK252">
        <v>9</v>
      </c>
      <c r="AL252" t="s">
        <v>4123</v>
      </c>
      <c r="AM252" t="s">
        <v>4124</v>
      </c>
      <c r="AN252" t="s">
        <v>4125</v>
      </c>
      <c r="AO252" t="s">
        <v>4126</v>
      </c>
      <c r="AP252" t="s">
        <v>4127</v>
      </c>
      <c r="AQ252" t="s">
        <v>74</v>
      </c>
      <c r="AR252" t="s">
        <v>4128</v>
      </c>
      <c r="AS252" t="s">
        <v>4129</v>
      </c>
      <c r="AT252" t="s">
        <v>74</v>
      </c>
      <c r="AU252">
        <v>2013</v>
      </c>
      <c r="AV252">
        <v>56</v>
      </c>
      <c r="AW252">
        <v>2</v>
      </c>
      <c r="AX252" t="s">
        <v>74</v>
      </c>
      <c r="AY252" t="s">
        <v>74</v>
      </c>
      <c r="AZ252" t="s">
        <v>221</v>
      </c>
      <c r="BA252" t="s">
        <v>74</v>
      </c>
      <c r="BB252" t="s">
        <v>74</v>
      </c>
      <c r="BC252" t="s">
        <v>74</v>
      </c>
      <c r="BD252" t="s">
        <v>4937</v>
      </c>
      <c r="BE252" t="s">
        <v>4938</v>
      </c>
      <c r="BF252" t="str">
        <f>HYPERLINK("http://dx.doi.org/10.4401/ag-6244","http://dx.doi.org/10.4401/ag-6244")</f>
        <v>http://dx.doi.org/10.4401/ag-6244</v>
      </c>
      <c r="BG252" t="s">
        <v>74</v>
      </c>
      <c r="BH252" t="s">
        <v>74</v>
      </c>
      <c r="BI252">
        <v>11</v>
      </c>
      <c r="BJ252" t="s">
        <v>263</v>
      </c>
      <c r="BK252" t="s">
        <v>102</v>
      </c>
      <c r="BL252" t="s">
        <v>263</v>
      </c>
      <c r="BM252" t="s">
        <v>4907</v>
      </c>
      <c r="BN252" t="s">
        <v>74</v>
      </c>
      <c r="BO252" t="s">
        <v>74</v>
      </c>
      <c r="BP252" t="s">
        <v>74</v>
      </c>
      <c r="BQ252" t="s">
        <v>74</v>
      </c>
      <c r="BR252" t="s">
        <v>105</v>
      </c>
      <c r="BS252" t="s">
        <v>4939</v>
      </c>
      <c r="BT252" t="str">
        <f>HYPERLINK("https%3A%2F%2Fwww.webofscience.com%2Fwos%2Fwoscc%2Ffull-record%2FWOS:000328252900009","View Full Record in Web of Science")</f>
        <v>View Full Record in Web of Science</v>
      </c>
    </row>
    <row r="253" spans="1:72" x14ac:dyDescent="0.15">
      <c r="A253" t="s">
        <v>72</v>
      </c>
      <c r="B253" t="s">
        <v>4940</v>
      </c>
      <c r="C253" t="s">
        <v>74</v>
      </c>
      <c r="D253" t="s">
        <v>74</v>
      </c>
      <c r="E253" t="s">
        <v>74</v>
      </c>
      <c r="F253" t="s">
        <v>4941</v>
      </c>
      <c r="G253" t="s">
        <v>74</v>
      </c>
      <c r="H253" t="s">
        <v>74</v>
      </c>
      <c r="I253" t="s">
        <v>4942</v>
      </c>
      <c r="J253" t="s">
        <v>4112</v>
      </c>
      <c r="K253" t="s">
        <v>74</v>
      </c>
      <c r="L253" t="s">
        <v>74</v>
      </c>
      <c r="M253" t="s">
        <v>78</v>
      </c>
      <c r="N253" t="s">
        <v>79</v>
      </c>
      <c r="O253" t="s">
        <v>74</v>
      </c>
      <c r="P253" t="s">
        <v>74</v>
      </c>
      <c r="Q253" t="s">
        <v>74</v>
      </c>
      <c r="R253" t="s">
        <v>74</v>
      </c>
      <c r="S253" t="s">
        <v>74</v>
      </c>
      <c r="T253" t="s">
        <v>74</v>
      </c>
      <c r="U253" t="s">
        <v>74</v>
      </c>
      <c r="V253" t="s">
        <v>4943</v>
      </c>
      <c r="W253" t="s">
        <v>4944</v>
      </c>
      <c r="X253" t="s">
        <v>4945</v>
      </c>
      <c r="Y253" t="s">
        <v>4931</v>
      </c>
      <c r="Z253" t="s">
        <v>4932</v>
      </c>
      <c r="AA253" t="s">
        <v>4946</v>
      </c>
      <c r="AB253" t="s">
        <v>4947</v>
      </c>
      <c r="AC253" t="s">
        <v>74</v>
      </c>
      <c r="AD253" t="s">
        <v>74</v>
      </c>
      <c r="AE253" t="s">
        <v>74</v>
      </c>
      <c r="AF253" t="s">
        <v>74</v>
      </c>
      <c r="AG253">
        <v>7</v>
      </c>
      <c r="AH253">
        <v>1</v>
      </c>
      <c r="AI253">
        <v>1</v>
      </c>
      <c r="AJ253">
        <v>0</v>
      </c>
      <c r="AK253">
        <v>7</v>
      </c>
      <c r="AL253" t="s">
        <v>4123</v>
      </c>
      <c r="AM253" t="s">
        <v>4124</v>
      </c>
      <c r="AN253" t="s">
        <v>4125</v>
      </c>
      <c r="AO253" t="s">
        <v>4126</v>
      </c>
      <c r="AP253" t="s">
        <v>4127</v>
      </c>
      <c r="AQ253" t="s">
        <v>74</v>
      </c>
      <c r="AR253" t="s">
        <v>4128</v>
      </c>
      <c r="AS253" t="s">
        <v>4129</v>
      </c>
      <c r="AT253" t="s">
        <v>74</v>
      </c>
      <c r="AU253">
        <v>2013</v>
      </c>
      <c r="AV253">
        <v>56</v>
      </c>
      <c r="AW253">
        <v>2</v>
      </c>
      <c r="AX253" t="s">
        <v>74</v>
      </c>
      <c r="AY253" t="s">
        <v>74</v>
      </c>
      <c r="AZ253" t="s">
        <v>221</v>
      </c>
      <c r="BA253" t="s">
        <v>74</v>
      </c>
      <c r="BB253" t="s">
        <v>74</v>
      </c>
      <c r="BC253" t="s">
        <v>74</v>
      </c>
      <c r="BD253" t="s">
        <v>4948</v>
      </c>
      <c r="BE253" t="s">
        <v>4949</v>
      </c>
      <c r="BF253" t="str">
        <f>HYPERLINK("http://dx.doi.org/10.4401/ag-6257","http://dx.doi.org/10.4401/ag-6257")</f>
        <v>http://dx.doi.org/10.4401/ag-6257</v>
      </c>
      <c r="BG253" t="s">
        <v>74</v>
      </c>
      <c r="BH253" t="s">
        <v>74</v>
      </c>
      <c r="BI253">
        <v>7</v>
      </c>
      <c r="BJ253" t="s">
        <v>263</v>
      </c>
      <c r="BK253" t="s">
        <v>102</v>
      </c>
      <c r="BL253" t="s">
        <v>263</v>
      </c>
      <c r="BM253" t="s">
        <v>4907</v>
      </c>
      <c r="BN253" t="s">
        <v>74</v>
      </c>
      <c r="BO253" t="s">
        <v>1719</v>
      </c>
      <c r="BP253" t="s">
        <v>74</v>
      </c>
      <c r="BQ253" t="s">
        <v>74</v>
      </c>
      <c r="BR253" t="s">
        <v>105</v>
      </c>
      <c r="BS253" t="s">
        <v>4950</v>
      </c>
      <c r="BT253" t="str">
        <f>HYPERLINK("https%3A%2F%2Fwww.webofscience.com%2Fwos%2Fwoscc%2Ffull-record%2FWOS:000328252900010","View Full Record in Web of Science")</f>
        <v>View Full Record in Web of Science</v>
      </c>
    </row>
    <row r="254" spans="1:72" x14ac:dyDescent="0.15">
      <c r="A254" t="s">
        <v>72</v>
      </c>
      <c r="B254" t="s">
        <v>4951</v>
      </c>
      <c r="C254" t="s">
        <v>74</v>
      </c>
      <c r="D254" t="s">
        <v>74</v>
      </c>
      <c r="E254" t="s">
        <v>74</v>
      </c>
      <c r="F254" t="s">
        <v>4952</v>
      </c>
      <c r="G254" t="s">
        <v>74</v>
      </c>
      <c r="H254" t="s">
        <v>74</v>
      </c>
      <c r="I254" t="s">
        <v>4953</v>
      </c>
      <c r="J254" t="s">
        <v>4112</v>
      </c>
      <c r="K254" t="s">
        <v>74</v>
      </c>
      <c r="L254" t="s">
        <v>74</v>
      </c>
      <c r="M254" t="s">
        <v>78</v>
      </c>
      <c r="N254" t="s">
        <v>79</v>
      </c>
      <c r="O254" t="s">
        <v>74</v>
      </c>
      <c r="P254" t="s">
        <v>74</v>
      </c>
      <c r="Q254" t="s">
        <v>74</v>
      </c>
      <c r="R254" t="s">
        <v>74</v>
      </c>
      <c r="S254" t="s">
        <v>74</v>
      </c>
      <c r="T254" t="s">
        <v>74</v>
      </c>
      <c r="U254" t="s">
        <v>4954</v>
      </c>
      <c r="V254" t="s">
        <v>4955</v>
      </c>
      <c r="W254" t="s">
        <v>4956</v>
      </c>
      <c r="X254" t="s">
        <v>4957</v>
      </c>
      <c r="Y254" t="s">
        <v>4958</v>
      </c>
      <c r="Z254" t="s">
        <v>4959</v>
      </c>
      <c r="AA254" t="s">
        <v>4960</v>
      </c>
      <c r="AB254" t="s">
        <v>4961</v>
      </c>
      <c r="AC254" t="s">
        <v>4962</v>
      </c>
      <c r="AD254" t="s">
        <v>4962</v>
      </c>
      <c r="AE254" t="s">
        <v>4963</v>
      </c>
      <c r="AF254" t="s">
        <v>74</v>
      </c>
      <c r="AG254">
        <v>51</v>
      </c>
      <c r="AH254">
        <v>5</v>
      </c>
      <c r="AI254">
        <v>5</v>
      </c>
      <c r="AJ254">
        <v>1</v>
      </c>
      <c r="AK254">
        <v>16</v>
      </c>
      <c r="AL254" t="s">
        <v>4123</v>
      </c>
      <c r="AM254" t="s">
        <v>4124</v>
      </c>
      <c r="AN254" t="s">
        <v>4125</v>
      </c>
      <c r="AO254" t="s">
        <v>4126</v>
      </c>
      <c r="AP254" t="s">
        <v>4127</v>
      </c>
      <c r="AQ254" t="s">
        <v>74</v>
      </c>
      <c r="AR254" t="s">
        <v>4128</v>
      </c>
      <c r="AS254" t="s">
        <v>4129</v>
      </c>
      <c r="AT254" t="s">
        <v>74</v>
      </c>
      <c r="AU254">
        <v>2013</v>
      </c>
      <c r="AV254">
        <v>56</v>
      </c>
      <c r="AW254">
        <v>2</v>
      </c>
      <c r="AX254" t="s">
        <v>74</v>
      </c>
      <c r="AY254" t="s">
        <v>74</v>
      </c>
      <c r="AZ254" t="s">
        <v>221</v>
      </c>
      <c r="BA254" t="s">
        <v>74</v>
      </c>
      <c r="BB254" t="s">
        <v>74</v>
      </c>
      <c r="BC254" t="s">
        <v>74</v>
      </c>
      <c r="BD254" t="s">
        <v>4964</v>
      </c>
      <c r="BE254" t="s">
        <v>4965</v>
      </c>
      <c r="BF254" t="str">
        <f>HYPERLINK("http://dx.doi.org/10.4401/ag-6228","http://dx.doi.org/10.4401/ag-6228")</f>
        <v>http://dx.doi.org/10.4401/ag-6228</v>
      </c>
      <c r="BG254" t="s">
        <v>74</v>
      </c>
      <c r="BH254" t="s">
        <v>74</v>
      </c>
      <c r="BI254">
        <v>13</v>
      </c>
      <c r="BJ254" t="s">
        <v>263</v>
      </c>
      <c r="BK254" t="s">
        <v>102</v>
      </c>
      <c r="BL254" t="s">
        <v>263</v>
      </c>
      <c r="BM254" t="s">
        <v>4907</v>
      </c>
      <c r="BN254" t="s">
        <v>74</v>
      </c>
      <c r="BO254" t="s">
        <v>2629</v>
      </c>
      <c r="BP254" t="s">
        <v>74</v>
      </c>
      <c r="BQ254" t="s">
        <v>74</v>
      </c>
      <c r="BR254" t="s">
        <v>105</v>
      </c>
      <c r="BS254" t="s">
        <v>4966</v>
      </c>
      <c r="BT254" t="str">
        <f>HYPERLINK("https%3A%2F%2Fwww.webofscience.com%2Fwos%2Fwoscc%2Ffull-record%2FWOS:000328252900007","View Full Record in Web of Science")</f>
        <v>View Full Record in Web of Science</v>
      </c>
    </row>
    <row r="255" spans="1:72" x14ac:dyDescent="0.15">
      <c r="A255" t="s">
        <v>72</v>
      </c>
      <c r="B255" t="s">
        <v>4967</v>
      </c>
      <c r="C255" t="s">
        <v>74</v>
      </c>
      <c r="D255" t="s">
        <v>74</v>
      </c>
      <c r="E255" t="s">
        <v>74</v>
      </c>
      <c r="F255" t="s">
        <v>4968</v>
      </c>
      <c r="G255" t="s">
        <v>74</v>
      </c>
      <c r="H255" t="s">
        <v>74</v>
      </c>
      <c r="I255" t="s">
        <v>4969</v>
      </c>
      <c r="J255" t="s">
        <v>4112</v>
      </c>
      <c r="K255" t="s">
        <v>74</v>
      </c>
      <c r="L255" t="s">
        <v>74</v>
      </c>
      <c r="M255" t="s">
        <v>78</v>
      </c>
      <c r="N255" t="s">
        <v>79</v>
      </c>
      <c r="O255" t="s">
        <v>74</v>
      </c>
      <c r="P255" t="s">
        <v>74</v>
      </c>
      <c r="Q255" t="s">
        <v>74</v>
      </c>
      <c r="R255" t="s">
        <v>74</v>
      </c>
      <c r="S255" t="s">
        <v>74</v>
      </c>
      <c r="T255" t="s">
        <v>74</v>
      </c>
      <c r="U255" t="s">
        <v>4970</v>
      </c>
      <c r="V255" t="s">
        <v>4971</v>
      </c>
      <c r="W255" t="s">
        <v>4972</v>
      </c>
      <c r="X255" t="s">
        <v>4973</v>
      </c>
      <c r="Y255" t="s">
        <v>4974</v>
      </c>
      <c r="Z255" t="s">
        <v>4975</v>
      </c>
      <c r="AA255" t="s">
        <v>4976</v>
      </c>
      <c r="AB255" t="s">
        <v>4977</v>
      </c>
      <c r="AC255" t="s">
        <v>4978</v>
      </c>
      <c r="AD255" t="s">
        <v>4979</v>
      </c>
      <c r="AE255" t="s">
        <v>4980</v>
      </c>
      <c r="AF255" t="s">
        <v>74</v>
      </c>
      <c r="AG255">
        <v>26</v>
      </c>
      <c r="AH255">
        <v>26</v>
      </c>
      <c r="AI255">
        <v>27</v>
      </c>
      <c r="AJ255">
        <v>0</v>
      </c>
      <c r="AK255">
        <v>21</v>
      </c>
      <c r="AL255" t="s">
        <v>4123</v>
      </c>
      <c r="AM255" t="s">
        <v>4124</v>
      </c>
      <c r="AN255" t="s">
        <v>4125</v>
      </c>
      <c r="AO255" t="s">
        <v>4126</v>
      </c>
      <c r="AP255" t="s">
        <v>4127</v>
      </c>
      <c r="AQ255" t="s">
        <v>74</v>
      </c>
      <c r="AR255" t="s">
        <v>4128</v>
      </c>
      <c r="AS255" t="s">
        <v>4129</v>
      </c>
      <c r="AT255" t="s">
        <v>74</v>
      </c>
      <c r="AU255">
        <v>2013</v>
      </c>
      <c r="AV255">
        <v>56</v>
      </c>
      <c r="AW255">
        <v>2</v>
      </c>
      <c r="AX255" t="s">
        <v>74</v>
      </c>
      <c r="AY255" t="s">
        <v>74</v>
      </c>
      <c r="AZ255" t="s">
        <v>221</v>
      </c>
      <c r="BA255" t="s">
        <v>74</v>
      </c>
      <c r="BB255" t="s">
        <v>74</v>
      </c>
      <c r="BC255" t="s">
        <v>74</v>
      </c>
      <c r="BD255" t="s">
        <v>4981</v>
      </c>
      <c r="BE255" t="s">
        <v>4982</v>
      </c>
      <c r="BF255" t="str">
        <f>HYPERLINK("http://dx.doi.org/10.4401/ag-6240","http://dx.doi.org/10.4401/ag-6240")</f>
        <v>http://dx.doi.org/10.4401/ag-6240</v>
      </c>
      <c r="BG255" t="s">
        <v>74</v>
      </c>
      <c r="BH255" t="s">
        <v>74</v>
      </c>
      <c r="BI255">
        <v>12</v>
      </c>
      <c r="BJ255" t="s">
        <v>263</v>
      </c>
      <c r="BK255" t="s">
        <v>102</v>
      </c>
      <c r="BL255" t="s">
        <v>263</v>
      </c>
      <c r="BM255" t="s">
        <v>4907</v>
      </c>
      <c r="BN255" t="s">
        <v>74</v>
      </c>
      <c r="BO255" t="s">
        <v>1719</v>
      </c>
      <c r="BP255" t="s">
        <v>74</v>
      </c>
      <c r="BQ255" t="s">
        <v>74</v>
      </c>
      <c r="BR255" t="s">
        <v>105</v>
      </c>
      <c r="BS255" t="s">
        <v>4983</v>
      </c>
      <c r="BT255" t="str">
        <f>HYPERLINK("https%3A%2F%2Fwww.webofscience.com%2Fwos%2Fwoscc%2Ffull-record%2FWOS:000328252900006","View Full Record in Web of Science")</f>
        <v>View Full Record in Web of Science</v>
      </c>
    </row>
    <row r="256" spans="1:72" x14ac:dyDescent="0.15">
      <c r="A256" t="s">
        <v>72</v>
      </c>
      <c r="B256" t="s">
        <v>4984</v>
      </c>
      <c r="C256" t="s">
        <v>74</v>
      </c>
      <c r="D256" t="s">
        <v>74</v>
      </c>
      <c r="E256" t="s">
        <v>74</v>
      </c>
      <c r="F256" t="s">
        <v>4985</v>
      </c>
      <c r="G256" t="s">
        <v>74</v>
      </c>
      <c r="H256" t="s">
        <v>74</v>
      </c>
      <c r="I256" t="s">
        <v>4986</v>
      </c>
      <c r="J256" t="s">
        <v>4987</v>
      </c>
      <c r="K256" t="s">
        <v>74</v>
      </c>
      <c r="L256" t="s">
        <v>74</v>
      </c>
      <c r="M256" t="s">
        <v>78</v>
      </c>
      <c r="N256" t="s">
        <v>79</v>
      </c>
      <c r="O256" t="s">
        <v>74</v>
      </c>
      <c r="P256" t="s">
        <v>74</v>
      </c>
      <c r="Q256" t="s">
        <v>74</v>
      </c>
      <c r="R256" t="s">
        <v>74</v>
      </c>
      <c r="S256" t="s">
        <v>74</v>
      </c>
      <c r="T256" t="s">
        <v>74</v>
      </c>
      <c r="U256" t="s">
        <v>4988</v>
      </c>
      <c r="V256" t="s">
        <v>4989</v>
      </c>
      <c r="W256" t="s">
        <v>4990</v>
      </c>
      <c r="X256" t="s">
        <v>4991</v>
      </c>
      <c r="Y256" t="s">
        <v>4992</v>
      </c>
      <c r="Z256" t="s">
        <v>4993</v>
      </c>
      <c r="AA256" t="s">
        <v>74</v>
      </c>
      <c r="AB256" t="s">
        <v>74</v>
      </c>
      <c r="AC256" t="s">
        <v>4994</v>
      </c>
      <c r="AD256" t="s">
        <v>4994</v>
      </c>
      <c r="AE256" t="s">
        <v>4995</v>
      </c>
      <c r="AF256" t="s">
        <v>74</v>
      </c>
      <c r="AG256">
        <v>38</v>
      </c>
      <c r="AH256">
        <v>5</v>
      </c>
      <c r="AI256">
        <v>6</v>
      </c>
      <c r="AJ256">
        <v>0</v>
      </c>
      <c r="AK256">
        <v>13</v>
      </c>
      <c r="AL256" t="s">
        <v>4248</v>
      </c>
      <c r="AM256" t="s">
        <v>4249</v>
      </c>
      <c r="AN256" t="s">
        <v>4250</v>
      </c>
      <c r="AO256" t="s">
        <v>4996</v>
      </c>
      <c r="AP256" t="s">
        <v>4997</v>
      </c>
      <c r="AQ256" t="s">
        <v>74</v>
      </c>
      <c r="AR256" t="s">
        <v>4987</v>
      </c>
      <c r="AS256" t="s">
        <v>4998</v>
      </c>
      <c r="AT256" t="s">
        <v>74</v>
      </c>
      <c r="AU256">
        <v>2013</v>
      </c>
      <c r="AV256">
        <v>4</v>
      </c>
      <c r="AW256">
        <v>2</v>
      </c>
      <c r="AX256" t="s">
        <v>74</v>
      </c>
      <c r="AY256" t="s">
        <v>74</v>
      </c>
      <c r="AZ256" t="s">
        <v>74</v>
      </c>
      <c r="BA256" t="s">
        <v>74</v>
      </c>
      <c r="BB256">
        <v>451</v>
      </c>
      <c r="BC256">
        <v>459</v>
      </c>
      <c r="BD256" t="s">
        <v>74</v>
      </c>
      <c r="BE256" t="s">
        <v>4999</v>
      </c>
      <c r="BF256" t="str">
        <f>HYPERLINK("http://dx.doi.org/10.5194/se-4-451-2013","http://dx.doi.org/10.5194/se-4-451-2013")</f>
        <v>http://dx.doi.org/10.5194/se-4-451-2013</v>
      </c>
      <c r="BG256" t="s">
        <v>74</v>
      </c>
      <c r="BH256" t="s">
        <v>74</v>
      </c>
      <c r="BI256">
        <v>9</v>
      </c>
      <c r="BJ256" t="s">
        <v>263</v>
      </c>
      <c r="BK256" t="s">
        <v>102</v>
      </c>
      <c r="BL256" t="s">
        <v>263</v>
      </c>
      <c r="BM256" t="s">
        <v>5000</v>
      </c>
      <c r="BN256" t="s">
        <v>74</v>
      </c>
      <c r="BO256" t="s">
        <v>4621</v>
      </c>
      <c r="BP256" t="s">
        <v>74</v>
      </c>
      <c r="BQ256" t="s">
        <v>74</v>
      </c>
      <c r="BR256" t="s">
        <v>105</v>
      </c>
      <c r="BS256" t="s">
        <v>5001</v>
      </c>
      <c r="BT256" t="str">
        <f>HYPERLINK("https%3A%2F%2Fwww.webofscience.com%2Fwos%2Fwoscc%2Ffull-record%2FWOS:000328256200016","View Full Record in Web of Science")</f>
        <v>View Full Record in Web of Science</v>
      </c>
    </row>
    <row r="257" spans="1:72" x14ac:dyDescent="0.15">
      <c r="A257" t="s">
        <v>72</v>
      </c>
      <c r="B257" t="s">
        <v>5002</v>
      </c>
      <c r="C257" t="s">
        <v>74</v>
      </c>
      <c r="D257" t="s">
        <v>74</v>
      </c>
      <c r="E257" t="s">
        <v>74</v>
      </c>
      <c r="F257" t="s">
        <v>5003</v>
      </c>
      <c r="G257" t="s">
        <v>74</v>
      </c>
      <c r="H257" t="s">
        <v>74</v>
      </c>
      <c r="I257" t="s">
        <v>5004</v>
      </c>
      <c r="J257" t="s">
        <v>4987</v>
      </c>
      <c r="K257" t="s">
        <v>74</v>
      </c>
      <c r="L257" t="s">
        <v>74</v>
      </c>
      <c r="M257" t="s">
        <v>78</v>
      </c>
      <c r="N257" t="s">
        <v>79</v>
      </c>
      <c r="O257" t="s">
        <v>74</v>
      </c>
      <c r="P257" t="s">
        <v>74</v>
      </c>
      <c r="Q257" t="s">
        <v>74</v>
      </c>
      <c r="R257" t="s">
        <v>74</v>
      </c>
      <c r="S257" t="s">
        <v>74</v>
      </c>
      <c r="T257" t="s">
        <v>74</v>
      </c>
      <c r="U257" t="s">
        <v>5005</v>
      </c>
      <c r="V257" t="s">
        <v>5006</v>
      </c>
      <c r="W257" t="s">
        <v>5007</v>
      </c>
      <c r="X257" t="s">
        <v>5008</v>
      </c>
      <c r="Y257" t="s">
        <v>5009</v>
      </c>
      <c r="Z257" t="s">
        <v>5010</v>
      </c>
      <c r="AA257" t="s">
        <v>5011</v>
      </c>
      <c r="AB257" t="s">
        <v>5012</v>
      </c>
      <c r="AC257" t="s">
        <v>5013</v>
      </c>
      <c r="AD257" t="s">
        <v>5014</v>
      </c>
      <c r="AE257" t="s">
        <v>5015</v>
      </c>
      <c r="AF257" t="s">
        <v>74</v>
      </c>
      <c r="AG257">
        <v>67</v>
      </c>
      <c r="AH257">
        <v>59</v>
      </c>
      <c r="AI257">
        <v>59</v>
      </c>
      <c r="AJ257">
        <v>0</v>
      </c>
      <c r="AK257">
        <v>16</v>
      </c>
      <c r="AL257" t="s">
        <v>4248</v>
      </c>
      <c r="AM257" t="s">
        <v>4249</v>
      </c>
      <c r="AN257" t="s">
        <v>4250</v>
      </c>
      <c r="AO257" t="s">
        <v>4996</v>
      </c>
      <c r="AP257" t="s">
        <v>4997</v>
      </c>
      <c r="AQ257" t="s">
        <v>74</v>
      </c>
      <c r="AR257" t="s">
        <v>4987</v>
      </c>
      <c r="AS257" t="s">
        <v>4998</v>
      </c>
      <c r="AT257" t="s">
        <v>74</v>
      </c>
      <c r="AU257">
        <v>2013</v>
      </c>
      <c r="AV257">
        <v>4</v>
      </c>
      <c r="AW257">
        <v>2</v>
      </c>
      <c r="AX257" t="s">
        <v>74</v>
      </c>
      <c r="AY257" t="s">
        <v>74</v>
      </c>
      <c r="AZ257" t="s">
        <v>74</v>
      </c>
      <c r="BA257" t="s">
        <v>74</v>
      </c>
      <c r="BB257">
        <v>461</v>
      </c>
      <c r="BC257">
        <v>479</v>
      </c>
      <c r="BD257" t="s">
        <v>74</v>
      </c>
      <c r="BE257" t="s">
        <v>5016</v>
      </c>
      <c r="BF257" t="str">
        <f>HYPERLINK("http://dx.doi.org/10.5194/se-4-461-2013","http://dx.doi.org/10.5194/se-4-461-2013")</f>
        <v>http://dx.doi.org/10.5194/se-4-461-2013</v>
      </c>
      <c r="BG257" t="s">
        <v>74</v>
      </c>
      <c r="BH257" t="s">
        <v>74</v>
      </c>
      <c r="BI257">
        <v>19</v>
      </c>
      <c r="BJ257" t="s">
        <v>263</v>
      </c>
      <c r="BK257" t="s">
        <v>102</v>
      </c>
      <c r="BL257" t="s">
        <v>263</v>
      </c>
      <c r="BM257" t="s">
        <v>5000</v>
      </c>
      <c r="BN257" t="s">
        <v>74</v>
      </c>
      <c r="BO257" t="s">
        <v>5017</v>
      </c>
      <c r="BP257" t="s">
        <v>74</v>
      </c>
      <c r="BQ257" t="s">
        <v>74</v>
      </c>
      <c r="BR257" t="s">
        <v>105</v>
      </c>
      <c r="BS257" t="s">
        <v>5018</v>
      </c>
      <c r="BT257" t="str">
        <f>HYPERLINK("https%3A%2F%2Fwww.webofscience.com%2Fwos%2Fwoscc%2Ffull-record%2FWOS:000328256200017","View Full Record in Web of Science")</f>
        <v>View Full Record in Web of Science</v>
      </c>
    </row>
    <row r="258" spans="1:72" x14ac:dyDescent="0.15">
      <c r="A258" t="s">
        <v>72</v>
      </c>
      <c r="B258" t="s">
        <v>5019</v>
      </c>
      <c r="C258" t="s">
        <v>74</v>
      </c>
      <c r="D258" t="s">
        <v>74</v>
      </c>
      <c r="E258" t="s">
        <v>74</v>
      </c>
      <c r="F258" t="s">
        <v>5020</v>
      </c>
      <c r="G258" t="s">
        <v>74</v>
      </c>
      <c r="H258" t="s">
        <v>74</v>
      </c>
      <c r="I258" t="s">
        <v>5021</v>
      </c>
      <c r="J258" t="s">
        <v>5022</v>
      </c>
      <c r="K258" t="s">
        <v>74</v>
      </c>
      <c r="L258" t="s">
        <v>74</v>
      </c>
      <c r="M258" t="s">
        <v>78</v>
      </c>
      <c r="N258" t="s">
        <v>79</v>
      </c>
      <c r="O258" t="s">
        <v>74</v>
      </c>
      <c r="P258" t="s">
        <v>74</v>
      </c>
      <c r="Q258" t="s">
        <v>74</v>
      </c>
      <c r="R258" t="s">
        <v>74</v>
      </c>
      <c r="S258" t="s">
        <v>74</v>
      </c>
      <c r="T258" t="s">
        <v>74</v>
      </c>
      <c r="U258" t="s">
        <v>5023</v>
      </c>
      <c r="V258" t="s">
        <v>5024</v>
      </c>
      <c r="W258" t="s">
        <v>5025</v>
      </c>
      <c r="X258" t="s">
        <v>5026</v>
      </c>
      <c r="Y258" t="s">
        <v>5027</v>
      </c>
      <c r="Z258" t="s">
        <v>5028</v>
      </c>
      <c r="AA258" t="s">
        <v>5029</v>
      </c>
      <c r="AB258" t="s">
        <v>5030</v>
      </c>
      <c r="AC258" t="s">
        <v>5031</v>
      </c>
      <c r="AD258" t="s">
        <v>5032</v>
      </c>
      <c r="AE258" t="s">
        <v>5033</v>
      </c>
      <c r="AF258" t="s">
        <v>74</v>
      </c>
      <c r="AG258">
        <v>25</v>
      </c>
      <c r="AH258">
        <v>2</v>
      </c>
      <c r="AI258">
        <v>2</v>
      </c>
      <c r="AJ258">
        <v>0</v>
      </c>
      <c r="AK258">
        <v>5</v>
      </c>
      <c r="AL258" t="s">
        <v>4248</v>
      </c>
      <c r="AM258" t="s">
        <v>4249</v>
      </c>
      <c r="AN258" t="s">
        <v>4250</v>
      </c>
      <c r="AO258" t="s">
        <v>5034</v>
      </c>
      <c r="AP258" t="s">
        <v>5035</v>
      </c>
      <c r="AQ258" t="s">
        <v>74</v>
      </c>
      <c r="AR258" t="s">
        <v>5036</v>
      </c>
      <c r="AS258" t="s">
        <v>5037</v>
      </c>
      <c r="AT258" t="s">
        <v>74</v>
      </c>
      <c r="AU258">
        <v>2013</v>
      </c>
      <c r="AV258">
        <v>6</v>
      </c>
      <c r="AW258">
        <v>11</v>
      </c>
      <c r="AX258" t="s">
        <v>74</v>
      </c>
      <c r="AY258" t="s">
        <v>74</v>
      </c>
      <c r="AZ258" t="s">
        <v>74</v>
      </c>
      <c r="BA258" t="s">
        <v>74</v>
      </c>
      <c r="BB258">
        <v>2953</v>
      </c>
      <c r="BC258">
        <v>2964</v>
      </c>
      <c r="BD258" t="s">
        <v>74</v>
      </c>
      <c r="BE258" t="s">
        <v>5038</v>
      </c>
      <c r="BF258" t="str">
        <f>HYPERLINK("http://dx.doi.org/10.5194/amt-6-2953-2013","http://dx.doi.org/10.5194/amt-6-2953-2013")</f>
        <v>http://dx.doi.org/10.5194/amt-6-2953-2013</v>
      </c>
      <c r="BG258" t="s">
        <v>74</v>
      </c>
      <c r="BH258" t="s">
        <v>74</v>
      </c>
      <c r="BI258">
        <v>12</v>
      </c>
      <c r="BJ258" t="s">
        <v>101</v>
      </c>
      <c r="BK258" t="s">
        <v>102</v>
      </c>
      <c r="BL258" t="s">
        <v>101</v>
      </c>
      <c r="BM258" t="s">
        <v>5039</v>
      </c>
      <c r="BN258" t="s">
        <v>74</v>
      </c>
      <c r="BO258" t="s">
        <v>4132</v>
      </c>
      <c r="BP258" t="s">
        <v>74</v>
      </c>
      <c r="BQ258" t="s">
        <v>74</v>
      </c>
      <c r="BR258" t="s">
        <v>105</v>
      </c>
      <c r="BS258" t="s">
        <v>5040</v>
      </c>
      <c r="BT258" t="str">
        <f>HYPERLINK("https%3A%2F%2Fwww.webofscience.com%2Fwos%2Fwoscc%2Ffull-record%2FWOS:000327815900002","View Full Record in Web of Science")</f>
        <v>View Full Record in Web of Science</v>
      </c>
    </row>
    <row r="259" spans="1:72" x14ac:dyDescent="0.15">
      <c r="A259" t="s">
        <v>72</v>
      </c>
      <c r="B259" t="s">
        <v>5041</v>
      </c>
      <c r="C259" t="s">
        <v>74</v>
      </c>
      <c r="D259" t="s">
        <v>74</v>
      </c>
      <c r="E259" t="s">
        <v>74</v>
      </c>
      <c r="F259" t="s">
        <v>5042</v>
      </c>
      <c r="G259" t="s">
        <v>74</v>
      </c>
      <c r="H259" t="s">
        <v>74</v>
      </c>
      <c r="I259" t="s">
        <v>5043</v>
      </c>
      <c r="J259" t="s">
        <v>5022</v>
      </c>
      <c r="K259" t="s">
        <v>74</v>
      </c>
      <c r="L259" t="s">
        <v>74</v>
      </c>
      <c r="M259" t="s">
        <v>78</v>
      </c>
      <c r="N259" t="s">
        <v>79</v>
      </c>
      <c r="O259" t="s">
        <v>74</v>
      </c>
      <c r="P259" t="s">
        <v>74</v>
      </c>
      <c r="Q259" t="s">
        <v>74</v>
      </c>
      <c r="R259" t="s">
        <v>74</v>
      </c>
      <c r="S259" t="s">
        <v>74</v>
      </c>
      <c r="T259" t="s">
        <v>74</v>
      </c>
      <c r="U259" t="s">
        <v>5044</v>
      </c>
      <c r="V259" t="s">
        <v>5045</v>
      </c>
      <c r="W259" t="s">
        <v>5046</v>
      </c>
      <c r="X259" t="s">
        <v>5047</v>
      </c>
      <c r="Y259" t="s">
        <v>5048</v>
      </c>
      <c r="Z259" t="s">
        <v>5049</v>
      </c>
      <c r="AA259" t="s">
        <v>5050</v>
      </c>
      <c r="AB259" t="s">
        <v>5051</v>
      </c>
      <c r="AC259" t="s">
        <v>5052</v>
      </c>
      <c r="AD259" t="s">
        <v>5053</v>
      </c>
      <c r="AE259" t="s">
        <v>5054</v>
      </c>
      <c r="AF259" t="s">
        <v>74</v>
      </c>
      <c r="AG259">
        <v>82</v>
      </c>
      <c r="AH259">
        <v>6</v>
      </c>
      <c r="AI259">
        <v>6</v>
      </c>
      <c r="AJ259">
        <v>0</v>
      </c>
      <c r="AK259">
        <v>15</v>
      </c>
      <c r="AL259" t="s">
        <v>4248</v>
      </c>
      <c r="AM259" t="s">
        <v>4249</v>
      </c>
      <c r="AN259" t="s">
        <v>4250</v>
      </c>
      <c r="AO259" t="s">
        <v>5034</v>
      </c>
      <c r="AP259" t="s">
        <v>5035</v>
      </c>
      <c r="AQ259" t="s">
        <v>74</v>
      </c>
      <c r="AR259" t="s">
        <v>5036</v>
      </c>
      <c r="AS259" t="s">
        <v>5037</v>
      </c>
      <c r="AT259" t="s">
        <v>74</v>
      </c>
      <c r="AU259">
        <v>2013</v>
      </c>
      <c r="AV259">
        <v>6</v>
      </c>
      <c r="AW259">
        <v>11</v>
      </c>
      <c r="AX259" t="s">
        <v>74</v>
      </c>
      <c r="AY259" t="s">
        <v>74</v>
      </c>
      <c r="AZ259" t="s">
        <v>74</v>
      </c>
      <c r="BA259" t="s">
        <v>74</v>
      </c>
      <c r="BB259">
        <v>3099</v>
      </c>
      <c r="BC259">
        <v>3113</v>
      </c>
      <c r="BD259" t="s">
        <v>74</v>
      </c>
      <c r="BE259" t="s">
        <v>5055</v>
      </c>
      <c r="BF259" t="str">
        <f>HYPERLINK("http://dx.doi.org/10.5194/amt-6-3099-2013","http://dx.doi.org/10.5194/amt-6-3099-2013")</f>
        <v>http://dx.doi.org/10.5194/amt-6-3099-2013</v>
      </c>
      <c r="BG259" t="s">
        <v>74</v>
      </c>
      <c r="BH259" t="s">
        <v>74</v>
      </c>
      <c r="BI259">
        <v>15</v>
      </c>
      <c r="BJ259" t="s">
        <v>101</v>
      </c>
      <c r="BK259" t="s">
        <v>102</v>
      </c>
      <c r="BL259" t="s">
        <v>101</v>
      </c>
      <c r="BM259" t="s">
        <v>5039</v>
      </c>
      <c r="BN259" t="s">
        <v>74</v>
      </c>
      <c r="BO259" t="s">
        <v>4132</v>
      </c>
      <c r="BP259" t="s">
        <v>74</v>
      </c>
      <c r="BQ259" t="s">
        <v>74</v>
      </c>
      <c r="BR259" t="s">
        <v>105</v>
      </c>
      <c r="BS259" t="s">
        <v>5056</v>
      </c>
      <c r="BT259" t="str">
        <f>HYPERLINK("https%3A%2F%2Fwww.webofscience.com%2Fwos%2Fwoscc%2Ffull-record%2FWOS:000327815900011","View Full Record in Web of Science")</f>
        <v>View Full Record in Web of Science</v>
      </c>
    </row>
    <row r="260" spans="1:72" x14ac:dyDescent="0.15">
      <c r="A260" t="s">
        <v>72</v>
      </c>
      <c r="B260" t="s">
        <v>5057</v>
      </c>
      <c r="C260" t="s">
        <v>74</v>
      </c>
      <c r="D260" t="s">
        <v>74</v>
      </c>
      <c r="E260" t="s">
        <v>74</v>
      </c>
      <c r="F260" t="s">
        <v>5058</v>
      </c>
      <c r="G260" t="s">
        <v>74</v>
      </c>
      <c r="H260" t="s">
        <v>74</v>
      </c>
      <c r="I260" t="s">
        <v>5059</v>
      </c>
      <c r="J260" t="s">
        <v>5060</v>
      </c>
      <c r="K260" t="s">
        <v>74</v>
      </c>
      <c r="L260" t="s">
        <v>74</v>
      </c>
      <c r="M260" t="s">
        <v>78</v>
      </c>
      <c r="N260" t="s">
        <v>79</v>
      </c>
      <c r="O260" t="s">
        <v>74</v>
      </c>
      <c r="P260" t="s">
        <v>74</v>
      </c>
      <c r="Q260" t="s">
        <v>74</v>
      </c>
      <c r="R260" t="s">
        <v>74</v>
      </c>
      <c r="S260" t="s">
        <v>74</v>
      </c>
      <c r="T260" t="s">
        <v>5061</v>
      </c>
      <c r="U260" t="s">
        <v>5062</v>
      </c>
      <c r="V260" t="s">
        <v>5063</v>
      </c>
      <c r="W260" t="s">
        <v>5064</v>
      </c>
      <c r="X260" t="s">
        <v>5065</v>
      </c>
      <c r="Y260" t="s">
        <v>5066</v>
      </c>
      <c r="Z260" t="s">
        <v>5067</v>
      </c>
      <c r="AA260" t="s">
        <v>5068</v>
      </c>
      <c r="AB260" t="s">
        <v>5069</v>
      </c>
      <c r="AC260" t="s">
        <v>5070</v>
      </c>
      <c r="AD260" t="s">
        <v>5071</v>
      </c>
      <c r="AE260" t="s">
        <v>5072</v>
      </c>
      <c r="AF260" t="s">
        <v>74</v>
      </c>
      <c r="AG260">
        <v>43</v>
      </c>
      <c r="AH260">
        <v>66</v>
      </c>
      <c r="AI260">
        <v>77</v>
      </c>
      <c r="AJ260">
        <v>4</v>
      </c>
      <c r="AK260">
        <v>79</v>
      </c>
      <c r="AL260" t="s">
        <v>4363</v>
      </c>
      <c r="AM260" t="s">
        <v>4364</v>
      </c>
      <c r="AN260" t="s">
        <v>4365</v>
      </c>
      <c r="AO260" t="s">
        <v>5073</v>
      </c>
      <c r="AP260" t="s">
        <v>5074</v>
      </c>
      <c r="AQ260" t="s">
        <v>74</v>
      </c>
      <c r="AR260" t="s">
        <v>5075</v>
      </c>
      <c r="AS260" t="s">
        <v>5076</v>
      </c>
      <c r="AT260" t="s">
        <v>74</v>
      </c>
      <c r="AU260">
        <v>2013</v>
      </c>
      <c r="AV260">
        <v>494</v>
      </c>
      <c r="AW260" t="s">
        <v>74</v>
      </c>
      <c r="AX260" t="s">
        <v>74</v>
      </c>
      <c r="AY260" t="s">
        <v>74</v>
      </c>
      <c r="AZ260" t="s">
        <v>74</v>
      </c>
      <c r="BA260" t="s">
        <v>74</v>
      </c>
      <c r="BB260">
        <v>281</v>
      </c>
      <c r="BC260">
        <v>289</v>
      </c>
      <c r="BD260" t="s">
        <v>74</v>
      </c>
      <c r="BE260" t="s">
        <v>5077</v>
      </c>
      <c r="BF260" t="str">
        <f>HYPERLINK("http://dx.doi.org/10.3354/meps10541","http://dx.doi.org/10.3354/meps10541")</f>
        <v>http://dx.doi.org/10.3354/meps10541</v>
      </c>
      <c r="BG260" t="s">
        <v>74</v>
      </c>
      <c r="BH260" t="s">
        <v>74</v>
      </c>
      <c r="BI260">
        <v>9</v>
      </c>
      <c r="BJ260" t="s">
        <v>5078</v>
      </c>
      <c r="BK260" t="s">
        <v>102</v>
      </c>
      <c r="BL260" t="s">
        <v>5079</v>
      </c>
      <c r="BM260" t="s">
        <v>5080</v>
      </c>
      <c r="BN260" t="s">
        <v>74</v>
      </c>
      <c r="BO260" t="s">
        <v>128</v>
      </c>
      <c r="BP260" t="s">
        <v>74</v>
      </c>
      <c r="BQ260" t="s">
        <v>74</v>
      </c>
      <c r="BR260" t="s">
        <v>105</v>
      </c>
      <c r="BS260" t="s">
        <v>5081</v>
      </c>
      <c r="BT260" t="str">
        <f>HYPERLINK("https%3A%2F%2Fwww.webofscience.com%2Fwos%2Fwoscc%2Ffull-record%2FWOS:000328086100021","View Full Record in Web of Science")</f>
        <v>View Full Record in Web of Science</v>
      </c>
    </row>
    <row r="261" spans="1:72" x14ac:dyDescent="0.15">
      <c r="A261" t="s">
        <v>3224</v>
      </c>
      <c r="B261" t="s">
        <v>5082</v>
      </c>
      <c r="C261" t="s">
        <v>74</v>
      </c>
      <c r="D261" t="s">
        <v>5083</v>
      </c>
      <c r="E261" t="s">
        <v>74</v>
      </c>
      <c r="F261" t="s">
        <v>5084</v>
      </c>
      <c r="G261" t="s">
        <v>74</v>
      </c>
      <c r="H261" t="s">
        <v>74</v>
      </c>
      <c r="I261" t="s">
        <v>5085</v>
      </c>
      <c r="J261" t="s">
        <v>5086</v>
      </c>
      <c r="K261" t="s">
        <v>5087</v>
      </c>
      <c r="L261" t="s">
        <v>74</v>
      </c>
      <c r="M261" t="s">
        <v>78</v>
      </c>
      <c r="N261" t="s">
        <v>3231</v>
      </c>
      <c r="O261" t="s">
        <v>5088</v>
      </c>
      <c r="P261" t="s">
        <v>5089</v>
      </c>
      <c r="Q261" t="s">
        <v>5090</v>
      </c>
      <c r="R261" t="s">
        <v>74</v>
      </c>
      <c r="S261" t="s">
        <v>74</v>
      </c>
      <c r="T261" t="s">
        <v>5091</v>
      </c>
      <c r="U261" t="s">
        <v>74</v>
      </c>
      <c r="V261" t="s">
        <v>5092</v>
      </c>
      <c r="W261" t="s">
        <v>5093</v>
      </c>
      <c r="X261" t="s">
        <v>5094</v>
      </c>
      <c r="Y261" t="s">
        <v>5095</v>
      </c>
      <c r="Z261" t="s">
        <v>5096</v>
      </c>
      <c r="AA261" t="s">
        <v>5097</v>
      </c>
      <c r="AB261" t="s">
        <v>5098</v>
      </c>
      <c r="AC261" t="s">
        <v>74</v>
      </c>
      <c r="AD261" t="s">
        <v>74</v>
      </c>
      <c r="AE261" t="s">
        <v>74</v>
      </c>
      <c r="AF261" t="s">
        <v>74</v>
      </c>
      <c r="AG261">
        <v>6</v>
      </c>
      <c r="AH261">
        <v>0</v>
      </c>
      <c r="AI261">
        <v>0</v>
      </c>
      <c r="AJ261">
        <v>0</v>
      </c>
      <c r="AK261">
        <v>3</v>
      </c>
      <c r="AL261" t="s">
        <v>5099</v>
      </c>
      <c r="AM261" t="s">
        <v>1646</v>
      </c>
      <c r="AN261" t="s">
        <v>5100</v>
      </c>
      <c r="AO261" t="s">
        <v>5101</v>
      </c>
      <c r="AP261" t="s">
        <v>74</v>
      </c>
      <c r="AQ261" t="s">
        <v>5102</v>
      </c>
      <c r="AR261" t="s">
        <v>5103</v>
      </c>
      <c r="AS261" t="s">
        <v>74</v>
      </c>
      <c r="AT261" t="s">
        <v>74</v>
      </c>
      <c r="AU261">
        <v>2013</v>
      </c>
      <c r="AV261">
        <v>31</v>
      </c>
      <c r="AW261" t="s">
        <v>74</v>
      </c>
      <c r="AX261" t="s">
        <v>74</v>
      </c>
      <c r="AY261" t="s">
        <v>74</v>
      </c>
      <c r="AZ261" t="s">
        <v>74</v>
      </c>
      <c r="BA261" t="s">
        <v>74</v>
      </c>
      <c r="BB261">
        <v>300</v>
      </c>
      <c r="BC261">
        <v>303</v>
      </c>
      <c r="BD261" t="s">
        <v>74</v>
      </c>
      <c r="BE261" t="s">
        <v>74</v>
      </c>
      <c r="BF261" t="s">
        <v>74</v>
      </c>
      <c r="BG261" t="s">
        <v>74</v>
      </c>
      <c r="BH261" t="s">
        <v>74</v>
      </c>
      <c r="BI261">
        <v>4</v>
      </c>
      <c r="BJ261" t="s">
        <v>5104</v>
      </c>
      <c r="BK261" t="s">
        <v>3247</v>
      </c>
      <c r="BL261" t="s">
        <v>5105</v>
      </c>
      <c r="BM261" t="s">
        <v>5106</v>
      </c>
      <c r="BN261" t="s">
        <v>74</v>
      </c>
      <c r="BO261" t="s">
        <v>74</v>
      </c>
      <c r="BP261" t="s">
        <v>74</v>
      </c>
      <c r="BQ261" t="s">
        <v>74</v>
      </c>
      <c r="BR261" t="s">
        <v>105</v>
      </c>
      <c r="BS261" t="s">
        <v>5107</v>
      </c>
      <c r="BT261" t="str">
        <f>HYPERLINK("https%3A%2F%2Fwww.webofscience.com%2Fwos%2Fwoscc%2Ffull-record%2FWOS:000327762300073","View Full Record in Web of Science")</f>
        <v>View Full Record in Web of Science</v>
      </c>
    </row>
    <row r="262" spans="1:72" x14ac:dyDescent="0.15">
      <c r="A262" t="s">
        <v>3341</v>
      </c>
      <c r="B262" t="s">
        <v>5108</v>
      </c>
      <c r="C262" t="s">
        <v>74</v>
      </c>
      <c r="D262" t="s">
        <v>5109</v>
      </c>
      <c r="E262" t="s">
        <v>74</v>
      </c>
      <c r="F262" t="s">
        <v>5110</v>
      </c>
      <c r="G262" t="s">
        <v>74</v>
      </c>
      <c r="H262" t="s">
        <v>74</v>
      </c>
      <c r="I262" t="s">
        <v>5111</v>
      </c>
      <c r="J262" t="s">
        <v>5112</v>
      </c>
      <c r="K262" t="s">
        <v>5113</v>
      </c>
      <c r="L262" t="s">
        <v>74</v>
      </c>
      <c r="M262" t="s">
        <v>78</v>
      </c>
      <c r="N262" t="s">
        <v>5114</v>
      </c>
      <c r="O262" t="s">
        <v>74</v>
      </c>
      <c r="P262" t="s">
        <v>74</v>
      </c>
      <c r="Q262" t="s">
        <v>74</v>
      </c>
      <c r="R262" t="s">
        <v>74</v>
      </c>
      <c r="S262" t="s">
        <v>74</v>
      </c>
      <c r="T262" t="s">
        <v>74</v>
      </c>
      <c r="U262" t="s">
        <v>5115</v>
      </c>
      <c r="V262" t="s">
        <v>5116</v>
      </c>
      <c r="W262" t="s">
        <v>5117</v>
      </c>
      <c r="X262" t="s">
        <v>5118</v>
      </c>
      <c r="Y262" t="s">
        <v>5119</v>
      </c>
      <c r="Z262" t="s">
        <v>5120</v>
      </c>
      <c r="AA262" t="s">
        <v>5121</v>
      </c>
      <c r="AB262" t="s">
        <v>5122</v>
      </c>
      <c r="AC262" t="s">
        <v>74</v>
      </c>
      <c r="AD262" t="s">
        <v>74</v>
      </c>
      <c r="AE262" t="s">
        <v>74</v>
      </c>
      <c r="AF262" t="s">
        <v>74</v>
      </c>
      <c r="AG262">
        <v>272</v>
      </c>
      <c r="AH262">
        <v>14</v>
      </c>
      <c r="AI262">
        <v>14</v>
      </c>
      <c r="AJ262">
        <v>0</v>
      </c>
      <c r="AK262">
        <v>19</v>
      </c>
      <c r="AL262" t="s">
        <v>5123</v>
      </c>
      <c r="AM262" t="s">
        <v>474</v>
      </c>
      <c r="AN262" t="s">
        <v>5124</v>
      </c>
      <c r="AO262" t="s">
        <v>5125</v>
      </c>
      <c r="AP262" t="s">
        <v>5126</v>
      </c>
      <c r="AQ262" t="s">
        <v>5127</v>
      </c>
      <c r="AR262" t="s">
        <v>5128</v>
      </c>
      <c r="AS262" t="s">
        <v>5129</v>
      </c>
      <c r="AT262" t="s">
        <v>74</v>
      </c>
      <c r="AU262">
        <v>2013</v>
      </c>
      <c r="AV262">
        <v>63</v>
      </c>
      <c r="AW262" t="s">
        <v>74</v>
      </c>
      <c r="AX262" t="s">
        <v>74</v>
      </c>
      <c r="AY262" t="s">
        <v>74</v>
      </c>
      <c r="AZ262" t="s">
        <v>74</v>
      </c>
      <c r="BA262" t="s">
        <v>74</v>
      </c>
      <c r="BB262">
        <v>329</v>
      </c>
      <c r="BC262">
        <v>389</v>
      </c>
      <c r="BD262" t="s">
        <v>74</v>
      </c>
      <c r="BE262" t="s">
        <v>5130</v>
      </c>
      <c r="BF262" t="str">
        <f>HYPERLINK("http://dx.doi.org/10.1016/B978-0-12-407693-8.00008-X","http://dx.doi.org/10.1016/B978-0-12-407693-8.00008-X")</f>
        <v>http://dx.doi.org/10.1016/B978-0-12-407693-8.00008-X</v>
      </c>
      <c r="BG262" t="s">
        <v>74</v>
      </c>
      <c r="BH262" t="s">
        <v>74</v>
      </c>
      <c r="BI262">
        <v>61</v>
      </c>
      <c r="BJ262" t="s">
        <v>5131</v>
      </c>
      <c r="BK262" t="s">
        <v>5132</v>
      </c>
      <c r="BL262" t="s">
        <v>5131</v>
      </c>
      <c r="BM262" t="s">
        <v>5133</v>
      </c>
      <c r="BN262">
        <v>24054800</v>
      </c>
      <c r="BO262" t="s">
        <v>74</v>
      </c>
      <c r="BP262" t="s">
        <v>74</v>
      </c>
      <c r="BQ262" t="s">
        <v>74</v>
      </c>
      <c r="BR262" t="s">
        <v>105</v>
      </c>
      <c r="BS262" t="s">
        <v>5134</v>
      </c>
      <c r="BT262" t="str">
        <f>HYPERLINK("https%3A%2F%2Fwww.webofscience.com%2Fwos%2Fwoscc%2Ffull-record%2FWOS:000327427800009","View Full Record in Web of Science")</f>
        <v>View Full Record in Web of Science</v>
      </c>
    </row>
    <row r="263" spans="1:72" x14ac:dyDescent="0.15">
      <c r="A263" t="s">
        <v>72</v>
      </c>
      <c r="B263" t="s">
        <v>5135</v>
      </c>
      <c r="C263" t="s">
        <v>74</v>
      </c>
      <c r="D263" t="s">
        <v>74</v>
      </c>
      <c r="E263" t="s">
        <v>74</v>
      </c>
      <c r="F263" t="s">
        <v>5136</v>
      </c>
      <c r="G263" t="s">
        <v>74</v>
      </c>
      <c r="H263" t="s">
        <v>74</v>
      </c>
      <c r="I263" t="s">
        <v>5137</v>
      </c>
      <c r="J263" t="s">
        <v>4521</v>
      </c>
      <c r="K263" t="s">
        <v>74</v>
      </c>
      <c r="L263" t="s">
        <v>74</v>
      </c>
      <c r="M263" t="s">
        <v>78</v>
      </c>
      <c r="N263" t="s">
        <v>79</v>
      </c>
      <c r="O263" t="s">
        <v>74</v>
      </c>
      <c r="P263" t="s">
        <v>74</v>
      </c>
      <c r="Q263" t="s">
        <v>74</v>
      </c>
      <c r="R263" t="s">
        <v>74</v>
      </c>
      <c r="S263" t="s">
        <v>74</v>
      </c>
      <c r="T263" t="s">
        <v>74</v>
      </c>
      <c r="U263" t="s">
        <v>5138</v>
      </c>
      <c r="V263" t="s">
        <v>5139</v>
      </c>
      <c r="W263" t="s">
        <v>5140</v>
      </c>
      <c r="X263" t="s">
        <v>5141</v>
      </c>
      <c r="Y263" t="s">
        <v>5142</v>
      </c>
      <c r="Z263" t="s">
        <v>5143</v>
      </c>
      <c r="AA263" t="s">
        <v>5144</v>
      </c>
      <c r="AB263" t="s">
        <v>5145</v>
      </c>
      <c r="AC263" t="s">
        <v>5146</v>
      </c>
      <c r="AD263" t="s">
        <v>5147</v>
      </c>
      <c r="AE263" t="s">
        <v>5148</v>
      </c>
      <c r="AF263" t="s">
        <v>74</v>
      </c>
      <c r="AG263">
        <v>43</v>
      </c>
      <c r="AH263">
        <v>20</v>
      </c>
      <c r="AI263">
        <v>22</v>
      </c>
      <c r="AJ263">
        <v>0</v>
      </c>
      <c r="AK263">
        <v>28</v>
      </c>
      <c r="AL263" t="s">
        <v>4248</v>
      </c>
      <c r="AM263" t="s">
        <v>4249</v>
      </c>
      <c r="AN263" t="s">
        <v>4250</v>
      </c>
      <c r="AO263" t="s">
        <v>4533</v>
      </c>
      <c r="AP263" t="s">
        <v>4534</v>
      </c>
      <c r="AQ263" t="s">
        <v>74</v>
      </c>
      <c r="AR263" t="s">
        <v>4535</v>
      </c>
      <c r="AS263" t="s">
        <v>4536</v>
      </c>
      <c r="AT263" t="s">
        <v>74</v>
      </c>
      <c r="AU263">
        <v>2013</v>
      </c>
      <c r="AV263">
        <v>13</v>
      </c>
      <c r="AW263">
        <v>21</v>
      </c>
      <c r="AX263" t="s">
        <v>74</v>
      </c>
      <c r="AY263" t="s">
        <v>74</v>
      </c>
      <c r="AZ263" t="s">
        <v>74</v>
      </c>
      <c r="BA263" t="s">
        <v>74</v>
      </c>
      <c r="BB263">
        <v>11141</v>
      </c>
      <c r="BC263">
        <v>11155</v>
      </c>
      <c r="BD263" t="s">
        <v>74</v>
      </c>
      <c r="BE263" t="s">
        <v>5149</v>
      </c>
      <c r="BF263" t="str">
        <f>HYPERLINK("http://dx.doi.org/10.5194/acp-13-11141-2013","http://dx.doi.org/10.5194/acp-13-11141-2013")</f>
        <v>http://dx.doi.org/10.5194/acp-13-11141-2013</v>
      </c>
      <c r="BG263" t="s">
        <v>74</v>
      </c>
      <c r="BH263" t="s">
        <v>74</v>
      </c>
      <c r="BI263">
        <v>15</v>
      </c>
      <c r="BJ263" t="s">
        <v>1627</v>
      </c>
      <c r="BK263" t="s">
        <v>102</v>
      </c>
      <c r="BL263" t="s">
        <v>1628</v>
      </c>
      <c r="BM263" t="s">
        <v>5150</v>
      </c>
      <c r="BN263" t="s">
        <v>74</v>
      </c>
      <c r="BO263" t="s">
        <v>4132</v>
      </c>
      <c r="BP263" t="s">
        <v>74</v>
      </c>
      <c r="BQ263" t="s">
        <v>74</v>
      </c>
      <c r="BR263" t="s">
        <v>105</v>
      </c>
      <c r="BS263" t="s">
        <v>5151</v>
      </c>
      <c r="BT263" t="str">
        <f>HYPERLINK("https%3A%2F%2Fwww.webofscience.com%2Fwos%2Fwoscc%2Ffull-record%2FWOS:000327101900037","View Full Record in Web of Science")</f>
        <v>View Full Record in Web of Science</v>
      </c>
    </row>
    <row r="264" spans="1:72" x14ac:dyDescent="0.15">
      <c r="A264" t="s">
        <v>72</v>
      </c>
      <c r="B264" t="s">
        <v>5152</v>
      </c>
      <c r="C264" t="s">
        <v>74</v>
      </c>
      <c r="D264" t="s">
        <v>74</v>
      </c>
      <c r="E264" t="s">
        <v>74</v>
      </c>
      <c r="F264" t="s">
        <v>5153</v>
      </c>
      <c r="G264" t="s">
        <v>74</v>
      </c>
      <c r="H264" t="s">
        <v>74</v>
      </c>
      <c r="I264" t="s">
        <v>5154</v>
      </c>
      <c r="J264" t="s">
        <v>5155</v>
      </c>
      <c r="K264" t="s">
        <v>74</v>
      </c>
      <c r="L264" t="s">
        <v>74</v>
      </c>
      <c r="M264" t="s">
        <v>78</v>
      </c>
      <c r="N264" t="s">
        <v>79</v>
      </c>
      <c r="O264" t="s">
        <v>74</v>
      </c>
      <c r="P264" t="s">
        <v>74</v>
      </c>
      <c r="Q264" t="s">
        <v>74</v>
      </c>
      <c r="R264" t="s">
        <v>74</v>
      </c>
      <c r="S264" t="s">
        <v>74</v>
      </c>
      <c r="T264" t="s">
        <v>5156</v>
      </c>
      <c r="U264" t="s">
        <v>5157</v>
      </c>
      <c r="V264" t="s">
        <v>5158</v>
      </c>
      <c r="W264" t="s">
        <v>5159</v>
      </c>
      <c r="X264" t="s">
        <v>5160</v>
      </c>
      <c r="Y264" t="s">
        <v>5161</v>
      </c>
      <c r="Z264" t="s">
        <v>5162</v>
      </c>
      <c r="AA264" t="s">
        <v>5163</v>
      </c>
      <c r="AB264" t="s">
        <v>5164</v>
      </c>
      <c r="AC264" t="s">
        <v>5165</v>
      </c>
      <c r="AD264" t="s">
        <v>5166</v>
      </c>
      <c r="AE264" t="s">
        <v>5167</v>
      </c>
      <c r="AF264" t="s">
        <v>74</v>
      </c>
      <c r="AG264">
        <v>98</v>
      </c>
      <c r="AH264">
        <v>59</v>
      </c>
      <c r="AI264">
        <v>68</v>
      </c>
      <c r="AJ264">
        <v>3</v>
      </c>
      <c r="AK264">
        <v>48</v>
      </c>
      <c r="AL264" t="s">
        <v>257</v>
      </c>
      <c r="AM264" t="s">
        <v>215</v>
      </c>
      <c r="AN264" t="s">
        <v>216</v>
      </c>
      <c r="AO264" t="s">
        <v>5168</v>
      </c>
      <c r="AP264" t="s">
        <v>74</v>
      </c>
      <c r="AQ264" t="s">
        <v>74</v>
      </c>
      <c r="AR264" t="s">
        <v>5155</v>
      </c>
      <c r="AS264" t="s">
        <v>5169</v>
      </c>
      <c r="AT264" t="s">
        <v>5170</v>
      </c>
      <c r="AU264">
        <v>2013</v>
      </c>
      <c r="AV264">
        <v>4</v>
      </c>
      <c r="AW264">
        <v>1</v>
      </c>
      <c r="AX264" t="s">
        <v>74</v>
      </c>
      <c r="AY264" t="s">
        <v>74</v>
      </c>
      <c r="AZ264" t="s">
        <v>74</v>
      </c>
      <c r="BA264" t="s">
        <v>74</v>
      </c>
      <c r="BB264" t="s">
        <v>74</v>
      </c>
      <c r="BC264" t="s">
        <v>74</v>
      </c>
      <c r="BD264">
        <v>14</v>
      </c>
      <c r="BE264" t="s">
        <v>5171</v>
      </c>
      <c r="BF264" t="str">
        <f>HYPERLINK("http://dx.doi.org/10.1890/ES12-00322.1","http://dx.doi.org/10.1890/ES12-00322.1")</f>
        <v>http://dx.doi.org/10.1890/ES12-00322.1</v>
      </c>
      <c r="BG264" t="s">
        <v>74</v>
      </c>
      <c r="BH264" t="s">
        <v>74</v>
      </c>
      <c r="BI264">
        <v>33</v>
      </c>
      <c r="BJ264" t="s">
        <v>5172</v>
      </c>
      <c r="BK264" t="s">
        <v>102</v>
      </c>
      <c r="BL264" t="s">
        <v>455</v>
      </c>
      <c r="BM264" t="s">
        <v>5173</v>
      </c>
      <c r="BN264" t="s">
        <v>74</v>
      </c>
      <c r="BO264" t="s">
        <v>5174</v>
      </c>
      <c r="BP264" t="s">
        <v>74</v>
      </c>
      <c r="BQ264" t="s">
        <v>74</v>
      </c>
      <c r="BR264" t="s">
        <v>105</v>
      </c>
      <c r="BS264" t="s">
        <v>5175</v>
      </c>
      <c r="BT264" t="str">
        <f>HYPERLINK("https%3A%2F%2Fwww.webofscience.com%2Fwos%2Fwoscc%2Ffull-record%2FWOS:000327305900014","View Full Record in Web of Science")</f>
        <v>View Full Record in Web of Science</v>
      </c>
    </row>
    <row r="265" spans="1:72" x14ac:dyDescent="0.15">
      <c r="A265" t="s">
        <v>72</v>
      </c>
      <c r="B265" t="s">
        <v>5176</v>
      </c>
      <c r="C265" t="s">
        <v>74</v>
      </c>
      <c r="D265" t="s">
        <v>74</v>
      </c>
      <c r="E265" t="s">
        <v>74</v>
      </c>
      <c r="F265" t="s">
        <v>5177</v>
      </c>
      <c r="G265" t="s">
        <v>74</v>
      </c>
      <c r="H265" t="s">
        <v>74</v>
      </c>
      <c r="I265" t="s">
        <v>5178</v>
      </c>
      <c r="J265" t="s">
        <v>5179</v>
      </c>
      <c r="K265" t="s">
        <v>74</v>
      </c>
      <c r="L265" t="s">
        <v>74</v>
      </c>
      <c r="M265" t="s">
        <v>78</v>
      </c>
      <c r="N265" t="s">
        <v>79</v>
      </c>
      <c r="O265" t="s">
        <v>74</v>
      </c>
      <c r="P265" t="s">
        <v>74</v>
      </c>
      <c r="Q265" t="s">
        <v>74</v>
      </c>
      <c r="R265" t="s">
        <v>74</v>
      </c>
      <c r="S265" t="s">
        <v>74</v>
      </c>
      <c r="T265" t="s">
        <v>5180</v>
      </c>
      <c r="U265" t="s">
        <v>5181</v>
      </c>
      <c r="V265" t="s">
        <v>5182</v>
      </c>
      <c r="W265" t="s">
        <v>5183</v>
      </c>
      <c r="X265" t="s">
        <v>5184</v>
      </c>
      <c r="Y265" t="s">
        <v>5185</v>
      </c>
      <c r="Z265" t="s">
        <v>5186</v>
      </c>
      <c r="AA265" t="s">
        <v>5187</v>
      </c>
      <c r="AB265" t="s">
        <v>5188</v>
      </c>
      <c r="AC265" t="s">
        <v>5189</v>
      </c>
      <c r="AD265" t="s">
        <v>5190</v>
      </c>
      <c r="AE265" t="s">
        <v>5191</v>
      </c>
      <c r="AF265" t="s">
        <v>74</v>
      </c>
      <c r="AG265">
        <v>24</v>
      </c>
      <c r="AH265">
        <v>18</v>
      </c>
      <c r="AI265">
        <v>21</v>
      </c>
      <c r="AJ265">
        <v>0</v>
      </c>
      <c r="AK265">
        <v>18</v>
      </c>
      <c r="AL265" t="s">
        <v>5192</v>
      </c>
      <c r="AM265" t="s">
        <v>5193</v>
      </c>
      <c r="AN265" t="s">
        <v>5194</v>
      </c>
      <c r="AO265" t="s">
        <v>5195</v>
      </c>
      <c r="AP265" t="s">
        <v>5196</v>
      </c>
      <c r="AQ265" t="s">
        <v>74</v>
      </c>
      <c r="AR265" t="s">
        <v>5197</v>
      </c>
      <c r="AS265" t="s">
        <v>5198</v>
      </c>
      <c r="AT265" t="s">
        <v>74</v>
      </c>
      <c r="AU265">
        <v>2013</v>
      </c>
      <c r="AV265">
        <v>72</v>
      </c>
      <c r="AW265" t="s">
        <v>74</v>
      </c>
      <c r="AX265" t="s">
        <v>74</v>
      </c>
      <c r="AY265">
        <v>1</v>
      </c>
      <c r="AZ265" t="s">
        <v>74</v>
      </c>
      <c r="BA265" t="s">
        <v>74</v>
      </c>
      <c r="BB265">
        <v>15</v>
      </c>
      <c r="BC265">
        <v>23</v>
      </c>
      <c r="BD265" t="s">
        <v>74</v>
      </c>
      <c r="BE265" t="s">
        <v>5199</v>
      </c>
      <c r="BF265" t="str">
        <f>HYPERLINK("http://dx.doi.org/10.4081/jlimnol.2013.s1.e3","http://dx.doi.org/10.4081/jlimnol.2013.s1.e3")</f>
        <v>http://dx.doi.org/10.4081/jlimnol.2013.s1.e3</v>
      </c>
      <c r="BG265" t="s">
        <v>74</v>
      </c>
      <c r="BH265" t="s">
        <v>74</v>
      </c>
      <c r="BI265">
        <v>9</v>
      </c>
      <c r="BJ265" t="s">
        <v>5200</v>
      </c>
      <c r="BK265" t="s">
        <v>102</v>
      </c>
      <c r="BL265" t="s">
        <v>223</v>
      </c>
      <c r="BM265" t="s">
        <v>5201</v>
      </c>
      <c r="BN265" t="s">
        <v>74</v>
      </c>
      <c r="BO265" t="s">
        <v>4132</v>
      </c>
      <c r="BP265" t="s">
        <v>74</v>
      </c>
      <c r="BQ265" t="s">
        <v>74</v>
      </c>
      <c r="BR265" t="s">
        <v>105</v>
      </c>
      <c r="BS265" t="s">
        <v>5202</v>
      </c>
      <c r="BT265" t="str">
        <f>HYPERLINK("https%3A%2F%2Fwww.webofscience.com%2Fwos%2Fwoscc%2Ffull-record%2FWOS:000327485200003","View Full Record in Web of Science")</f>
        <v>View Full Record in Web of Science</v>
      </c>
    </row>
    <row r="266" spans="1:72" x14ac:dyDescent="0.15">
      <c r="A266" t="s">
        <v>72</v>
      </c>
      <c r="B266" t="s">
        <v>800</v>
      </c>
      <c r="C266" t="s">
        <v>74</v>
      </c>
      <c r="D266" t="s">
        <v>74</v>
      </c>
      <c r="E266" t="s">
        <v>74</v>
      </c>
      <c r="F266" t="s">
        <v>5203</v>
      </c>
      <c r="G266" t="s">
        <v>74</v>
      </c>
      <c r="H266" t="s">
        <v>74</v>
      </c>
      <c r="I266" t="s">
        <v>5204</v>
      </c>
      <c r="J266" t="s">
        <v>5205</v>
      </c>
      <c r="K266" t="s">
        <v>74</v>
      </c>
      <c r="L266" t="s">
        <v>74</v>
      </c>
      <c r="M266" t="s">
        <v>5206</v>
      </c>
      <c r="N266" t="s">
        <v>79</v>
      </c>
      <c r="O266" t="s">
        <v>74</v>
      </c>
      <c r="P266" t="s">
        <v>74</v>
      </c>
      <c r="Q266" t="s">
        <v>74</v>
      </c>
      <c r="R266" t="s">
        <v>74</v>
      </c>
      <c r="S266" t="s">
        <v>74</v>
      </c>
      <c r="T266" t="s">
        <v>5207</v>
      </c>
      <c r="U266" t="s">
        <v>5208</v>
      </c>
      <c r="V266" t="s">
        <v>5209</v>
      </c>
      <c r="W266" t="s">
        <v>5210</v>
      </c>
      <c r="X266" t="s">
        <v>5211</v>
      </c>
      <c r="Y266" t="s">
        <v>5212</v>
      </c>
      <c r="Z266" t="s">
        <v>5213</v>
      </c>
      <c r="AA266" t="s">
        <v>5214</v>
      </c>
      <c r="AB266" t="s">
        <v>5215</v>
      </c>
      <c r="AC266" t="s">
        <v>74</v>
      </c>
      <c r="AD266" t="s">
        <v>74</v>
      </c>
      <c r="AE266" t="s">
        <v>74</v>
      </c>
      <c r="AF266" t="s">
        <v>74</v>
      </c>
      <c r="AG266">
        <v>26</v>
      </c>
      <c r="AH266">
        <v>2</v>
      </c>
      <c r="AI266">
        <v>3</v>
      </c>
      <c r="AJ266">
        <v>1</v>
      </c>
      <c r="AK266">
        <v>13</v>
      </c>
      <c r="AL266" t="s">
        <v>5216</v>
      </c>
      <c r="AM266" t="s">
        <v>5217</v>
      </c>
      <c r="AN266" t="s">
        <v>5218</v>
      </c>
      <c r="AO266" t="s">
        <v>5219</v>
      </c>
      <c r="AP266" t="s">
        <v>5220</v>
      </c>
      <c r="AQ266" t="s">
        <v>74</v>
      </c>
      <c r="AR266" t="s">
        <v>5221</v>
      </c>
      <c r="AS266" t="s">
        <v>5222</v>
      </c>
      <c r="AT266" t="s">
        <v>74</v>
      </c>
      <c r="AU266">
        <v>2013</v>
      </c>
      <c r="AV266">
        <v>36</v>
      </c>
      <c r="AW266">
        <v>9</v>
      </c>
      <c r="AX266" t="s">
        <v>74</v>
      </c>
      <c r="AY266" t="s">
        <v>74</v>
      </c>
      <c r="AZ266" t="s">
        <v>74</v>
      </c>
      <c r="BA266" t="s">
        <v>74</v>
      </c>
      <c r="BB266">
        <v>1338</v>
      </c>
      <c r="BC266">
        <v>1342</v>
      </c>
      <c r="BD266" t="s">
        <v>74</v>
      </c>
      <c r="BE266" t="s">
        <v>74</v>
      </c>
      <c r="BF266" t="s">
        <v>74</v>
      </c>
      <c r="BG266" t="s">
        <v>74</v>
      </c>
      <c r="BH266" t="s">
        <v>74</v>
      </c>
      <c r="BI266">
        <v>5</v>
      </c>
      <c r="BJ266" t="s">
        <v>4419</v>
      </c>
      <c r="BK266" t="s">
        <v>102</v>
      </c>
      <c r="BL266" t="s">
        <v>4420</v>
      </c>
      <c r="BM266" t="s">
        <v>5223</v>
      </c>
      <c r="BN266" t="s">
        <v>74</v>
      </c>
      <c r="BO266" t="s">
        <v>3098</v>
      </c>
      <c r="BP266" t="s">
        <v>74</v>
      </c>
      <c r="BQ266" t="s">
        <v>74</v>
      </c>
      <c r="BR266" t="s">
        <v>105</v>
      </c>
      <c r="BS266" t="s">
        <v>5224</v>
      </c>
      <c r="BT266" t="str">
        <f>HYPERLINK("https%3A%2F%2Fwww.webofscience.com%2Fwos%2Fwoscc%2Ffull-record%2FWOS:000327310700010","View Full Record in Web of Science")</f>
        <v>View Full Record in Web of Science</v>
      </c>
    </row>
    <row r="267" spans="1:72" x14ac:dyDescent="0.15">
      <c r="A267" t="s">
        <v>72</v>
      </c>
      <c r="B267" t="s">
        <v>5225</v>
      </c>
      <c r="C267" t="s">
        <v>74</v>
      </c>
      <c r="D267" t="s">
        <v>74</v>
      </c>
      <c r="E267" t="s">
        <v>74</v>
      </c>
      <c r="F267" t="s">
        <v>5226</v>
      </c>
      <c r="G267" t="s">
        <v>74</v>
      </c>
      <c r="H267" t="s">
        <v>74</v>
      </c>
      <c r="I267" t="s">
        <v>5227</v>
      </c>
      <c r="J267" t="s">
        <v>5228</v>
      </c>
      <c r="K267" t="s">
        <v>74</v>
      </c>
      <c r="L267" t="s">
        <v>74</v>
      </c>
      <c r="M267" t="s">
        <v>78</v>
      </c>
      <c r="N267" t="s">
        <v>3967</v>
      </c>
      <c r="O267" t="s">
        <v>5229</v>
      </c>
      <c r="P267" t="s">
        <v>5230</v>
      </c>
      <c r="Q267" t="s">
        <v>5231</v>
      </c>
      <c r="R267" t="s">
        <v>74</v>
      </c>
      <c r="S267" t="s">
        <v>5232</v>
      </c>
      <c r="T267" t="s">
        <v>5233</v>
      </c>
      <c r="U267" t="s">
        <v>5234</v>
      </c>
      <c r="V267" t="s">
        <v>5235</v>
      </c>
      <c r="W267" t="s">
        <v>5236</v>
      </c>
      <c r="X267" t="s">
        <v>5237</v>
      </c>
      <c r="Y267" t="s">
        <v>5238</v>
      </c>
      <c r="Z267" t="s">
        <v>5239</v>
      </c>
      <c r="AA267" t="s">
        <v>5240</v>
      </c>
      <c r="AB267" t="s">
        <v>5241</v>
      </c>
      <c r="AC267" t="s">
        <v>74</v>
      </c>
      <c r="AD267" t="s">
        <v>74</v>
      </c>
      <c r="AE267" t="s">
        <v>74</v>
      </c>
      <c r="AF267" t="s">
        <v>74</v>
      </c>
      <c r="AG267">
        <v>35</v>
      </c>
      <c r="AH267">
        <v>8</v>
      </c>
      <c r="AI267">
        <v>8</v>
      </c>
      <c r="AJ267">
        <v>0</v>
      </c>
      <c r="AK267">
        <v>9</v>
      </c>
      <c r="AL267" t="s">
        <v>5228</v>
      </c>
      <c r="AM267" t="s">
        <v>5242</v>
      </c>
      <c r="AN267" t="s">
        <v>5243</v>
      </c>
      <c r="AO267" t="s">
        <v>5244</v>
      </c>
      <c r="AP267" t="s">
        <v>5245</v>
      </c>
      <c r="AQ267" t="s">
        <v>74</v>
      </c>
      <c r="AR267" t="s">
        <v>5246</v>
      </c>
      <c r="AS267" t="s">
        <v>5247</v>
      </c>
      <c r="AT267" t="s">
        <v>74</v>
      </c>
      <c r="AU267">
        <v>2013</v>
      </c>
      <c r="AV267">
        <v>54</v>
      </c>
      <c r="AW267">
        <v>4</v>
      </c>
      <c r="AX267" t="s">
        <v>74</v>
      </c>
      <c r="AY267" t="s">
        <v>74</v>
      </c>
      <c r="AZ267" t="s">
        <v>221</v>
      </c>
      <c r="BA267" t="s">
        <v>74</v>
      </c>
      <c r="BB267">
        <v>649</v>
      </c>
      <c r="BC267">
        <v>655</v>
      </c>
      <c r="BD267" t="s">
        <v>74</v>
      </c>
      <c r="BE267" t="s">
        <v>74</v>
      </c>
      <c r="BF267" t="s">
        <v>74</v>
      </c>
      <c r="BG267" t="s">
        <v>74</v>
      </c>
      <c r="BH267" t="s">
        <v>74</v>
      </c>
      <c r="BI267">
        <v>7</v>
      </c>
      <c r="BJ267" t="s">
        <v>223</v>
      </c>
      <c r="BK267" t="s">
        <v>3990</v>
      </c>
      <c r="BL267" t="s">
        <v>223</v>
      </c>
      <c r="BM267" t="s">
        <v>5248</v>
      </c>
      <c r="BN267" t="s">
        <v>74</v>
      </c>
      <c r="BO267" t="s">
        <v>74</v>
      </c>
      <c r="BP267" t="s">
        <v>74</v>
      </c>
      <c r="BQ267" t="s">
        <v>74</v>
      </c>
      <c r="BR267" t="s">
        <v>105</v>
      </c>
      <c r="BS267" t="s">
        <v>5249</v>
      </c>
      <c r="BT267" t="str">
        <f>HYPERLINK("https%3A%2F%2Fwww.webofscience.com%2Fwos%2Fwoscc%2Ffull-record%2FWOS:000326954200024","View Full Record in Web of Science")</f>
        <v>View Full Record in Web of Science</v>
      </c>
    </row>
    <row r="268" spans="1:72" x14ac:dyDescent="0.15">
      <c r="A268" t="s">
        <v>3224</v>
      </c>
      <c r="B268" t="s">
        <v>5250</v>
      </c>
      <c r="C268" t="s">
        <v>74</v>
      </c>
      <c r="D268" t="s">
        <v>5251</v>
      </c>
      <c r="E268" t="s">
        <v>74</v>
      </c>
      <c r="F268" t="s">
        <v>5252</v>
      </c>
      <c r="G268" t="s">
        <v>74</v>
      </c>
      <c r="H268" t="s">
        <v>74</v>
      </c>
      <c r="I268" t="s">
        <v>5253</v>
      </c>
      <c r="J268" t="s">
        <v>5254</v>
      </c>
      <c r="K268" t="s">
        <v>5255</v>
      </c>
      <c r="L268" t="s">
        <v>74</v>
      </c>
      <c r="M268" t="s">
        <v>78</v>
      </c>
      <c r="N268" t="s">
        <v>3231</v>
      </c>
      <c r="O268" t="s">
        <v>5256</v>
      </c>
      <c r="P268" t="s">
        <v>5257</v>
      </c>
      <c r="Q268" t="s">
        <v>5258</v>
      </c>
      <c r="R268" t="s">
        <v>74</v>
      </c>
      <c r="S268" t="s">
        <v>74</v>
      </c>
      <c r="T268" t="s">
        <v>5259</v>
      </c>
      <c r="U268" t="s">
        <v>74</v>
      </c>
      <c r="V268" t="s">
        <v>5260</v>
      </c>
      <c r="W268" t="s">
        <v>5261</v>
      </c>
      <c r="X268" t="s">
        <v>5262</v>
      </c>
      <c r="Y268" t="s">
        <v>5263</v>
      </c>
      <c r="Z268" t="s">
        <v>5264</v>
      </c>
      <c r="AA268" t="s">
        <v>74</v>
      </c>
      <c r="AB268" t="s">
        <v>74</v>
      </c>
      <c r="AC268" t="s">
        <v>74</v>
      </c>
      <c r="AD268" t="s">
        <v>74</v>
      </c>
      <c r="AE268" t="s">
        <v>74</v>
      </c>
      <c r="AF268" t="s">
        <v>74</v>
      </c>
      <c r="AG268">
        <v>4</v>
      </c>
      <c r="AH268">
        <v>0</v>
      </c>
      <c r="AI268">
        <v>0</v>
      </c>
      <c r="AJ268">
        <v>0</v>
      </c>
      <c r="AK268">
        <v>1</v>
      </c>
      <c r="AL268" t="s">
        <v>5265</v>
      </c>
      <c r="AM268" t="s">
        <v>5266</v>
      </c>
      <c r="AN268" t="s">
        <v>5267</v>
      </c>
      <c r="AO268" t="s">
        <v>5268</v>
      </c>
      <c r="AP268" t="s">
        <v>74</v>
      </c>
      <c r="AQ268" t="s">
        <v>5269</v>
      </c>
      <c r="AR268" t="s">
        <v>5270</v>
      </c>
      <c r="AS268" t="s">
        <v>74</v>
      </c>
      <c r="AT268" t="s">
        <v>74</v>
      </c>
      <c r="AU268">
        <v>2013</v>
      </c>
      <c r="AV268">
        <v>8866</v>
      </c>
      <c r="AW268" t="s">
        <v>74</v>
      </c>
      <c r="AX268" t="s">
        <v>74</v>
      </c>
      <c r="AY268" t="s">
        <v>74</v>
      </c>
      <c r="AZ268" t="s">
        <v>74</v>
      </c>
      <c r="BA268" t="s">
        <v>74</v>
      </c>
      <c r="BB268" t="s">
        <v>74</v>
      </c>
      <c r="BC268" t="s">
        <v>74</v>
      </c>
      <c r="BD268" t="s">
        <v>5271</v>
      </c>
      <c r="BE268" t="s">
        <v>5272</v>
      </c>
      <c r="BF268" t="str">
        <f>HYPERLINK("http://dx.doi.org/10.1117/12.2024552","http://dx.doi.org/10.1117/12.2024552")</f>
        <v>http://dx.doi.org/10.1117/12.2024552</v>
      </c>
      <c r="BG268" t="s">
        <v>74</v>
      </c>
      <c r="BH268" t="s">
        <v>74</v>
      </c>
      <c r="BI268">
        <v>13</v>
      </c>
      <c r="BJ268" t="s">
        <v>5273</v>
      </c>
      <c r="BK268" t="s">
        <v>3247</v>
      </c>
      <c r="BL268" t="s">
        <v>5273</v>
      </c>
      <c r="BM268" t="s">
        <v>5274</v>
      </c>
      <c r="BN268" t="s">
        <v>74</v>
      </c>
      <c r="BO268" t="s">
        <v>74</v>
      </c>
      <c r="BP268" t="s">
        <v>74</v>
      </c>
      <c r="BQ268" t="s">
        <v>74</v>
      </c>
      <c r="BR268" t="s">
        <v>105</v>
      </c>
      <c r="BS268" t="s">
        <v>5275</v>
      </c>
      <c r="BT268" t="str">
        <f>HYPERLINK("https%3A%2F%2Fwww.webofscience.com%2Fwos%2Fwoscc%2Ffull-record%2FWOS:000326700700025","View Full Record in Web of Science")</f>
        <v>View Full Record in Web of Science</v>
      </c>
    </row>
    <row r="269" spans="1:72" x14ac:dyDescent="0.15">
      <c r="A269" t="s">
        <v>3224</v>
      </c>
      <c r="B269" t="s">
        <v>5276</v>
      </c>
      <c r="C269" t="s">
        <v>74</v>
      </c>
      <c r="D269" t="s">
        <v>5251</v>
      </c>
      <c r="E269" t="s">
        <v>74</v>
      </c>
      <c r="F269" t="s">
        <v>5277</v>
      </c>
      <c r="G269" t="s">
        <v>74</v>
      </c>
      <c r="H269" t="s">
        <v>74</v>
      </c>
      <c r="I269" t="s">
        <v>5278</v>
      </c>
      <c r="J269" t="s">
        <v>5254</v>
      </c>
      <c r="K269" t="s">
        <v>5255</v>
      </c>
      <c r="L269" t="s">
        <v>74</v>
      </c>
      <c r="M269" t="s">
        <v>78</v>
      </c>
      <c r="N269" t="s">
        <v>3231</v>
      </c>
      <c r="O269" t="s">
        <v>5256</v>
      </c>
      <c r="P269" t="s">
        <v>5257</v>
      </c>
      <c r="Q269" t="s">
        <v>5258</v>
      </c>
      <c r="R269" t="s">
        <v>74</v>
      </c>
      <c r="S269" t="s">
        <v>74</v>
      </c>
      <c r="T269" t="s">
        <v>5279</v>
      </c>
      <c r="U269" t="s">
        <v>5280</v>
      </c>
      <c r="V269" t="s">
        <v>5281</v>
      </c>
      <c r="W269" t="s">
        <v>5282</v>
      </c>
      <c r="X269" t="s">
        <v>5283</v>
      </c>
      <c r="Y269" t="s">
        <v>5284</v>
      </c>
      <c r="Z269" t="s">
        <v>74</v>
      </c>
      <c r="AA269" t="s">
        <v>5285</v>
      </c>
      <c r="AB269" t="s">
        <v>5286</v>
      </c>
      <c r="AC269" t="s">
        <v>5287</v>
      </c>
      <c r="AD269" t="s">
        <v>5287</v>
      </c>
      <c r="AE269" t="s">
        <v>5288</v>
      </c>
      <c r="AF269" t="s">
        <v>74</v>
      </c>
      <c r="AG269">
        <v>12</v>
      </c>
      <c r="AH269">
        <v>17</v>
      </c>
      <c r="AI269">
        <v>17</v>
      </c>
      <c r="AJ269">
        <v>0</v>
      </c>
      <c r="AK269">
        <v>11</v>
      </c>
      <c r="AL269" t="s">
        <v>5265</v>
      </c>
      <c r="AM269" t="s">
        <v>5266</v>
      </c>
      <c r="AN269" t="s">
        <v>5267</v>
      </c>
      <c r="AO269" t="s">
        <v>5268</v>
      </c>
      <c r="AP269" t="s">
        <v>5289</v>
      </c>
      <c r="AQ269" t="s">
        <v>5269</v>
      </c>
      <c r="AR269" t="s">
        <v>5270</v>
      </c>
      <c r="AS269" t="s">
        <v>74</v>
      </c>
      <c r="AT269" t="s">
        <v>74</v>
      </c>
      <c r="AU269">
        <v>2013</v>
      </c>
      <c r="AV269">
        <v>8866</v>
      </c>
      <c r="AW269" t="s">
        <v>74</v>
      </c>
      <c r="AX269" t="s">
        <v>74</v>
      </c>
      <c r="AY269" t="s">
        <v>74</v>
      </c>
      <c r="AZ269" t="s">
        <v>74</v>
      </c>
      <c r="BA269" t="s">
        <v>74</v>
      </c>
      <c r="BB269" t="s">
        <v>74</v>
      </c>
      <c r="BC269" t="s">
        <v>74</v>
      </c>
      <c r="BD269" t="s">
        <v>5290</v>
      </c>
      <c r="BE269" t="s">
        <v>5291</v>
      </c>
      <c r="BF269" t="str">
        <f>HYPERLINK("http://dx.doi.org/10.1117/12.2023412","http://dx.doi.org/10.1117/12.2023412")</f>
        <v>http://dx.doi.org/10.1117/12.2023412</v>
      </c>
      <c r="BG269" t="s">
        <v>74</v>
      </c>
      <c r="BH269" t="s">
        <v>74</v>
      </c>
      <c r="BI269">
        <v>9</v>
      </c>
      <c r="BJ269" t="s">
        <v>5273</v>
      </c>
      <c r="BK269" t="s">
        <v>3247</v>
      </c>
      <c r="BL269" t="s">
        <v>5273</v>
      </c>
      <c r="BM269" t="s">
        <v>5274</v>
      </c>
      <c r="BN269" t="s">
        <v>74</v>
      </c>
      <c r="BO269" t="s">
        <v>74</v>
      </c>
      <c r="BP269" t="s">
        <v>74</v>
      </c>
      <c r="BQ269" t="s">
        <v>74</v>
      </c>
      <c r="BR269" t="s">
        <v>105</v>
      </c>
      <c r="BS269" t="s">
        <v>5292</v>
      </c>
      <c r="BT269" t="str">
        <f>HYPERLINK("https%3A%2F%2Fwww.webofscience.com%2Fwos%2Fwoscc%2Ffull-record%2FWOS:000326700700053","View Full Record in Web of Science")</f>
        <v>View Full Record in Web of Science</v>
      </c>
    </row>
    <row r="270" spans="1:72" x14ac:dyDescent="0.15">
      <c r="A270" t="s">
        <v>3224</v>
      </c>
      <c r="B270" t="s">
        <v>5293</v>
      </c>
      <c r="C270" t="s">
        <v>74</v>
      </c>
      <c r="D270" t="s">
        <v>5294</v>
      </c>
      <c r="E270" t="s">
        <v>74</v>
      </c>
      <c r="F270" t="s">
        <v>5295</v>
      </c>
      <c r="G270" t="s">
        <v>74</v>
      </c>
      <c r="H270" t="s">
        <v>74</v>
      </c>
      <c r="I270" t="s">
        <v>5296</v>
      </c>
      <c r="J270" t="s">
        <v>5297</v>
      </c>
      <c r="K270" t="s">
        <v>5298</v>
      </c>
      <c r="L270" t="s">
        <v>74</v>
      </c>
      <c r="M270" t="s">
        <v>78</v>
      </c>
      <c r="N270" t="s">
        <v>3231</v>
      </c>
      <c r="O270" t="s">
        <v>5299</v>
      </c>
      <c r="P270" t="s">
        <v>5300</v>
      </c>
      <c r="Q270" t="s">
        <v>5301</v>
      </c>
      <c r="R270" t="s">
        <v>74</v>
      </c>
      <c r="S270" t="s">
        <v>74</v>
      </c>
      <c r="T270" t="s">
        <v>5302</v>
      </c>
      <c r="U270" t="s">
        <v>5303</v>
      </c>
      <c r="V270" t="s">
        <v>5304</v>
      </c>
      <c r="W270" t="s">
        <v>5305</v>
      </c>
      <c r="X270" t="s">
        <v>5306</v>
      </c>
      <c r="Y270" t="s">
        <v>5307</v>
      </c>
      <c r="Z270" t="s">
        <v>5308</v>
      </c>
      <c r="AA270" t="s">
        <v>5309</v>
      </c>
      <c r="AB270" t="s">
        <v>5310</v>
      </c>
      <c r="AC270" t="s">
        <v>74</v>
      </c>
      <c r="AD270" t="s">
        <v>74</v>
      </c>
      <c r="AE270" t="s">
        <v>74</v>
      </c>
      <c r="AF270" t="s">
        <v>74</v>
      </c>
      <c r="AG270">
        <v>16</v>
      </c>
      <c r="AH270">
        <v>2</v>
      </c>
      <c r="AI270">
        <v>2</v>
      </c>
      <c r="AJ270">
        <v>0</v>
      </c>
      <c r="AK270">
        <v>7</v>
      </c>
      <c r="AL270" t="s">
        <v>3827</v>
      </c>
      <c r="AM270" t="s">
        <v>3828</v>
      </c>
      <c r="AN270" t="s">
        <v>3829</v>
      </c>
      <c r="AO270" t="s">
        <v>5311</v>
      </c>
      <c r="AP270" t="s">
        <v>74</v>
      </c>
      <c r="AQ270" t="s">
        <v>74</v>
      </c>
      <c r="AR270" t="s">
        <v>5312</v>
      </c>
      <c r="AS270" t="s">
        <v>74</v>
      </c>
      <c r="AT270" t="s">
        <v>74</v>
      </c>
      <c r="AU270">
        <v>2013</v>
      </c>
      <c r="AV270">
        <v>1</v>
      </c>
      <c r="AW270" t="s">
        <v>74</v>
      </c>
      <c r="AX270" t="s">
        <v>74</v>
      </c>
      <c r="AY270" t="s">
        <v>74</v>
      </c>
      <c r="AZ270" t="s">
        <v>74</v>
      </c>
      <c r="BA270" t="s">
        <v>74</v>
      </c>
      <c r="BB270" t="s">
        <v>74</v>
      </c>
      <c r="BC270" t="s">
        <v>74</v>
      </c>
      <c r="BD270">
        <v>23006</v>
      </c>
      <c r="BE270" t="s">
        <v>5313</v>
      </c>
      <c r="BF270" t="str">
        <f>HYPERLINK("http://dx.doi.org/10.1051/e3sconf/20130123006","http://dx.doi.org/10.1051/e3sconf/20130123006")</f>
        <v>http://dx.doi.org/10.1051/e3sconf/20130123006</v>
      </c>
      <c r="BG270" t="s">
        <v>74</v>
      </c>
      <c r="BH270" t="s">
        <v>74</v>
      </c>
      <c r="BI270">
        <v>4</v>
      </c>
      <c r="BJ270" t="s">
        <v>5314</v>
      </c>
      <c r="BK270" t="s">
        <v>3247</v>
      </c>
      <c r="BL270" t="s">
        <v>4836</v>
      </c>
      <c r="BM270" t="s">
        <v>5315</v>
      </c>
      <c r="BN270" t="s">
        <v>74</v>
      </c>
      <c r="BO270" t="s">
        <v>5316</v>
      </c>
      <c r="BP270" t="s">
        <v>74</v>
      </c>
      <c r="BQ270" t="s">
        <v>74</v>
      </c>
      <c r="BR270" t="s">
        <v>105</v>
      </c>
      <c r="BS270" t="s">
        <v>5317</v>
      </c>
      <c r="BT270" t="str">
        <f>HYPERLINK("https%3A%2F%2Fwww.webofscience.com%2Fwos%2Fwoscc%2Ffull-record%2FWOS:000326475400185","View Full Record in Web of Science")</f>
        <v>View Full Record in Web of Science</v>
      </c>
    </row>
    <row r="271" spans="1:72" x14ac:dyDescent="0.15">
      <c r="A271" t="s">
        <v>3224</v>
      </c>
      <c r="B271" t="s">
        <v>5318</v>
      </c>
      <c r="C271" t="s">
        <v>74</v>
      </c>
      <c r="D271" t="s">
        <v>5294</v>
      </c>
      <c r="E271" t="s">
        <v>74</v>
      </c>
      <c r="F271" t="s">
        <v>5319</v>
      </c>
      <c r="G271" t="s">
        <v>74</v>
      </c>
      <c r="H271" t="s">
        <v>74</v>
      </c>
      <c r="I271" t="s">
        <v>5320</v>
      </c>
      <c r="J271" t="s">
        <v>5297</v>
      </c>
      <c r="K271" t="s">
        <v>5298</v>
      </c>
      <c r="L271" t="s">
        <v>74</v>
      </c>
      <c r="M271" t="s">
        <v>78</v>
      </c>
      <c r="N271" t="s">
        <v>3231</v>
      </c>
      <c r="O271" t="s">
        <v>5299</v>
      </c>
      <c r="P271" t="s">
        <v>5300</v>
      </c>
      <c r="Q271" t="s">
        <v>5301</v>
      </c>
      <c r="R271" t="s">
        <v>74</v>
      </c>
      <c r="S271" t="s">
        <v>74</v>
      </c>
      <c r="T271" t="s">
        <v>5321</v>
      </c>
      <c r="U271" t="s">
        <v>5322</v>
      </c>
      <c r="V271" t="s">
        <v>5323</v>
      </c>
      <c r="W271" t="s">
        <v>5324</v>
      </c>
      <c r="X271" t="s">
        <v>5325</v>
      </c>
      <c r="Y271" t="s">
        <v>5326</v>
      </c>
      <c r="Z271" t="s">
        <v>5327</v>
      </c>
      <c r="AA271" t="s">
        <v>74</v>
      </c>
      <c r="AB271" t="s">
        <v>74</v>
      </c>
      <c r="AC271" t="s">
        <v>74</v>
      </c>
      <c r="AD271" t="s">
        <v>74</v>
      </c>
      <c r="AE271" t="s">
        <v>74</v>
      </c>
      <c r="AF271" t="s">
        <v>74</v>
      </c>
      <c r="AG271">
        <v>13</v>
      </c>
      <c r="AH271">
        <v>0</v>
      </c>
      <c r="AI271">
        <v>0</v>
      </c>
      <c r="AJ271">
        <v>1</v>
      </c>
      <c r="AK271">
        <v>10</v>
      </c>
      <c r="AL271" t="s">
        <v>3827</v>
      </c>
      <c r="AM271" t="s">
        <v>3828</v>
      </c>
      <c r="AN271" t="s">
        <v>3829</v>
      </c>
      <c r="AO271" t="s">
        <v>5311</v>
      </c>
      <c r="AP271" t="s">
        <v>74</v>
      </c>
      <c r="AQ271" t="s">
        <v>74</v>
      </c>
      <c r="AR271" t="s">
        <v>5312</v>
      </c>
      <c r="AS271" t="s">
        <v>74</v>
      </c>
      <c r="AT271" t="s">
        <v>74</v>
      </c>
      <c r="AU271">
        <v>2013</v>
      </c>
      <c r="AV271">
        <v>1</v>
      </c>
      <c r="AW271" t="s">
        <v>74</v>
      </c>
      <c r="AX271" t="s">
        <v>74</v>
      </c>
      <c r="AY271" t="s">
        <v>74</v>
      </c>
      <c r="AZ271" t="s">
        <v>74</v>
      </c>
      <c r="BA271" t="s">
        <v>74</v>
      </c>
      <c r="BB271" t="s">
        <v>74</v>
      </c>
      <c r="BC271" t="s">
        <v>74</v>
      </c>
      <c r="BD271">
        <v>27005</v>
      </c>
      <c r="BE271" t="s">
        <v>5328</v>
      </c>
      <c r="BF271" t="str">
        <f>HYPERLINK("http://dx.doi.org/10.1051/e3sconf/20130127005","http://dx.doi.org/10.1051/e3sconf/20130127005")</f>
        <v>http://dx.doi.org/10.1051/e3sconf/20130127005</v>
      </c>
      <c r="BG271" t="s">
        <v>74</v>
      </c>
      <c r="BH271" t="s">
        <v>74</v>
      </c>
      <c r="BI271">
        <v>4</v>
      </c>
      <c r="BJ271" t="s">
        <v>5314</v>
      </c>
      <c r="BK271" t="s">
        <v>3247</v>
      </c>
      <c r="BL271" t="s">
        <v>4836</v>
      </c>
      <c r="BM271" t="s">
        <v>5315</v>
      </c>
      <c r="BN271" t="s">
        <v>74</v>
      </c>
      <c r="BO271" t="s">
        <v>5316</v>
      </c>
      <c r="BP271" t="s">
        <v>74</v>
      </c>
      <c r="BQ271" t="s">
        <v>74</v>
      </c>
      <c r="BR271" t="s">
        <v>105</v>
      </c>
      <c r="BS271" t="s">
        <v>5329</v>
      </c>
      <c r="BT271" t="str">
        <f>HYPERLINK("https%3A%2F%2Fwww.webofscience.com%2Fwos%2Fwoscc%2Ffull-record%2FWOS:000326475400218","View Full Record in Web of Science")</f>
        <v>View Full Record in Web of Science</v>
      </c>
    </row>
    <row r="272" spans="1:72" x14ac:dyDescent="0.15">
      <c r="A272" t="s">
        <v>3224</v>
      </c>
      <c r="B272" t="s">
        <v>5330</v>
      </c>
      <c r="C272" t="s">
        <v>74</v>
      </c>
      <c r="D272" t="s">
        <v>5294</v>
      </c>
      <c r="E272" t="s">
        <v>74</v>
      </c>
      <c r="F272" t="s">
        <v>5331</v>
      </c>
      <c r="G272" t="s">
        <v>74</v>
      </c>
      <c r="H272" t="s">
        <v>74</v>
      </c>
      <c r="I272" t="s">
        <v>5332</v>
      </c>
      <c r="J272" t="s">
        <v>5297</v>
      </c>
      <c r="K272" t="s">
        <v>5298</v>
      </c>
      <c r="L272" t="s">
        <v>74</v>
      </c>
      <c r="M272" t="s">
        <v>78</v>
      </c>
      <c r="N272" t="s">
        <v>3231</v>
      </c>
      <c r="O272" t="s">
        <v>5299</v>
      </c>
      <c r="P272" t="s">
        <v>5300</v>
      </c>
      <c r="Q272" t="s">
        <v>5301</v>
      </c>
      <c r="R272" t="s">
        <v>74</v>
      </c>
      <c r="S272" t="s">
        <v>74</v>
      </c>
      <c r="T272" t="s">
        <v>5333</v>
      </c>
      <c r="U272" t="s">
        <v>5334</v>
      </c>
      <c r="V272" t="s">
        <v>5335</v>
      </c>
      <c r="W272" t="s">
        <v>5336</v>
      </c>
      <c r="X272" t="s">
        <v>5337</v>
      </c>
      <c r="Y272" t="s">
        <v>5338</v>
      </c>
      <c r="Z272" t="s">
        <v>5327</v>
      </c>
      <c r="AA272" t="s">
        <v>5339</v>
      </c>
      <c r="AB272" t="s">
        <v>74</v>
      </c>
      <c r="AC272" t="s">
        <v>5340</v>
      </c>
      <c r="AD272" t="s">
        <v>5341</v>
      </c>
      <c r="AE272" t="s">
        <v>5342</v>
      </c>
      <c r="AF272" t="s">
        <v>74</v>
      </c>
      <c r="AG272">
        <v>18</v>
      </c>
      <c r="AH272">
        <v>1</v>
      </c>
      <c r="AI272">
        <v>1</v>
      </c>
      <c r="AJ272">
        <v>0</v>
      </c>
      <c r="AK272">
        <v>5</v>
      </c>
      <c r="AL272" t="s">
        <v>3827</v>
      </c>
      <c r="AM272" t="s">
        <v>3828</v>
      </c>
      <c r="AN272" t="s">
        <v>3829</v>
      </c>
      <c r="AO272" t="s">
        <v>5311</v>
      </c>
      <c r="AP272" t="s">
        <v>74</v>
      </c>
      <c r="AQ272" t="s">
        <v>74</v>
      </c>
      <c r="AR272" t="s">
        <v>5312</v>
      </c>
      <c r="AS272" t="s">
        <v>74</v>
      </c>
      <c r="AT272" t="s">
        <v>74</v>
      </c>
      <c r="AU272">
        <v>2013</v>
      </c>
      <c r="AV272">
        <v>1</v>
      </c>
      <c r="AW272" t="s">
        <v>74</v>
      </c>
      <c r="AX272" t="s">
        <v>74</v>
      </c>
      <c r="AY272" t="s">
        <v>74</v>
      </c>
      <c r="AZ272" t="s">
        <v>74</v>
      </c>
      <c r="BA272" t="s">
        <v>74</v>
      </c>
      <c r="BB272" t="s">
        <v>74</v>
      </c>
      <c r="BC272" t="s">
        <v>74</v>
      </c>
      <c r="BD272">
        <v>17003</v>
      </c>
      <c r="BE272" t="s">
        <v>5343</v>
      </c>
      <c r="BF272" t="str">
        <f>HYPERLINK("http://dx.doi.org/10.1051/e3sconf/20130117003","http://dx.doi.org/10.1051/e3sconf/20130117003")</f>
        <v>http://dx.doi.org/10.1051/e3sconf/20130117003</v>
      </c>
      <c r="BG272" t="s">
        <v>74</v>
      </c>
      <c r="BH272" t="s">
        <v>74</v>
      </c>
      <c r="BI272">
        <v>4</v>
      </c>
      <c r="BJ272" t="s">
        <v>5314</v>
      </c>
      <c r="BK272" t="s">
        <v>3247</v>
      </c>
      <c r="BL272" t="s">
        <v>4836</v>
      </c>
      <c r="BM272" t="s">
        <v>5315</v>
      </c>
      <c r="BN272" t="s">
        <v>74</v>
      </c>
      <c r="BO272" t="s">
        <v>5344</v>
      </c>
      <c r="BP272" t="s">
        <v>74</v>
      </c>
      <c r="BQ272" t="s">
        <v>74</v>
      </c>
      <c r="BR272" t="s">
        <v>105</v>
      </c>
      <c r="BS272" t="s">
        <v>5345</v>
      </c>
      <c r="BT272" t="str">
        <f>HYPERLINK("https%3A%2F%2Fwww.webofscience.com%2Fwos%2Fwoscc%2Ffull-record%2FWOS:000326475400140","View Full Record in Web of Science")</f>
        <v>View Full Record in Web of Science</v>
      </c>
    </row>
    <row r="273" spans="1:72" x14ac:dyDescent="0.15">
      <c r="A273" t="s">
        <v>3224</v>
      </c>
      <c r="B273" t="s">
        <v>5346</v>
      </c>
      <c r="C273" t="s">
        <v>74</v>
      </c>
      <c r="D273" t="s">
        <v>5347</v>
      </c>
      <c r="E273" t="s">
        <v>74</v>
      </c>
      <c r="F273" t="s">
        <v>5348</v>
      </c>
      <c r="G273" t="s">
        <v>74</v>
      </c>
      <c r="H273" t="s">
        <v>74</v>
      </c>
      <c r="I273" t="s">
        <v>5349</v>
      </c>
      <c r="J273" t="s">
        <v>5350</v>
      </c>
      <c r="K273" t="s">
        <v>5255</v>
      </c>
      <c r="L273" t="s">
        <v>74</v>
      </c>
      <c r="M273" t="s">
        <v>78</v>
      </c>
      <c r="N273" t="s">
        <v>3231</v>
      </c>
      <c r="O273" t="s">
        <v>5351</v>
      </c>
      <c r="P273" t="s">
        <v>5352</v>
      </c>
      <c r="Q273" t="s">
        <v>5353</v>
      </c>
      <c r="R273" t="s">
        <v>74</v>
      </c>
      <c r="S273" t="s">
        <v>74</v>
      </c>
      <c r="T273" t="s">
        <v>5354</v>
      </c>
      <c r="U273" t="s">
        <v>5355</v>
      </c>
      <c r="V273" t="s">
        <v>5356</v>
      </c>
      <c r="W273" t="s">
        <v>5357</v>
      </c>
      <c r="X273" t="s">
        <v>5358</v>
      </c>
      <c r="Y273" t="s">
        <v>5359</v>
      </c>
      <c r="Z273" t="s">
        <v>5360</v>
      </c>
      <c r="AA273" t="s">
        <v>5361</v>
      </c>
      <c r="AB273" t="s">
        <v>5362</v>
      </c>
      <c r="AC273" t="s">
        <v>74</v>
      </c>
      <c r="AD273" t="s">
        <v>74</v>
      </c>
      <c r="AE273" t="s">
        <v>74</v>
      </c>
      <c r="AF273" t="s">
        <v>74</v>
      </c>
      <c r="AG273">
        <v>24</v>
      </c>
      <c r="AH273">
        <v>0</v>
      </c>
      <c r="AI273">
        <v>0</v>
      </c>
      <c r="AJ273">
        <v>1</v>
      </c>
      <c r="AK273">
        <v>18</v>
      </c>
      <c r="AL273" t="s">
        <v>5265</v>
      </c>
      <c r="AM273" t="s">
        <v>5266</v>
      </c>
      <c r="AN273" t="s">
        <v>5267</v>
      </c>
      <c r="AO273" t="s">
        <v>5268</v>
      </c>
      <c r="AP273" t="s">
        <v>5289</v>
      </c>
      <c r="AQ273" t="s">
        <v>5363</v>
      </c>
      <c r="AR273" t="s">
        <v>5270</v>
      </c>
      <c r="AS273" t="s">
        <v>74</v>
      </c>
      <c r="AT273" t="s">
        <v>74</v>
      </c>
      <c r="AU273">
        <v>2013</v>
      </c>
      <c r="AV273">
        <v>8890</v>
      </c>
      <c r="AW273" t="s">
        <v>74</v>
      </c>
      <c r="AX273" t="s">
        <v>74</v>
      </c>
      <c r="AY273" t="s">
        <v>74</v>
      </c>
      <c r="AZ273" t="s">
        <v>74</v>
      </c>
      <c r="BA273" t="s">
        <v>74</v>
      </c>
      <c r="BB273" t="s">
        <v>74</v>
      </c>
      <c r="BC273" t="s">
        <v>74</v>
      </c>
      <c r="BD273">
        <v>889006</v>
      </c>
      <c r="BE273" t="s">
        <v>5364</v>
      </c>
      <c r="BF273" t="str">
        <f>HYPERLINK("http://dx.doi.org/10.1117/12.2029436","http://dx.doi.org/10.1117/12.2029436")</f>
        <v>http://dx.doi.org/10.1117/12.2029436</v>
      </c>
      <c r="BG273" t="s">
        <v>74</v>
      </c>
      <c r="BH273" t="s">
        <v>74</v>
      </c>
      <c r="BI273">
        <v>8</v>
      </c>
      <c r="BJ273" t="s">
        <v>5365</v>
      </c>
      <c r="BK273" t="s">
        <v>3247</v>
      </c>
      <c r="BL273" t="s">
        <v>5365</v>
      </c>
      <c r="BM273" t="s">
        <v>5366</v>
      </c>
      <c r="BN273" t="s">
        <v>74</v>
      </c>
      <c r="BO273" t="s">
        <v>74</v>
      </c>
      <c r="BP273" t="s">
        <v>74</v>
      </c>
      <c r="BQ273" t="s">
        <v>74</v>
      </c>
      <c r="BR273" t="s">
        <v>105</v>
      </c>
      <c r="BS273" t="s">
        <v>5367</v>
      </c>
      <c r="BT273" t="str">
        <f>HYPERLINK("https%3A%2F%2Fwww.webofscience.com%2Fwos%2Fwoscc%2Ffull-record%2FWOS:000327077500004","View Full Record in Web of Science")</f>
        <v>View Full Record in Web of Science</v>
      </c>
    </row>
    <row r="274" spans="1:72" x14ac:dyDescent="0.15">
      <c r="A274" t="s">
        <v>72</v>
      </c>
      <c r="B274" t="s">
        <v>5368</v>
      </c>
      <c r="C274" t="s">
        <v>74</v>
      </c>
      <c r="D274" t="s">
        <v>74</v>
      </c>
      <c r="E274" t="s">
        <v>74</v>
      </c>
      <c r="F274" t="s">
        <v>5369</v>
      </c>
      <c r="G274" t="s">
        <v>74</v>
      </c>
      <c r="H274" t="s">
        <v>74</v>
      </c>
      <c r="I274" t="s">
        <v>5370</v>
      </c>
      <c r="J274" t="s">
        <v>5371</v>
      </c>
      <c r="K274" t="s">
        <v>74</v>
      </c>
      <c r="L274" t="s">
        <v>74</v>
      </c>
      <c r="M274" t="s">
        <v>78</v>
      </c>
      <c r="N274" t="s">
        <v>79</v>
      </c>
      <c r="O274" t="s">
        <v>74</v>
      </c>
      <c r="P274" t="s">
        <v>74</v>
      </c>
      <c r="Q274" t="s">
        <v>74</v>
      </c>
      <c r="R274" t="s">
        <v>74</v>
      </c>
      <c r="S274" t="s">
        <v>74</v>
      </c>
      <c r="T274" t="s">
        <v>74</v>
      </c>
      <c r="U274" t="s">
        <v>5372</v>
      </c>
      <c r="V274" t="s">
        <v>5373</v>
      </c>
      <c r="W274" t="s">
        <v>5374</v>
      </c>
      <c r="X274" t="s">
        <v>1249</v>
      </c>
      <c r="Y274" t="s">
        <v>5375</v>
      </c>
      <c r="Z274" t="s">
        <v>5376</v>
      </c>
      <c r="AA274" t="s">
        <v>5377</v>
      </c>
      <c r="AB274" t="s">
        <v>74</v>
      </c>
      <c r="AC274" t="s">
        <v>5378</v>
      </c>
      <c r="AD274" t="s">
        <v>5379</v>
      </c>
      <c r="AE274" t="s">
        <v>5380</v>
      </c>
      <c r="AF274" t="s">
        <v>74</v>
      </c>
      <c r="AG274">
        <v>35</v>
      </c>
      <c r="AH274">
        <v>9</v>
      </c>
      <c r="AI274">
        <v>10</v>
      </c>
      <c r="AJ274">
        <v>1</v>
      </c>
      <c r="AK274">
        <v>11</v>
      </c>
      <c r="AL274" t="s">
        <v>5381</v>
      </c>
      <c r="AM274" t="s">
        <v>5382</v>
      </c>
      <c r="AN274" t="s">
        <v>5383</v>
      </c>
      <c r="AO274" t="s">
        <v>5384</v>
      </c>
      <c r="AP274" t="s">
        <v>74</v>
      </c>
      <c r="AQ274" t="s">
        <v>74</v>
      </c>
      <c r="AR274" t="s">
        <v>5385</v>
      </c>
      <c r="AS274" t="s">
        <v>5386</v>
      </c>
      <c r="AT274" t="s">
        <v>74</v>
      </c>
      <c r="AU274">
        <v>2013</v>
      </c>
      <c r="AV274">
        <v>20</v>
      </c>
      <c r="AW274" t="s">
        <v>74</v>
      </c>
      <c r="AX274" t="s">
        <v>74</v>
      </c>
      <c r="AY274" t="s">
        <v>74</v>
      </c>
      <c r="AZ274" t="s">
        <v>74</v>
      </c>
      <c r="BA274" t="s">
        <v>74</v>
      </c>
      <c r="BB274">
        <v>1</v>
      </c>
      <c r="BC274">
        <v>19</v>
      </c>
      <c r="BD274" t="s">
        <v>74</v>
      </c>
      <c r="BE274" t="s">
        <v>74</v>
      </c>
      <c r="BF274" t="s">
        <v>74</v>
      </c>
      <c r="BG274" t="s">
        <v>74</v>
      </c>
      <c r="BH274" t="s">
        <v>74</v>
      </c>
      <c r="BI274">
        <v>19</v>
      </c>
      <c r="BJ274" t="s">
        <v>5387</v>
      </c>
      <c r="BK274" t="s">
        <v>102</v>
      </c>
      <c r="BL274" t="s">
        <v>5387</v>
      </c>
      <c r="BM274" t="s">
        <v>5388</v>
      </c>
      <c r="BN274" t="s">
        <v>74</v>
      </c>
      <c r="BO274" t="s">
        <v>74</v>
      </c>
      <c r="BP274" t="s">
        <v>74</v>
      </c>
      <c r="BQ274" t="s">
        <v>74</v>
      </c>
      <c r="BR274" t="s">
        <v>105</v>
      </c>
      <c r="BS274" t="s">
        <v>5389</v>
      </c>
      <c r="BT274" t="str">
        <f>HYPERLINK("https%3A%2F%2Fwww.webofscience.com%2Fwos%2Fwoscc%2Ffull-record%2FWOS:000326924700001","View Full Record in Web of Science")</f>
        <v>View Full Record in Web of Science</v>
      </c>
    </row>
    <row r="275" spans="1:72" x14ac:dyDescent="0.15">
      <c r="A275" t="s">
        <v>72</v>
      </c>
      <c r="B275" t="s">
        <v>5390</v>
      </c>
      <c r="C275" t="s">
        <v>74</v>
      </c>
      <c r="D275" t="s">
        <v>74</v>
      </c>
      <c r="E275" t="s">
        <v>74</v>
      </c>
      <c r="F275" t="s">
        <v>5391</v>
      </c>
      <c r="G275" t="s">
        <v>74</v>
      </c>
      <c r="H275" t="s">
        <v>74</v>
      </c>
      <c r="I275" t="s">
        <v>5392</v>
      </c>
      <c r="J275" t="s">
        <v>5371</v>
      </c>
      <c r="K275" t="s">
        <v>74</v>
      </c>
      <c r="L275" t="s">
        <v>74</v>
      </c>
      <c r="M275" t="s">
        <v>78</v>
      </c>
      <c r="N275" t="s">
        <v>79</v>
      </c>
      <c r="O275" t="s">
        <v>74</v>
      </c>
      <c r="P275" t="s">
        <v>74</v>
      </c>
      <c r="Q275" t="s">
        <v>74</v>
      </c>
      <c r="R275" t="s">
        <v>74</v>
      </c>
      <c r="S275" t="s">
        <v>74</v>
      </c>
      <c r="T275" t="s">
        <v>74</v>
      </c>
      <c r="U275" t="s">
        <v>5393</v>
      </c>
      <c r="V275" t="s">
        <v>5394</v>
      </c>
      <c r="W275" t="s">
        <v>5395</v>
      </c>
      <c r="X275" t="s">
        <v>5396</v>
      </c>
      <c r="Y275" t="s">
        <v>5397</v>
      </c>
      <c r="Z275" t="s">
        <v>5398</v>
      </c>
      <c r="AA275" t="s">
        <v>5399</v>
      </c>
      <c r="AB275" t="s">
        <v>74</v>
      </c>
      <c r="AC275" t="s">
        <v>5400</v>
      </c>
      <c r="AD275" t="s">
        <v>5401</v>
      </c>
      <c r="AE275" t="s">
        <v>5402</v>
      </c>
      <c r="AF275" t="s">
        <v>74</v>
      </c>
      <c r="AG275">
        <v>30</v>
      </c>
      <c r="AH275">
        <v>16</v>
      </c>
      <c r="AI275">
        <v>20</v>
      </c>
      <c r="AJ275">
        <v>2</v>
      </c>
      <c r="AK275">
        <v>27</v>
      </c>
      <c r="AL275" t="s">
        <v>5381</v>
      </c>
      <c r="AM275" t="s">
        <v>5382</v>
      </c>
      <c r="AN275" t="s">
        <v>5383</v>
      </c>
      <c r="AO275" t="s">
        <v>5384</v>
      </c>
      <c r="AP275" t="s">
        <v>74</v>
      </c>
      <c r="AQ275" t="s">
        <v>74</v>
      </c>
      <c r="AR275" t="s">
        <v>5385</v>
      </c>
      <c r="AS275" t="s">
        <v>5386</v>
      </c>
      <c r="AT275" t="s">
        <v>74</v>
      </c>
      <c r="AU275">
        <v>2013</v>
      </c>
      <c r="AV275">
        <v>20</v>
      </c>
      <c r="AW275" t="s">
        <v>74</v>
      </c>
      <c r="AX275" t="s">
        <v>74</v>
      </c>
      <c r="AY275" t="s">
        <v>74</v>
      </c>
      <c r="AZ275" t="s">
        <v>74</v>
      </c>
      <c r="BA275" t="s">
        <v>74</v>
      </c>
      <c r="BB275">
        <v>21</v>
      </c>
      <c r="BC275">
        <v>36</v>
      </c>
      <c r="BD275" t="s">
        <v>74</v>
      </c>
      <c r="BE275" t="s">
        <v>74</v>
      </c>
      <c r="BF275" t="s">
        <v>74</v>
      </c>
      <c r="BG275" t="s">
        <v>74</v>
      </c>
      <c r="BH275" t="s">
        <v>74</v>
      </c>
      <c r="BI275">
        <v>16</v>
      </c>
      <c r="BJ275" t="s">
        <v>5387</v>
      </c>
      <c r="BK275" t="s">
        <v>102</v>
      </c>
      <c r="BL275" t="s">
        <v>5387</v>
      </c>
      <c r="BM275" t="s">
        <v>5388</v>
      </c>
      <c r="BN275" t="s">
        <v>74</v>
      </c>
      <c r="BO275" t="s">
        <v>74</v>
      </c>
      <c r="BP275" t="s">
        <v>74</v>
      </c>
      <c r="BQ275" t="s">
        <v>74</v>
      </c>
      <c r="BR275" t="s">
        <v>105</v>
      </c>
      <c r="BS275" t="s">
        <v>5403</v>
      </c>
      <c r="BT275" t="str">
        <f>HYPERLINK("https%3A%2F%2Fwww.webofscience.com%2Fwos%2Fwoscc%2Ffull-record%2FWOS:000326924700002","View Full Record in Web of Science")</f>
        <v>View Full Record in Web of Science</v>
      </c>
    </row>
    <row r="276" spans="1:72" x14ac:dyDescent="0.15">
      <c r="A276" t="s">
        <v>72</v>
      </c>
      <c r="B276" t="s">
        <v>5404</v>
      </c>
      <c r="C276" t="s">
        <v>74</v>
      </c>
      <c r="D276" t="s">
        <v>74</v>
      </c>
      <c r="E276" t="s">
        <v>74</v>
      </c>
      <c r="F276" t="s">
        <v>5405</v>
      </c>
      <c r="G276" t="s">
        <v>74</v>
      </c>
      <c r="H276" t="s">
        <v>74</v>
      </c>
      <c r="I276" t="s">
        <v>5406</v>
      </c>
      <c r="J276" t="s">
        <v>5371</v>
      </c>
      <c r="K276" t="s">
        <v>74</v>
      </c>
      <c r="L276" t="s">
        <v>74</v>
      </c>
      <c r="M276" t="s">
        <v>78</v>
      </c>
      <c r="N276" t="s">
        <v>79</v>
      </c>
      <c r="O276" t="s">
        <v>74</v>
      </c>
      <c r="P276" t="s">
        <v>74</v>
      </c>
      <c r="Q276" t="s">
        <v>74</v>
      </c>
      <c r="R276" t="s">
        <v>74</v>
      </c>
      <c r="S276" t="s">
        <v>74</v>
      </c>
      <c r="T276" t="s">
        <v>74</v>
      </c>
      <c r="U276" t="s">
        <v>5407</v>
      </c>
      <c r="V276" t="s">
        <v>5408</v>
      </c>
      <c r="W276" t="s">
        <v>5409</v>
      </c>
      <c r="X276" t="s">
        <v>5410</v>
      </c>
      <c r="Y276" t="s">
        <v>5411</v>
      </c>
      <c r="Z276" t="s">
        <v>5412</v>
      </c>
      <c r="AA276" t="s">
        <v>74</v>
      </c>
      <c r="AB276" t="s">
        <v>74</v>
      </c>
      <c r="AC276" t="s">
        <v>5413</v>
      </c>
      <c r="AD276" t="s">
        <v>5414</v>
      </c>
      <c r="AE276" t="s">
        <v>5415</v>
      </c>
      <c r="AF276" t="s">
        <v>74</v>
      </c>
      <c r="AG276">
        <v>46</v>
      </c>
      <c r="AH276">
        <v>17</v>
      </c>
      <c r="AI276">
        <v>17</v>
      </c>
      <c r="AJ276">
        <v>0</v>
      </c>
      <c r="AK276">
        <v>17</v>
      </c>
      <c r="AL276" t="s">
        <v>5381</v>
      </c>
      <c r="AM276" t="s">
        <v>5382</v>
      </c>
      <c r="AN276" t="s">
        <v>5383</v>
      </c>
      <c r="AO276" t="s">
        <v>5384</v>
      </c>
      <c r="AP276" t="s">
        <v>74</v>
      </c>
      <c r="AQ276" t="s">
        <v>74</v>
      </c>
      <c r="AR276" t="s">
        <v>5385</v>
      </c>
      <c r="AS276" t="s">
        <v>5386</v>
      </c>
      <c r="AT276" t="s">
        <v>74</v>
      </c>
      <c r="AU276">
        <v>2013</v>
      </c>
      <c r="AV276">
        <v>20</v>
      </c>
      <c r="AW276" t="s">
        <v>74</v>
      </c>
      <c r="AX276" t="s">
        <v>74</v>
      </c>
      <c r="AY276" t="s">
        <v>74</v>
      </c>
      <c r="AZ276" t="s">
        <v>74</v>
      </c>
      <c r="BA276" t="s">
        <v>74</v>
      </c>
      <c r="BB276">
        <v>37</v>
      </c>
      <c r="BC276">
        <v>61</v>
      </c>
      <c r="BD276" t="s">
        <v>74</v>
      </c>
      <c r="BE276" t="s">
        <v>74</v>
      </c>
      <c r="BF276" t="s">
        <v>74</v>
      </c>
      <c r="BG276" t="s">
        <v>74</v>
      </c>
      <c r="BH276" t="s">
        <v>74</v>
      </c>
      <c r="BI276">
        <v>25</v>
      </c>
      <c r="BJ276" t="s">
        <v>5387</v>
      </c>
      <c r="BK276" t="s">
        <v>102</v>
      </c>
      <c r="BL276" t="s">
        <v>5387</v>
      </c>
      <c r="BM276" t="s">
        <v>5388</v>
      </c>
      <c r="BN276" t="s">
        <v>74</v>
      </c>
      <c r="BO276" t="s">
        <v>74</v>
      </c>
      <c r="BP276" t="s">
        <v>74</v>
      </c>
      <c r="BQ276" t="s">
        <v>74</v>
      </c>
      <c r="BR276" t="s">
        <v>105</v>
      </c>
      <c r="BS276" t="s">
        <v>5416</v>
      </c>
      <c r="BT276" t="str">
        <f>HYPERLINK("https%3A%2F%2Fwww.webofscience.com%2Fwos%2Fwoscc%2Ffull-record%2FWOS:000326924700003","View Full Record in Web of Science")</f>
        <v>View Full Record in Web of Science</v>
      </c>
    </row>
    <row r="277" spans="1:72" x14ac:dyDescent="0.15">
      <c r="A277" t="s">
        <v>72</v>
      </c>
      <c r="B277" t="s">
        <v>5417</v>
      </c>
      <c r="C277" t="s">
        <v>74</v>
      </c>
      <c r="D277" t="s">
        <v>74</v>
      </c>
      <c r="E277" t="s">
        <v>74</v>
      </c>
      <c r="F277" t="s">
        <v>5418</v>
      </c>
      <c r="G277" t="s">
        <v>74</v>
      </c>
      <c r="H277" t="s">
        <v>74</v>
      </c>
      <c r="I277" t="s">
        <v>5419</v>
      </c>
      <c r="J277" t="s">
        <v>5371</v>
      </c>
      <c r="K277" t="s">
        <v>74</v>
      </c>
      <c r="L277" t="s">
        <v>74</v>
      </c>
      <c r="M277" t="s">
        <v>78</v>
      </c>
      <c r="N277" t="s">
        <v>79</v>
      </c>
      <c r="O277" t="s">
        <v>74</v>
      </c>
      <c r="P277" t="s">
        <v>74</v>
      </c>
      <c r="Q277" t="s">
        <v>74</v>
      </c>
      <c r="R277" t="s">
        <v>74</v>
      </c>
      <c r="S277" t="s">
        <v>74</v>
      </c>
      <c r="T277" t="s">
        <v>74</v>
      </c>
      <c r="U277" t="s">
        <v>5420</v>
      </c>
      <c r="V277" t="s">
        <v>5421</v>
      </c>
      <c r="W277" t="s">
        <v>5422</v>
      </c>
      <c r="X277" t="s">
        <v>653</v>
      </c>
      <c r="Y277" t="s">
        <v>5423</v>
      </c>
      <c r="Z277" t="s">
        <v>5424</v>
      </c>
      <c r="AA277" t="s">
        <v>74</v>
      </c>
      <c r="AB277" t="s">
        <v>74</v>
      </c>
      <c r="AC277" t="s">
        <v>74</v>
      </c>
      <c r="AD277" t="s">
        <v>74</v>
      </c>
      <c r="AE277" t="s">
        <v>74</v>
      </c>
      <c r="AF277" t="s">
        <v>74</v>
      </c>
      <c r="AG277">
        <v>32</v>
      </c>
      <c r="AH277">
        <v>5</v>
      </c>
      <c r="AI277">
        <v>5</v>
      </c>
      <c r="AJ277">
        <v>1</v>
      </c>
      <c r="AK277">
        <v>10</v>
      </c>
      <c r="AL277" t="s">
        <v>5381</v>
      </c>
      <c r="AM277" t="s">
        <v>5382</v>
      </c>
      <c r="AN277" t="s">
        <v>5383</v>
      </c>
      <c r="AO277" t="s">
        <v>5384</v>
      </c>
      <c r="AP277" t="s">
        <v>74</v>
      </c>
      <c r="AQ277" t="s">
        <v>74</v>
      </c>
      <c r="AR277" t="s">
        <v>5385</v>
      </c>
      <c r="AS277" t="s">
        <v>5386</v>
      </c>
      <c r="AT277" t="s">
        <v>74</v>
      </c>
      <c r="AU277">
        <v>2013</v>
      </c>
      <c r="AV277">
        <v>20</v>
      </c>
      <c r="AW277" t="s">
        <v>74</v>
      </c>
      <c r="AX277" t="s">
        <v>74</v>
      </c>
      <c r="AY277" t="s">
        <v>74</v>
      </c>
      <c r="AZ277" t="s">
        <v>74</v>
      </c>
      <c r="BA277" t="s">
        <v>74</v>
      </c>
      <c r="BB277">
        <v>63</v>
      </c>
      <c r="BC277">
        <v>72</v>
      </c>
      <c r="BD277" t="s">
        <v>74</v>
      </c>
      <c r="BE277" t="s">
        <v>74</v>
      </c>
      <c r="BF277" t="s">
        <v>74</v>
      </c>
      <c r="BG277" t="s">
        <v>74</v>
      </c>
      <c r="BH277" t="s">
        <v>74</v>
      </c>
      <c r="BI277">
        <v>10</v>
      </c>
      <c r="BJ277" t="s">
        <v>5387</v>
      </c>
      <c r="BK277" t="s">
        <v>102</v>
      </c>
      <c r="BL277" t="s">
        <v>5387</v>
      </c>
      <c r="BM277" t="s">
        <v>5388</v>
      </c>
      <c r="BN277" t="s">
        <v>74</v>
      </c>
      <c r="BO277" t="s">
        <v>74</v>
      </c>
      <c r="BP277" t="s">
        <v>74</v>
      </c>
      <c r="BQ277" t="s">
        <v>74</v>
      </c>
      <c r="BR277" t="s">
        <v>105</v>
      </c>
      <c r="BS277" t="s">
        <v>5425</v>
      </c>
      <c r="BT277" t="str">
        <f>HYPERLINK("https%3A%2F%2Fwww.webofscience.com%2Fwos%2Fwoscc%2Ffull-record%2FWOS:000326924700004","View Full Record in Web of Science")</f>
        <v>View Full Record in Web of Science</v>
      </c>
    </row>
    <row r="278" spans="1:72" x14ac:dyDescent="0.15">
      <c r="A278" t="s">
        <v>72</v>
      </c>
      <c r="B278" t="s">
        <v>5426</v>
      </c>
      <c r="C278" t="s">
        <v>74</v>
      </c>
      <c r="D278" t="s">
        <v>74</v>
      </c>
      <c r="E278" t="s">
        <v>74</v>
      </c>
      <c r="F278" t="s">
        <v>5427</v>
      </c>
      <c r="G278" t="s">
        <v>74</v>
      </c>
      <c r="H278" t="s">
        <v>74</v>
      </c>
      <c r="I278" t="s">
        <v>5428</v>
      </c>
      <c r="J278" t="s">
        <v>5371</v>
      </c>
      <c r="K278" t="s">
        <v>74</v>
      </c>
      <c r="L278" t="s">
        <v>74</v>
      </c>
      <c r="M278" t="s">
        <v>78</v>
      </c>
      <c r="N278" t="s">
        <v>79</v>
      </c>
      <c r="O278" t="s">
        <v>74</v>
      </c>
      <c r="P278" t="s">
        <v>74</v>
      </c>
      <c r="Q278" t="s">
        <v>74</v>
      </c>
      <c r="R278" t="s">
        <v>74</v>
      </c>
      <c r="S278" t="s">
        <v>74</v>
      </c>
      <c r="T278" t="s">
        <v>74</v>
      </c>
      <c r="U278" t="s">
        <v>74</v>
      </c>
      <c r="V278" t="s">
        <v>5429</v>
      </c>
      <c r="W278" t="s">
        <v>5430</v>
      </c>
      <c r="X278" t="s">
        <v>5410</v>
      </c>
      <c r="Y278" t="s">
        <v>5431</v>
      </c>
      <c r="Z278" t="s">
        <v>5432</v>
      </c>
      <c r="AA278" t="s">
        <v>74</v>
      </c>
      <c r="AB278" t="s">
        <v>5433</v>
      </c>
      <c r="AC278" t="s">
        <v>5434</v>
      </c>
      <c r="AD278" t="s">
        <v>5435</v>
      </c>
      <c r="AE278" t="s">
        <v>5436</v>
      </c>
      <c r="AF278" t="s">
        <v>74</v>
      </c>
      <c r="AG278">
        <v>6</v>
      </c>
      <c r="AH278">
        <v>3</v>
      </c>
      <c r="AI278">
        <v>3</v>
      </c>
      <c r="AJ278">
        <v>0</v>
      </c>
      <c r="AK278">
        <v>2</v>
      </c>
      <c r="AL278" t="s">
        <v>5381</v>
      </c>
      <c r="AM278" t="s">
        <v>5382</v>
      </c>
      <c r="AN278" t="s">
        <v>5383</v>
      </c>
      <c r="AO278" t="s">
        <v>5384</v>
      </c>
      <c r="AP278" t="s">
        <v>74</v>
      </c>
      <c r="AQ278" t="s">
        <v>74</v>
      </c>
      <c r="AR278" t="s">
        <v>5385</v>
      </c>
      <c r="AS278" t="s">
        <v>5386</v>
      </c>
      <c r="AT278" t="s">
        <v>74</v>
      </c>
      <c r="AU278">
        <v>2013</v>
      </c>
      <c r="AV278">
        <v>20</v>
      </c>
      <c r="AW278" t="s">
        <v>74</v>
      </c>
      <c r="AX278" t="s">
        <v>74</v>
      </c>
      <c r="AY278" t="s">
        <v>74</v>
      </c>
      <c r="AZ278" t="s">
        <v>74</v>
      </c>
      <c r="BA278" t="s">
        <v>74</v>
      </c>
      <c r="BB278">
        <v>73</v>
      </c>
      <c r="BC278">
        <v>80</v>
      </c>
      <c r="BD278" t="s">
        <v>74</v>
      </c>
      <c r="BE278" t="s">
        <v>74</v>
      </c>
      <c r="BF278" t="s">
        <v>74</v>
      </c>
      <c r="BG278" t="s">
        <v>74</v>
      </c>
      <c r="BH278" t="s">
        <v>74</v>
      </c>
      <c r="BI278">
        <v>8</v>
      </c>
      <c r="BJ278" t="s">
        <v>5387</v>
      </c>
      <c r="BK278" t="s">
        <v>102</v>
      </c>
      <c r="BL278" t="s">
        <v>5387</v>
      </c>
      <c r="BM278" t="s">
        <v>5388</v>
      </c>
      <c r="BN278" t="s">
        <v>74</v>
      </c>
      <c r="BO278" t="s">
        <v>74</v>
      </c>
      <c r="BP278" t="s">
        <v>74</v>
      </c>
      <c r="BQ278" t="s">
        <v>74</v>
      </c>
      <c r="BR278" t="s">
        <v>105</v>
      </c>
      <c r="BS278" t="s">
        <v>5437</v>
      </c>
      <c r="BT278" t="str">
        <f>HYPERLINK("https%3A%2F%2Fwww.webofscience.com%2Fwos%2Fwoscc%2Ffull-record%2FWOS:000326924700005","View Full Record in Web of Science")</f>
        <v>View Full Record in Web of Science</v>
      </c>
    </row>
    <row r="279" spans="1:72" x14ac:dyDescent="0.15">
      <c r="A279" t="s">
        <v>72</v>
      </c>
      <c r="B279" t="s">
        <v>5438</v>
      </c>
      <c r="C279" t="s">
        <v>74</v>
      </c>
      <c r="D279" t="s">
        <v>74</v>
      </c>
      <c r="E279" t="s">
        <v>74</v>
      </c>
      <c r="F279" t="s">
        <v>5439</v>
      </c>
      <c r="G279" t="s">
        <v>74</v>
      </c>
      <c r="H279" t="s">
        <v>74</v>
      </c>
      <c r="I279" t="s">
        <v>5440</v>
      </c>
      <c r="J279" t="s">
        <v>5371</v>
      </c>
      <c r="K279" t="s">
        <v>74</v>
      </c>
      <c r="L279" t="s">
        <v>74</v>
      </c>
      <c r="M279" t="s">
        <v>78</v>
      </c>
      <c r="N279" t="s">
        <v>79</v>
      </c>
      <c r="O279" t="s">
        <v>74</v>
      </c>
      <c r="P279" t="s">
        <v>74</v>
      </c>
      <c r="Q279" t="s">
        <v>74</v>
      </c>
      <c r="R279" t="s">
        <v>74</v>
      </c>
      <c r="S279" t="s">
        <v>74</v>
      </c>
      <c r="T279" t="s">
        <v>74</v>
      </c>
      <c r="U279" t="s">
        <v>5441</v>
      </c>
      <c r="V279" t="s">
        <v>5442</v>
      </c>
      <c r="W279" t="s">
        <v>5443</v>
      </c>
      <c r="X279" t="s">
        <v>5444</v>
      </c>
      <c r="Y279" t="s">
        <v>5445</v>
      </c>
      <c r="Z279" t="s">
        <v>5446</v>
      </c>
      <c r="AA279" t="s">
        <v>74</v>
      </c>
      <c r="AB279" t="s">
        <v>74</v>
      </c>
      <c r="AC279" t="s">
        <v>5447</v>
      </c>
      <c r="AD279" t="s">
        <v>5448</v>
      </c>
      <c r="AE279" t="s">
        <v>5449</v>
      </c>
      <c r="AF279" t="s">
        <v>74</v>
      </c>
      <c r="AG279">
        <v>31</v>
      </c>
      <c r="AH279">
        <v>8</v>
      </c>
      <c r="AI279">
        <v>8</v>
      </c>
      <c r="AJ279">
        <v>0</v>
      </c>
      <c r="AK279">
        <v>11</v>
      </c>
      <c r="AL279" t="s">
        <v>5381</v>
      </c>
      <c r="AM279" t="s">
        <v>5382</v>
      </c>
      <c r="AN279" t="s">
        <v>5383</v>
      </c>
      <c r="AO279" t="s">
        <v>5384</v>
      </c>
      <c r="AP279" t="s">
        <v>74</v>
      </c>
      <c r="AQ279" t="s">
        <v>74</v>
      </c>
      <c r="AR279" t="s">
        <v>5385</v>
      </c>
      <c r="AS279" t="s">
        <v>5386</v>
      </c>
      <c r="AT279" t="s">
        <v>74</v>
      </c>
      <c r="AU279">
        <v>2013</v>
      </c>
      <c r="AV279">
        <v>20</v>
      </c>
      <c r="AW279" t="s">
        <v>74</v>
      </c>
      <c r="AX279" t="s">
        <v>74</v>
      </c>
      <c r="AY279" t="s">
        <v>74</v>
      </c>
      <c r="AZ279" t="s">
        <v>74</v>
      </c>
      <c r="BA279" t="s">
        <v>74</v>
      </c>
      <c r="BB279">
        <v>81</v>
      </c>
      <c r="BC279">
        <v>96</v>
      </c>
      <c r="BD279" t="s">
        <v>74</v>
      </c>
      <c r="BE279" t="s">
        <v>74</v>
      </c>
      <c r="BF279" t="s">
        <v>74</v>
      </c>
      <c r="BG279" t="s">
        <v>74</v>
      </c>
      <c r="BH279" t="s">
        <v>74</v>
      </c>
      <c r="BI279">
        <v>16</v>
      </c>
      <c r="BJ279" t="s">
        <v>5387</v>
      </c>
      <c r="BK279" t="s">
        <v>102</v>
      </c>
      <c r="BL279" t="s">
        <v>5387</v>
      </c>
      <c r="BM279" t="s">
        <v>5388</v>
      </c>
      <c r="BN279" t="s">
        <v>74</v>
      </c>
      <c r="BO279" t="s">
        <v>74</v>
      </c>
      <c r="BP279" t="s">
        <v>74</v>
      </c>
      <c r="BQ279" t="s">
        <v>74</v>
      </c>
      <c r="BR279" t="s">
        <v>105</v>
      </c>
      <c r="BS279" t="s">
        <v>5450</v>
      </c>
      <c r="BT279" t="str">
        <f>HYPERLINK("https%3A%2F%2Fwww.webofscience.com%2Fwos%2Fwoscc%2Ffull-record%2FWOS:000326924700006","View Full Record in Web of Science")</f>
        <v>View Full Record in Web of Science</v>
      </c>
    </row>
    <row r="280" spans="1:72" x14ac:dyDescent="0.15">
      <c r="A280" t="s">
        <v>72</v>
      </c>
      <c r="B280" t="s">
        <v>5451</v>
      </c>
      <c r="C280" t="s">
        <v>74</v>
      </c>
      <c r="D280" t="s">
        <v>74</v>
      </c>
      <c r="E280" t="s">
        <v>74</v>
      </c>
      <c r="F280" t="s">
        <v>5452</v>
      </c>
      <c r="G280" t="s">
        <v>74</v>
      </c>
      <c r="H280" t="s">
        <v>74</v>
      </c>
      <c r="I280" t="s">
        <v>5453</v>
      </c>
      <c r="J280" t="s">
        <v>5371</v>
      </c>
      <c r="K280" t="s">
        <v>74</v>
      </c>
      <c r="L280" t="s">
        <v>74</v>
      </c>
      <c r="M280" t="s">
        <v>78</v>
      </c>
      <c r="N280" t="s">
        <v>79</v>
      </c>
      <c r="O280" t="s">
        <v>74</v>
      </c>
      <c r="P280" t="s">
        <v>74</v>
      </c>
      <c r="Q280" t="s">
        <v>74</v>
      </c>
      <c r="R280" t="s">
        <v>74</v>
      </c>
      <c r="S280" t="s">
        <v>74</v>
      </c>
      <c r="T280" t="s">
        <v>74</v>
      </c>
      <c r="U280" t="s">
        <v>5454</v>
      </c>
      <c r="V280" t="s">
        <v>5455</v>
      </c>
      <c r="W280" t="s">
        <v>5456</v>
      </c>
      <c r="X280" t="s">
        <v>1249</v>
      </c>
      <c r="Y280" t="s">
        <v>5457</v>
      </c>
      <c r="Z280" t="s">
        <v>5458</v>
      </c>
      <c r="AA280" t="s">
        <v>5377</v>
      </c>
      <c r="AB280" t="s">
        <v>74</v>
      </c>
      <c r="AC280" t="s">
        <v>5378</v>
      </c>
      <c r="AD280" t="s">
        <v>5379</v>
      </c>
      <c r="AE280" t="s">
        <v>5459</v>
      </c>
      <c r="AF280" t="s">
        <v>74</v>
      </c>
      <c r="AG280">
        <v>29</v>
      </c>
      <c r="AH280">
        <v>7</v>
      </c>
      <c r="AI280">
        <v>7</v>
      </c>
      <c r="AJ280">
        <v>0</v>
      </c>
      <c r="AK280">
        <v>3</v>
      </c>
      <c r="AL280" t="s">
        <v>5381</v>
      </c>
      <c r="AM280" t="s">
        <v>5382</v>
      </c>
      <c r="AN280" t="s">
        <v>5383</v>
      </c>
      <c r="AO280" t="s">
        <v>5384</v>
      </c>
      <c r="AP280" t="s">
        <v>74</v>
      </c>
      <c r="AQ280" t="s">
        <v>74</v>
      </c>
      <c r="AR280" t="s">
        <v>5385</v>
      </c>
      <c r="AS280" t="s">
        <v>5386</v>
      </c>
      <c r="AT280" t="s">
        <v>74</v>
      </c>
      <c r="AU280">
        <v>2013</v>
      </c>
      <c r="AV280">
        <v>20</v>
      </c>
      <c r="AW280" t="s">
        <v>74</v>
      </c>
      <c r="AX280" t="s">
        <v>74</v>
      </c>
      <c r="AY280" t="s">
        <v>74</v>
      </c>
      <c r="AZ280" t="s">
        <v>74</v>
      </c>
      <c r="BA280" t="s">
        <v>74</v>
      </c>
      <c r="BB280">
        <v>97</v>
      </c>
      <c r="BC280">
        <v>118</v>
      </c>
      <c r="BD280" t="s">
        <v>74</v>
      </c>
      <c r="BE280" t="s">
        <v>74</v>
      </c>
      <c r="BF280" t="s">
        <v>74</v>
      </c>
      <c r="BG280" t="s">
        <v>74</v>
      </c>
      <c r="BH280" t="s">
        <v>74</v>
      </c>
      <c r="BI280">
        <v>22</v>
      </c>
      <c r="BJ280" t="s">
        <v>5387</v>
      </c>
      <c r="BK280" t="s">
        <v>102</v>
      </c>
      <c r="BL280" t="s">
        <v>5387</v>
      </c>
      <c r="BM280" t="s">
        <v>5388</v>
      </c>
      <c r="BN280" t="s">
        <v>74</v>
      </c>
      <c r="BO280" t="s">
        <v>74</v>
      </c>
      <c r="BP280" t="s">
        <v>74</v>
      </c>
      <c r="BQ280" t="s">
        <v>74</v>
      </c>
      <c r="BR280" t="s">
        <v>105</v>
      </c>
      <c r="BS280" t="s">
        <v>5460</v>
      </c>
      <c r="BT280" t="str">
        <f>HYPERLINK("https%3A%2F%2Fwww.webofscience.com%2Fwos%2Fwoscc%2Ffull-record%2FWOS:000326924700007","View Full Record in Web of Science")</f>
        <v>View Full Record in Web of Science</v>
      </c>
    </row>
    <row r="281" spans="1:72" x14ac:dyDescent="0.15">
      <c r="A281" t="s">
        <v>72</v>
      </c>
      <c r="B281" t="s">
        <v>5461</v>
      </c>
      <c r="C281" t="s">
        <v>74</v>
      </c>
      <c r="D281" t="s">
        <v>74</v>
      </c>
      <c r="E281" t="s">
        <v>74</v>
      </c>
      <c r="F281" t="s">
        <v>5462</v>
      </c>
      <c r="G281" t="s">
        <v>74</v>
      </c>
      <c r="H281" t="s">
        <v>74</v>
      </c>
      <c r="I281" t="s">
        <v>5463</v>
      </c>
      <c r="J281" t="s">
        <v>5371</v>
      </c>
      <c r="K281" t="s">
        <v>74</v>
      </c>
      <c r="L281" t="s">
        <v>74</v>
      </c>
      <c r="M281" t="s">
        <v>78</v>
      </c>
      <c r="N281" t="s">
        <v>79</v>
      </c>
      <c r="O281" t="s">
        <v>74</v>
      </c>
      <c r="P281" t="s">
        <v>74</v>
      </c>
      <c r="Q281" t="s">
        <v>74</v>
      </c>
      <c r="R281" t="s">
        <v>74</v>
      </c>
      <c r="S281" t="s">
        <v>74</v>
      </c>
      <c r="T281" t="s">
        <v>74</v>
      </c>
      <c r="U281" t="s">
        <v>5464</v>
      </c>
      <c r="V281" t="s">
        <v>5465</v>
      </c>
      <c r="W281" t="s">
        <v>5466</v>
      </c>
      <c r="X281" t="s">
        <v>5467</v>
      </c>
      <c r="Y281" t="s">
        <v>5457</v>
      </c>
      <c r="Z281" t="s">
        <v>5458</v>
      </c>
      <c r="AA281" t="s">
        <v>5468</v>
      </c>
      <c r="AB281" t="s">
        <v>5469</v>
      </c>
      <c r="AC281" t="s">
        <v>5378</v>
      </c>
      <c r="AD281" t="s">
        <v>5379</v>
      </c>
      <c r="AE281" t="s">
        <v>5470</v>
      </c>
      <c r="AF281" t="s">
        <v>74</v>
      </c>
      <c r="AG281">
        <v>43</v>
      </c>
      <c r="AH281">
        <v>12</v>
      </c>
      <c r="AI281">
        <v>12</v>
      </c>
      <c r="AJ281">
        <v>0</v>
      </c>
      <c r="AK281">
        <v>14</v>
      </c>
      <c r="AL281" t="s">
        <v>5381</v>
      </c>
      <c r="AM281" t="s">
        <v>5382</v>
      </c>
      <c r="AN281" t="s">
        <v>5383</v>
      </c>
      <c r="AO281" t="s">
        <v>5384</v>
      </c>
      <c r="AP281" t="s">
        <v>74</v>
      </c>
      <c r="AQ281" t="s">
        <v>74</v>
      </c>
      <c r="AR281" t="s">
        <v>5385</v>
      </c>
      <c r="AS281" t="s">
        <v>5386</v>
      </c>
      <c r="AT281" t="s">
        <v>74</v>
      </c>
      <c r="AU281">
        <v>2013</v>
      </c>
      <c r="AV281">
        <v>20</v>
      </c>
      <c r="AW281" t="s">
        <v>74</v>
      </c>
      <c r="AX281" t="s">
        <v>74</v>
      </c>
      <c r="AY281" t="s">
        <v>74</v>
      </c>
      <c r="AZ281" t="s">
        <v>74</v>
      </c>
      <c r="BA281" t="s">
        <v>74</v>
      </c>
      <c r="BB281">
        <v>119</v>
      </c>
      <c r="BC281">
        <v>137</v>
      </c>
      <c r="BD281" t="s">
        <v>74</v>
      </c>
      <c r="BE281" t="s">
        <v>74</v>
      </c>
      <c r="BF281" t="s">
        <v>74</v>
      </c>
      <c r="BG281" t="s">
        <v>74</v>
      </c>
      <c r="BH281" t="s">
        <v>74</v>
      </c>
      <c r="BI281">
        <v>19</v>
      </c>
      <c r="BJ281" t="s">
        <v>5387</v>
      </c>
      <c r="BK281" t="s">
        <v>102</v>
      </c>
      <c r="BL281" t="s">
        <v>5387</v>
      </c>
      <c r="BM281" t="s">
        <v>5388</v>
      </c>
      <c r="BN281" t="s">
        <v>74</v>
      </c>
      <c r="BO281" t="s">
        <v>74</v>
      </c>
      <c r="BP281" t="s">
        <v>74</v>
      </c>
      <c r="BQ281" t="s">
        <v>74</v>
      </c>
      <c r="BR281" t="s">
        <v>105</v>
      </c>
      <c r="BS281" t="s">
        <v>5471</v>
      </c>
      <c r="BT281" t="str">
        <f>HYPERLINK("https%3A%2F%2Fwww.webofscience.com%2Fwos%2Fwoscc%2Ffull-record%2FWOS:000326924700008","View Full Record in Web of Science")</f>
        <v>View Full Record in Web of Science</v>
      </c>
    </row>
    <row r="282" spans="1:72" x14ac:dyDescent="0.15">
      <c r="A282" t="s">
        <v>72</v>
      </c>
      <c r="B282" t="s">
        <v>5472</v>
      </c>
      <c r="C282" t="s">
        <v>74</v>
      </c>
      <c r="D282" t="s">
        <v>74</v>
      </c>
      <c r="E282" t="s">
        <v>74</v>
      </c>
      <c r="F282" t="s">
        <v>5473</v>
      </c>
      <c r="G282" t="s">
        <v>74</v>
      </c>
      <c r="H282" t="s">
        <v>74</v>
      </c>
      <c r="I282" t="s">
        <v>5474</v>
      </c>
      <c r="J282" t="s">
        <v>5371</v>
      </c>
      <c r="K282" t="s">
        <v>74</v>
      </c>
      <c r="L282" t="s">
        <v>74</v>
      </c>
      <c r="M282" t="s">
        <v>78</v>
      </c>
      <c r="N282" t="s">
        <v>79</v>
      </c>
      <c r="O282" t="s">
        <v>74</v>
      </c>
      <c r="P282" t="s">
        <v>74</v>
      </c>
      <c r="Q282" t="s">
        <v>74</v>
      </c>
      <c r="R282" t="s">
        <v>74</v>
      </c>
      <c r="S282" t="s">
        <v>74</v>
      </c>
      <c r="T282" t="s">
        <v>74</v>
      </c>
      <c r="U282" t="s">
        <v>5475</v>
      </c>
      <c r="V282" t="s">
        <v>5476</v>
      </c>
      <c r="W282" t="s">
        <v>5477</v>
      </c>
      <c r="X282" t="s">
        <v>1249</v>
      </c>
      <c r="Y282" t="s">
        <v>5478</v>
      </c>
      <c r="Z282" t="s">
        <v>5479</v>
      </c>
      <c r="AA282" t="s">
        <v>74</v>
      </c>
      <c r="AB282" t="s">
        <v>74</v>
      </c>
      <c r="AC282" t="s">
        <v>5480</v>
      </c>
      <c r="AD282" t="s">
        <v>5481</v>
      </c>
      <c r="AE282" t="s">
        <v>74</v>
      </c>
      <c r="AF282" t="s">
        <v>74</v>
      </c>
      <c r="AG282">
        <v>61</v>
      </c>
      <c r="AH282">
        <v>5</v>
      </c>
      <c r="AI282">
        <v>6</v>
      </c>
      <c r="AJ282">
        <v>0</v>
      </c>
      <c r="AK282">
        <v>11</v>
      </c>
      <c r="AL282" t="s">
        <v>5381</v>
      </c>
      <c r="AM282" t="s">
        <v>5382</v>
      </c>
      <c r="AN282" t="s">
        <v>5383</v>
      </c>
      <c r="AO282" t="s">
        <v>5384</v>
      </c>
      <c r="AP282" t="s">
        <v>74</v>
      </c>
      <c r="AQ282" t="s">
        <v>74</v>
      </c>
      <c r="AR282" t="s">
        <v>5385</v>
      </c>
      <c r="AS282" t="s">
        <v>5386</v>
      </c>
      <c r="AT282" t="s">
        <v>74</v>
      </c>
      <c r="AU282">
        <v>2013</v>
      </c>
      <c r="AV282">
        <v>20</v>
      </c>
      <c r="AW282" t="s">
        <v>74</v>
      </c>
      <c r="AX282" t="s">
        <v>74</v>
      </c>
      <c r="AY282" t="s">
        <v>74</v>
      </c>
      <c r="AZ282" t="s">
        <v>74</v>
      </c>
      <c r="BA282" t="s">
        <v>74</v>
      </c>
      <c r="BB282">
        <v>139</v>
      </c>
      <c r="BC282">
        <v>151</v>
      </c>
      <c r="BD282" t="s">
        <v>74</v>
      </c>
      <c r="BE282" t="s">
        <v>74</v>
      </c>
      <c r="BF282" t="s">
        <v>74</v>
      </c>
      <c r="BG282" t="s">
        <v>74</v>
      </c>
      <c r="BH282" t="s">
        <v>74</v>
      </c>
      <c r="BI282">
        <v>13</v>
      </c>
      <c r="BJ282" t="s">
        <v>5387</v>
      </c>
      <c r="BK282" t="s">
        <v>102</v>
      </c>
      <c r="BL282" t="s">
        <v>5387</v>
      </c>
      <c r="BM282" t="s">
        <v>5388</v>
      </c>
      <c r="BN282" t="s">
        <v>74</v>
      </c>
      <c r="BO282" t="s">
        <v>74</v>
      </c>
      <c r="BP282" t="s">
        <v>74</v>
      </c>
      <c r="BQ282" t="s">
        <v>74</v>
      </c>
      <c r="BR282" t="s">
        <v>105</v>
      </c>
      <c r="BS282" t="s">
        <v>5482</v>
      </c>
      <c r="BT282" t="str">
        <f>HYPERLINK("https%3A%2F%2Fwww.webofscience.com%2Fwos%2Fwoscc%2Ffull-record%2FWOS:000326924700009","View Full Record in Web of Science")</f>
        <v>View Full Record in Web of Science</v>
      </c>
    </row>
    <row r="283" spans="1:72" x14ac:dyDescent="0.15">
      <c r="A283" t="s">
        <v>72</v>
      </c>
      <c r="B283" t="s">
        <v>5483</v>
      </c>
      <c r="C283" t="s">
        <v>74</v>
      </c>
      <c r="D283" t="s">
        <v>74</v>
      </c>
      <c r="E283" t="s">
        <v>74</v>
      </c>
      <c r="F283" t="s">
        <v>5484</v>
      </c>
      <c r="G283" t="s">
        <v>74</v>
      </c>
      <c r="H283" t="s">
        <v>74</v>
      </c>
      <c r="I283" t="s">
        <v>5485</v>
      </c>
      <c r="J283" t="s">
        <v>5486</v>
      </c>
      <c r="K283" t="s">
        <v>74</v>
      </c>
      <c r="L283" t="s">
        <v>74</v>
      </c>
      <c r="M283" t="s">
        <v>78</v>
      </c>
      <c r="N283" t="s">
        <v>79</v>
      </c>
      <c r="O283" t="s">
        <v>74</v>
      </c>
      <c r="P283" t="s">
        <v>74</v>
      </c>
      <c r="Q283" t="s">
        <v>74</v>
      </c>
      <c r="R283" t="s">
        <v>74</v>
      </c>
      <c r="S283" t="s">
        <v>74</v>
      </c>
      <c r="T283" t="s">
        <v>5487</v>
      </c>
      <c r="U283" t="s">
        <v>5488</v>
      </c>
      <c r="V283" t="s">
        <v>5489</v>
      </c>
      <c r="W283" t="s">
        <v>5490</v>
      </c>
      <c r="X283" t="s">
        <v>5491</v>
      </c>
      <c r="Y283" t="s">
        <v>5492</v>
      </c>
      <c r="Z283" t="s">
        <v>5493</v>
      </c>
      <c r="AA283" t="s">
        <v>5494</v>
      </c>
      <c r="AB283" t="s">
        <v>5495</v>
      </c>
      <c r="AC283" t="s">
        <v>5496</v>
      </c>
      <c r="AD283" t="s">
        <v>5497</v>
      </c>
      <c r="AE283" t="s">
        <v>5498</v>
      </c>
      <c r="AF283" t="s">
        <v>74</v>
      </c>
      <c r="AG283">
        <v>38</v>
      </c>
      <c r="AH283">
        <v>0</v>
      </c>
      <c r="AI283">
        <v>2</v>
      </c>
      <c r="AJ283">
        <v>0</v>
      </c>
      <c r="AK283">
        <v>10</v>
      </c>
      <c r="AL283" t="s">
        <v>4248</v>
      </c>
      <c r="AM283" t="s">
        <v>4249</v>
      </c>
      <c r="AN283" t="s">
        <v>4250</v>
      </c>
      <c r="AO283" t="s">
        <v>5499</v>
      </c>
      <c r="AP283" t="s">
        <v>5500</v>
      </c>
      <c r="AQ283" t="s">
        <v>74</v>
      </c>
      <c r="AR283" t="s">
        <v>5501</v>
      </c>
      <c r="AS283" t="s">
        <v>4129</v>
      </c>
      <c r="AT283" t="s">
        <v>74</v>
      </c>
      <c r="AU283">
        <v>2013</v>
      </c>
      <c r="AV283">
        <v>31</v>
      </c>
      <c r="AW283">
        <v>10</v>
      </c>
      <c r="AX283" t="s">
        <v>74</v>
      </c>
      <c r="AY283" t="s">
        <v>74</v>
      </c>
      <c r="AZ283" t="s">
        <v>74</v>
      </c>
      <c r="BA283" t="s">
        <v>74</v>
      </c>
      <c r="BB283">
        <v>1709</v>
      </c>
      <c r="BC283">
        <v>1719</v>
      </c>
      <c r="BD283" t="s">
        <v>74</v>
      </c>
      <c r="BE283" t="s">
        <v>5502</v>
      </c>
      <c r="BF283" t="str">
        <f>HYPERLINK("http://dx.doi.org/10.5194/angeo-31-1709-2013","http://dx.doi.org/10.5194/angeo-31-1709-2013")</f>
        <v>http://dx.doi.org/10.5194/angeo-31-1709-2013</v>
      </c>
      <c r="BG283" t="s">
        <v>74</v>
      </c>
      <c r="BH283" t="s">
        <v>74</v>
      </c>
      <c r="BI283">
        <v>11</v>
      </c>
      <c r="BJ283" t="s">
        <v>5503</v>
      </c>
      <c r="BK283" t="s">
        <v>102</v>
      </c>
      <c r="BL283" t="s">
        <v>5504</v>
      </c>
      <c r="BM283" t="s">
        <v>5505</v>
      </c>
      <c r="BN283" t="s">
        <v>74</v>
      </c>
      <c r="BO283" t="s">
        <v>4132</v>
      </c>
      <c r="BP283" t="s">
        <v>74</v>
      </c>
      <c r="BQ283" t="s">
        <v>74</v>
      </c>
      <c r="BR283" t="s">
        <v>105</v>
      </c>
      <c r="BS283" t="s">
        <v>5506</v>
      </c>
      <c r="BT283" t="str">
        <f>HYPERLINK("https%3A%2F%2Fwww.webofscience.com%2Fwos%2Fwoscc%2Ffull-record%2FWOS:000326548600010","View Full Record in Web of Science")</f>
        <v>View Full Record in Web of Science</v>
      </c>
    </row>
    <row r="284" spans="1:72" x14ac:dyDescent="0.15">
      <c r="A284" t="s">
        <v>72</v>
      </c>
      <c r="B284" t="s">
        <v>5507</v>
      </c>
      <c r="C284" t="s">
        <v>74</v>
      </c>
      <c r="D284" t="s">
        <v>74</v>
      </c>
      <c r="E284" t="s">
        <v>74</v>
      </c>
      <c r="F284" t="s">
        <v>5508</v>
      </c>
      <c r="G284" t="s">
        <v>74</v>
      </c>
      <c r="H284" t="s">
        <v>74</v>
      </c>
      <c r="I284" t="s">
        <v>5509</v>
      </c>
      <c r="J284" t="s">
        <v>5510</v>
      </c>
      <c r="K284" t="s">
        <v>74</v>
      </c>
      <c r="L284" t="s">
        <v>74</v>
      </c>
      <c r="M284" t="s">
        <v>78</v>
      </c>
      <c r="N284" t="s">
        <v>79</v>
      </c>
      <c r="O284" t="s">
        <v>74</v>
      </c>
      <c r="P284" t="s">
        <v>74</v>
      </c>
      <c r="Q284" t="s">
        <v>74</v>
      </c>
      <c r="R284" t="s">
        <v>74</v>
      </c>
      <c r="S284" t="s">
        <v>74</v>
      </c>
      <c r="T284" t="s">
        <v>74</v>
      </c>
      <c r="U284" t="s">
        <v>5511</v>
      </c>
      <c r="V284" t="s">
        <v>5512</v>
      </c>
      <c r="W284" t="s">
        <v>5513</v>
      </c>
      <c r="X284" t="s">
        <v>5514</v>
      </c>
      <c r="Y284" t="s">
        <v>5515</v>
      </c>
      <c r="Z284" t="s">
        <v>5516</v>
      </c>
      <c r="AA284" t="s">
        <v>5517</v>
      </c>
      <c r="AB284" t="s">
        <v>5518</v>
      </c>
      <c r="AC284" t="s">
        <v>5519</v>
      </c>
      <c r="AD284" t="s">
        <v>5519</v>
      </c>
      <c r="AE284" t="s">
        <v>5520</v>
      </c>
      <c r="AF284" t="s">
        <v>74</v>
      </c>
      <c r="AG284">
        <v>11</v>
      </c>
      <c r="AH284">
        <v>14</v>
      </c>
      <c r="AI284">
        <v>14</v>
      </c>
      <c r="AJ284">
        <v>2</v>
      </c>
      <c r="AK284">
        <v>22</v>
      </c>
      <c r="AL284" t="s">
        <v>4248</v>
      </c>
      <c r="AM284" t="s">
        <v>4249</v>
      </c>
      <c r="AN284" t="s">
        <v>4250</v>
      </c>
      <c r="AO284" t="s">
        <v>5521</v>
      </c>
      <c r="AP284" t="s">
        <v>5522</v>
      </c>
      <c r="AQ284" t="s">
        <v>74</v>
      </c>
      <c r="AR284" t="s">
        <v>5523</v>
      </c>
      <c r="AS284" t="s">
        <v>5524</v>
      </c>
      <c r="AT284" t="s">
        <v>74</v>
      </c>
      <c r="AU284">
        <v>2013</v>
      </c>
      <c r="AV284">
        <v>6</v>
      </c>
      <c r="AW284">
        <v>5</v>
      </c>
      <c r="AX284" t="s">
        <v>74</v>
      </c>
      <c r="AY284" t="s">
        <v>74</v>
      </c>
      <c r="AZ284" t="s">
        <v>74</v>
      </c>
      <c r="BA284" t="s">
        <v>74</v>
      </c>
      <c r="BB284">
        <v>1705</v>
      </c>
      <c r="BC284">
        <v>1714</v>
      </c>
      <c r="BD284" t="s">
        <v>74</v>
      </c>
      <c r="BE284" t="s">
        <v>5525</v>
      </c>
      <c r="BF284" t="str">
        <f>HYPERLINK("http://dx.doi.org/10.5194/gmd-6-1705-2013","http://dx.doi.org/10.5194/gmd-6-1705-2013")</f>
        <v>http://dx.doi.org/10.5194/gmd-6-1705-2013</v>
      </c>
      <c r="BG284" t="s">
        <v>74</v>
      </c>
      <c r="BH284" t="s">
        <v>74</v>
      </c>
      <c r="BI284">
        <v>10</v>
      </c>
      <c r="BJ284" t="s">
        <v>1604</v>
      </c>
      <c r="BK284" t="s">
        <v>102</v>
      </c>
      <c r="BL284" t="s">
        <v>1605</v>
      </c>
      <c r="BM284" t="s">
        <v>5526</v>
      </c>
      <c r="BN284" t="s">
        <v>74</v>
      </c>
      <c r="BO284" t="s">
        <v>4621</v>
      </c>
      <c r="BP284" t="s">
        <v>74</v>
      </c>
      <c r="BQ284" t="s">
        <v>74</v>
      </c>
      <c r="BR284" t="s">
        <v>105</v>
      </c>
      <c r="BS284" t="s">
        <v>5527</v>
      </c>
      <c r="BT284" t="str">
        <f>HYPERLINK("https%3A%2F%2Fwww.webofscience.com%2Fwos%2Fwoscc%2Ffull-record%2FWOS:000326601300020","View Full Record in Web of Science")</f>
        <v>View Full Record in Web of Science</v>
      </c>
    </row>
    <row r="285" spans="1:72" x14ac:dyDescent="0.15">
      <c r="A285" t="s">
        <v>72</v>
      </c>
      <c r="B285" t="s">
        <v>5528</v>
      </c>
      <c r="C285" t="s">
        <v>74</v>
      </c>
      <c r="D285" t="s">
        <v>74</v>
      </c>
      <c r="E285" t="s">
        <v>74</v>
      </c>
      <c r="F285" t="s">
        <v>5529</v>
      </c>
      <c r="G285" t="s">
        <v>74</v>
      </c>
      <c r="H285" t="s">
        <v>74</v>
      </c>
      <c r="I285" t="s">
        <v>5530</v>
      </c>
      <c r="J285" t="s">
        <v>5531</v>
      </c>
      <c r="K285" t="s">
        <v>74</v>
      </c>
      <c r="L285" t="s">
        <v>74</v>
      </c>
      <c r="M285" t="s">
        <v>78</v>
      </c>
      <c r="N285" t="s">
        <v>79</v>
      </c>
      <c r="O285" t="s">
        <v>74</v>
      </c>
      <c r="P285" t="s">
        <v>74</v>
      </c>
      <c r="Q285" t="s">
        <v>74</v>
      </c>
      <c r="R285" t="s">
        <v>74</v>
      </c>
      <c r="S285" t="s">
        <v>74</v>
      </c>
      <c r="T285" t="s">
        <v>5532</v>
      </c>
      <c r="U285" t="s">
        <v>5533</v>
      </c>
      <c r="V285" t="s">
        <v>5534</v>
      </c>
      <c r="W285" t="s">
        <v>5535</v>
      </c>
      <c r="X285" t="s">
        <v>5536</v>
      </c>
      <c r="Y285" t="s">
        <v>5537</v>
      </c>
      <c r="Z285" t="s">
        <v>5538</v>
      </c>
      <c r="AA285" t="s">
        <v>74</v>
      </c>
      <c r="AB285" t="s">
        <v>74</v>
      </c>
      <c r="AC285" t="s">
        <v>5539</v>
      </c>
      <c r="AD285" t="s">
        <v>5539</v>
      </c>
      <c r="AE285" t="s">
        <v>5540</v>
      </c>
      <c r="AF285" t="s">
        <v>74</v>
      </c>
      <c r="AG285">
        <v>76</v>
      </c>
      <c r="AH285">
        <v>22</v>
      </c>
      <c r="AI285">
        <v>25</v>
      </c>
      <c r="AJ285">
        <v>0</v>
      </c>
      <c r="AK285">
        <v>10</v>
      </c>
      <c r="AL285" t="s">
        <v>5541</v>
      </c>
      <c r="AM285" t="s">
        <v>5542</v>
      </c>
      <c r="AN285" t="s">
        <v>5543</v>
      </c>
      <c r="AO285" t="s">
        <v>5544</v>
      </c>
      <c r="AP285" t="s">
        <v>5545</v>
      </c>
      <c r="AQ285" t="s">
        <v>74</v>
      </c>
      <c r="AR285" t="s">
        <v>5546</v>
      </c>
      <c r="AS285" t="s">
        <v>5547</v>
      </c>
      <c r="AT285" t="s">
        <v>74</v>
      </c>
      <c r="AU285">
        <v>2013</v>
      </c>
      <c r="AV285">
        <v>27</v>
      </c>
      <c r="AW285">
        <v>5</v>
      </c>
      <c r="AX285" t="s">
        <v>74</v>
      </c>
      <c r="AY285" t="s">
        <v>74</v>
      </c>
      <c r="AZ285" t="s">
        <v>74</v>
      </c>
      <c r="BA285" t="s">
        <v>74</v>
      </c>
      <c r="BB285">
        <v>540</v>
      </c>
      <c r="BC285">
        <v>566</v>
      </c>
      <c r="BD285" t="s">
        <v>74</v>
      </c>
      <c r="BE285" t="s">
        <v>5548</v>
      </c>
      <c r="BF285" t="str">
        <f>HYPERLINK("http://dx.doi.org/10.1071/IS12084","http://dx.doi.org/10.1071/IS12084")</f>
        <v>http://dx.doi.org/10.1071/IS12084</v>
      </c>
      <c r="BG285" t="s">
        <v>74</v>
      </c>
      <c r="BH285" t="s">
        <v>74</v>
      </c>
      <c r="BI285">
        <v>27</v>
      </c>
      <c r="BJ285" t="s">
        <v>5549</v>
      </c>
      <c r="BK285" t="s">
        <v>102</v>
      </c>
      <c r="BL285" t="s">
        <v>5549</v>
      </c>
      <c r="BM285" t="s">
        <v>5550</v>
      </c>
      <c r="BN285" t="s">
        <v>74</v>
      </c>
      <c r="BO285" t="s">
        <v>74</v>
      </c>
      <c r="BP285" t="s">
        <v>74</v>
      </c>
      <c r="BQ285" t="s">
        <v>74</v>
      </c>
      <c r="BR285" t="s">
        <v>105</v>
      </c>
      <c r="BS285" t="s">
        <v>5551</v>
      </c>
      <c r="BT285" t="str">
        <f>HYPERLINK("https%3A%2F%2Fwww.webofscience.com%2Fwos%2Fwoscc%2Ffull-record%2FWOS:000326331100005","View Full Record in Web of Science")</f>
        <v>View Full Record in Web of Science</v>
      </c>
    </row>
    <row r="286" spans="1:72" x14ac:dyDescent="0.15">
      <c r="A286" t="s">
        <v>72</v>
      </c>
      <c r="B286" t="s">
        <v>5552</v>
      </c>
      <c r="C286" t="s">
        <v>74</v>
      </c>
      <c r="D286" t="s">
        <v>74</v>
      </c>
      <c r="E286" t="s">
        <v>74</v>
      </c>
      <c r="F286" t="s">
        <v>5553</v>
      </c>
      <c r="G286" t="s">
        <v>74</v>
      </c>
      <c r="H286" t="s">
        <v>74</v>
      </c>
      <c r="I286" t="s">
        <v>5554</v>
      </c>
      <c r="J286" t="s">
        <v>5555</v>
      </c>
      <c r="K286" t="s">
        <v>74</v>
      </c>
      <c r="L286" t="s">
        <v>74</v>
      </c>
      <c r="M286" t="s">
        <v>78</v>
      </c>
      <c r="N286" t="s">
        <v>79</v>
      </c>
      <c r="O286" t="s">
        <v>74</v>
      </c>
      <c r="P286" t="s">
        <v>74</v>
      </c>
      <c r="Q286" t="s">
        <v>74</v>
      </c>
      <c r="R286" t="s">
        <v>74</v>
      </c>
      <c r="S286" t="s">
        <v>74</v>
      </c>
      <c r="T286" t="s">
        <v>5556</v>
      </c>
      <c r="U286" t="s">
        <v>5557</v>
      </c>
      <c r="V286" t="s">
        <v>5558</v>
      </c>
      <c r="W286" t="s">
        <v>5559</v>
      </c>
      <c r="X286" t="s">
        <v>5560</v>
      </c>
      <c r="Y286" t="s">
        <v>5561</v>
      </c>
      <c r="Z286" t="s">
        <v>74</v>
      </c>
      <c r="AA286" t="s">
        <v>5562</v>
      </c>
      <c r="AB286" t="s">
        <v>5563</v>
      </c>
      <c r="AC286" t="s">
        <v>5564</v>
      </c>
      <c r="AD286" t="s">
        <v>5565</v>
      </c>
      <c r="AE286" t="s">
        <v>5566</v>
      </c>
      <c r="AF286" t="s">
        <v>74</v>
      </c>
      <c r="AG286">
        <v>104</v>
      </c>
      <c r="AH286">
        <v>38</v>
      </c>
      <c r="AI286">
        <v>43</v>
      </c>
      <c r="AJ286">
        <v>2</v>
      </c>
      <c r="AK286">
        <v>69</v>
      </c>
      <c r="AL286" t="s">
        <v>5567</v>
      </c>
      <c r="AM286" t="s">
        <v>5568</v>
      </c>
      <c r="AN286" t="s">
        <v>5569</v>
      </c>
      <c r="AO286" t="s">
        <v>5570</v>
      </c>
      <c r="AP286" t="s">
        <v>74</v>
      </c>
      <c r="AQ286" t="s">
        <v>74</v>
      </c>
      <c r="AR286" t="s">
        <v>5571</v>
      </c>
      <c r="AS286" t="s">
        <v>5572</v>
      </c>
      <c r="AT286" t="s">
        <v>74</v>
      </c>
      <c r="AU286">
        <v>2013</v>
      </c>
      <c r="AV286">
        <v>18</v>
      </c>
      <c r="AW286">
        <v>3</v>
      </c>
      <c r="AX286" t="s">
        <v>74</v>
      </c>
      <c r="AY286" t="s">
        <v>74</v>
      </c>
      <c r="AZ286" t="s">
        <v>74</v>
      </c>
      <c r="BA286" t="s">
        <v>74</v>
      </c>
      <c r="BB286" t="s">
        <v>74</v>
      </c>
      <c r="BC286" t="s">
        <v>74</v>
      </c>
      <c r="BD286">
        <v>4</v>
      </c>
      <c r="BE286" t="s">
        <v>5573</v>
      </c>
      <c r="BF286" t="str">
        <f>HYPERLINK("http://dx.doi.org/10.5751/ES-05607-180304","http://dx.doi.org/10.5751/ES-05607-180304")</f>
        <v>http://dx.doi.org/10.5751/ES-05607-180304</v>
      </c>
      <c r="BG286" t="s">
        <v>74</v>
      </c>
      <c r="BH286" t="s">
        <v>74</v>
      </c>
      <c r="BI286">
        <v>20</v>
      </c>
      <c r="BJ286" t="s">
        <v>5574</v>
      </c>
      <c r="BK286" t="s">
        <v>1803</v>
      </c>
      <c r="BL286" t="s">
        <v>455</v>
      </c>
      <c r="BM286" t="s">
        <v>5575</v>
      </c>
      <c r="BN286" t="s">
        <v>74</v>
      </c>
      <c r="BO286" t="s">
        <v>3098</v>
      </c>
      <c r="BP286" t="s">
        <v>74</v>
      </c>
      <c r="BQ286" t="s">
        <v>74</v>
      </c>
      <c r="BR286" t="s">
        <v>105</v>
      </c>
      <c r="BS286" t="s">
        <v>5576</v>
      </c>
      <c r="BT286" t="str">
        <f>HYPERLINK("https%3A%2F%2Fwww.webofscience.com%2Fwos%2Fwoscc%2Ffull-record%2FWOS:000325521300021","View Full Record in Web of Science")</f>
        <v>View Full Record in Web of Science</v>
      </c>
    </row>
    <row r="287" spans="1:72" x14ac:dyDescent="0.15">
      <c r="A287" t="s">
        <v>72</v>
      </c>
      <c r="B287" t="s">
        <v>5577</v>
      </c>
      <c r="C287" t="s">
        <v>74</v>
      </c>
      <c r="D287" t="s">
        <v>74</v>
      </c>
      <c r="E287" t="s">
        <v>74</v>
      </c>
      <c r="F287" t="s">
        <v>5578</v>
      </c>
      <c r="G287" t="s">
        <v>74</v>
      </c>
      <c r="H287" t="s">
        <v>74</v>
      </c>
      <c r="I287" t="s">
        <v>5579</v>
      </c>
      <c r="J287" t="s">
        <v>4495</v>
      </c>
      <c r="K287" t="s">
        <v>74</v>
      </c>
      <c r="L287" t="s">
        <v>74</v>
      </c>
      <c r="M287" t="s">
        <v>78</v>
      </c>
      <c r="N287" t="s">
        <v>79</v>
      </c>
      <c r="O287" t="s">
        <v>74</v>
      </c>
      <c r="P287" t="s">
        <v>74</v>
      </c>
      <c r="Q287" t="s">
        <v>74</v>
      </c>
      <c r="R287" t="s">
        <v>74</v>
      </c>
      <c r="S287" t="s">
        <v>74</v>
      </c>
      <c r="T287" t="s">
        <v>5580</v>
      </c>
      <c r="U287" t="s">
        <v>5581</v>
      </c>
      <c r="V287" t="s">
        <v>5582</v>
      </c>
      <c r="W287" t="s">
        <v>5583</v>
      </c>
      <c r="X287" t="s">
        <v>5584</v>
      </c>
      <c r="Y287" t="s">
        <v>5585</v>
      </c>
      <c r="Z287" t="s">
        <v>5586</v>
      </c>
      <c r="AA287" t="s">
        <v>74</v>
      </c>
      <c r="AB287" t="s">
        <v>74</v>
      </c>
      <c r="AC287" t="s">
        <v>74</v>
      </c>
      <c r="AD287" t="s">
        <v>74</v>
      </c>
      <c r="AE287" t="s">
        <v>74</v>
      </c>
      <c r="AF287" t="s">
        <v>74</v>
      </c>
      <c r="AG287">
        <v>38</v>
      </c>
      <c r="AH287">
        <v>11</v>
      </c>
      <c r="AI287">
        <v>12</v>
      </c>
      <c r="AJ287">
        <v>0</v>
      </c>
      <c r="AK287">
        <v>17</v>
      </c>
      <c r="AL287" t="s">
        <v>4506</v>
      </c>
      <c r="AM287" t="s">
        <v>4507</v>
      </c>
      <c r="AN287" t="s">
        <v>4508</v>
      </c>
      <c r="AO287" t="s">
        <v>4509</v>
      </c>
      <c r="AP287" t="s">
        <v>4510</v>
      </c>
      <c r="AQ287" t="s">
        <v>74</v>
      </c>
      <c r="AR287" t="s">
        <v>4511</v>
      </c>
      <c r="AS287" t="s">
        <v>4512</v>
      </c>
      <c r="AT287" t="s">
        <v>74</v>
      </c>
      <c r="AU287">
        <v>2013</v>
      </c>
      <c r="AV287">
        <v>32</v>
      </c>
      <c r="AW287" t="s">
        <v>74</v>
      </c>
      <c r="AX287" t="s">
        <v>74</v>
      </c>
      <c r="AY287" t="s">
        <v>74</v>
      </c>
      <c r="AZ287" t="s">
        <v>74</v>
      </c>
      <c r="BA287" t="s">
        <v>74</v>
      </c>
      <c r="BB287" t="s">
        <v>74</v>
      </c>
      <c r="BC287" t="s">
        <v>74</v>
      </c>
      <c r="BD287">
        <v>21319</v>
      </c>
      <c r="BE287" t="s">
        <v>5587</v>
      </c>
      <c r="BF287" t="str">
        <f>HYPERLINK("http://dx.doi.org/10.3402/polar.v32i0.21319","http://dx.doi.org/10.3402/polar.v32i0.21319")</f>
        <v>http://dx.doi.org/10.3402/polar.v32i0.21319</v>
      </c>
      <c r="BG287" t="s">
        <v>74</v>
      </c>
      <c r="BH287" t="s">
        <v>74</v>
      </c>
      <c r="BI287">
        <v>8</v>
      </c>
      <c r="BJ287" t="s">
        <v>4514</v>
      </c>
      <c r="BK287" t="s">
        <v>102</v>
      </c>
      <c r="BL287" t="s">
        <v>4515</v>
      </c>
      <c r="BM287" t="s">
        <v>5588</v>
      </c>
      <c r="BN287" t="s">
        <v>74</v>
      </c>
      <c r="BO287" t="s">
        <v>2629</v>
      </c>
      <c r="BP287" t="s">
        <v>74</v>
      </c>
      <c r="BQ287" t="s">
        <v>74</v>
      </c>
      <c r="BR287" t="s">
        <v>105</v>
      </c>
      <c r="BS287" t="s">
        <v>5589</v>
      </c>
      <c r="BT287" t="str">
        <f>HYPERLINK("https%3A%2F%2Fwww.webofscience.com%2Fwos%2Fwoscc%2Ffull-record%2FWOS:000325892900001","View Full Record in Web of Science")</f>
        <v>View Full Record in Web of Science</v>
      </c>
    </row>
    <row r="288" spans="1:72" x14ac:dyDescent="0.15">
      <c r="A288" t="s">
        <v>3224</v>
      </c>
      <c r="B288" t="s">
        <v>5590</v>
      </c>
      <c r="C288" t="s">
        <v>74</v>
      </c>
      <c r="D288" t="s">
        <v>5591</v>
      </c>
      <c r="E288" t="s">
        <v>74</v>
      </c>
      <c r="F288" t="s">
        <v>5592</v>
      </c>
      <c r="G288" t="s">
        <v>74</v>
      </c>
      <c r="H288" t="s">
        <v>74</v>
      </c>
      <c r="I288" t="s">
        <v>5593</v>
      </c>
      <c r="J288" t="s">
        <v>5594</v>
      </c>
      <c r="K288" t="s">
        <v>5255</v>
      </c>
      <c r="L288" t="s">
        <v>74</v>
      </c>
      <c r="M288" t="s">
        <v>78</v>
      </c>
      <c r="N288" t="s">
        <v>3231</v>
      </c>
      <c r="O288" t="s">
        <v>5595</v>
      </c>
      <c r="P288" t="s">
        <v>5596</v>
      </c>
      <c r="Q288" t="s">
        <v>5597</v>
      </c>
      <c r="R288" t="s">
        <v>74</v>
      </c>
      <c r="S288" t="s">
        <v>74</v>
      </c>
      <c r="T288" t="s">
        <v>5598</v>
      </c>
      <c r="U288" t="s">
        <v>74</v>
      </c>
      <c r="V288" t="s">
        <v>5599</v>
      </c>
      <c r="W288" t="s">
        <v>5600</v>
      </c>
      <c r="X288" t="s">
        <v>74</v>
      </c>
      <c r="Y288" t="s">
        <v>5601</v>
      </c>
      <c r="Z288" t="s">
        <v>5602</v>
      </c>
      <c r="AA288" t="s">
        <v>74</v>
      </c>
      <c r="AB288" t="s">
        <v>74</v>
      </c>
      <c r="AC288" t="s">
        <v>74</v>
      </c>
      <c r="AD288" t="s">
        <v>74</v>
      </c>
      <c r="AE288" t="s">
        <v>74</v>
      </c>
      <c r="AF288" t="s">
        <v>74</v>
      </c>
      <c r="AG288">
        <v>18</v>
      </c>
      <c r="AH288">
        <v>0</v>
      </c>
      <c r="AI288">
        <v>0</v>
      </c>
      <c r="AJ288">
        <v>1</v>
      </c>
      <c r="AK288">
        <v>17</v>
      </c>
      <c r="AL288" t="s">
        <v>5265</v>
      </c>
      <c r="AM288" t="s">
        <v>5266</v>
      </c>
      <c r="AN288" t="s">
        <v>5267</v>
      </c>
      <c r="AO288" t="s">
        <v>5268</v>
      </c>
      <c r="AP288" t="s">
        <v>5289</v>
      </c>
      <c r="AQ288" t="s">
        <v>5603</v>
      </c>
      <c r="AR288" t="s">
        <v>5270</v>
      </c>
      <c r="AS288" t="s">
        <v>74</v>
      </c>
      <c r="AT288" t="s">
        <v>74</v>
      </c>
      <c r="AU288">
        <v>2013</v>
      </c>
      <c r="AV288">
        <v>8795</v>
      </c>
      <c r="AW288" t="s">
        <v>74</v>
      </c>
      <c r="AX288" t="s">
        <v>74</v>
      </c>
      <c r="AY288" t="s">
        <v>74</v>
      </c>
      <c r="AZ288" t="s">
        <v>74</v>
      </c>
      <c r="BA288" t="s">
        <v>74</v>
      </c>
      <c r="BB288" t="s">
        <v>74</v>
      </c>
      <c r="BC288" t="s">
        <v>74</v>
      </c>
      <c r="BD288" t="s">
        <v>5604</v>
      </c>
      <c r="BE288" t="s">
        <v>5605</v>
      </c>
      <c r="BF288" t="str">
        <f>HYPERLINK("http://dx.doi.org/10.1117/12.2027546","http://dx.doi.org/10.1117/12.2027546")</f>
        <v>http://dx.doi.org/10.1117/12.2027546</v>
      </c>
      <c r="BG288" t="s">
        <v>74</v>
      </c>
      <c r="BH288" t="s">
        <v>74</v>
      </c>
      <c r="BI288">
        <v>9</v>
      </c>
      <c r="BJ288" t="s">
        <v>5606</v>
      </c>
      <c r="BK288" t="s">
        <v>3247</v>
      </c>
      <c r="BL288" t="s">
        <v>5606</v>
      </c>
      <c r="BM288" t="s">
        <v>5607</v>
      </c>
      <c r="BN288" t="s">
        <v>74</v>
      </c>
      <c r="BO288" t="s">
        <v>429</v>
      </c>
      <c r="BP288" t="s">
        <v>74</v>
      </c>
      <c r="BQ288" t="s">
        <v>74</v>
      </c>
      <c r="BR288" t="s">
        <v>105</v>
      </c>
      <c r="BS288" t="s">
        <v>5608</v>
      </c>
      <c r="BT288" t="str">
        <f>HYPERLINK("https%3A%2F%2Fwww.webofscience.com%2Fwos%2Fwoscc%2Ffull-record%2FWOS:000325475000014","View Full Record in Web of Science")</f>
        <v>View Full Record in Web of Science</v>
      </c>
    </row>
    <row r="289" spans="1:72" x14ac:dyDescent="0.15">
      <c r="A289" t="s">
        <v>72</v>
      </c>
      <c r="B289" t="s">
        <v>5609</v>
      </c>
      <c r="C289" t="s">
        <v>74</v>
      </c>
      <c r="D289" t="s">
        <v>74</v>
      </c>
      <c r="E289" t="s">
        <v>74</v>
      </c>
      <c r="F289" t="s">
        <v>5610</v>
      </c>
      <c r="G289" t="s">
        <v>74</v>
      </c>
      <c r="H289" t="s">
        <v>74</v>
      </c>
      <c r="I289" t="s">
        <v>5611</v>
      </c>
      <c r="J289" t="s">
        <v>4472</v>
      </c>
      <c r="K289" t="s">
        <v>74</v>
      </c>
      <c r="L289" t="s">
        <v>74</v>
      </c>
      <c r="M289" t="s">
        <v>78</v>
      </c>
      <c r="N289" t="s">
        <v>79</v>
      </c>
      <c r="O289" t="s">
        <v>74</v>
      </c>
      <c r="P289" t="s">
        <v>74</v>
      </c>
      <c r="Q289" t="s">
        <v>74</v>
      </c>
      <c r="R289" t="s">
        <v>74</v>
      </c>
      <c r="S289" t="s">
        <v>74</v>
      </c>
      <c r="T289" t="s">
        <v>74</v>
      </c>
      <c r="U289" t="s">
        <v>5612</v>
      </c>
      <c r="V289" t="s">
        <v>5613</v>
      </c>
      <c r="W289" t="s">
        <v>5614</v>
      </c>
      <c r="X289" t="s">
        <v>5615</v>
      </c>
      <c r="Y289" t="s">
        <v>5616</v>
      </c>
      <c r="Z289" t="s">
        <v>5617</v>
      </c>
      <c r="AA289" t="s">
        <v>5618</v>
      </c>
      <c r="AB289" t="s">
        <v>5619</v>
      </c>
      <c r="AC289" t="s">
        <v>5620</v>
      </c>
      <c r="AD289" t="s">
        <v>5620</v>
      </c>
      <c r="AE289" t="s">
        <v>5621</v>
      </c>
      <c r="AF289" t="s">
        <v>74</v>
      </c>
      <c r="AG289">
        <v>29</v>
      </c>
      <c r="AH289">
        <v>6</v>
      </c>
      <c r="AI289">
        <v>8</v>
      </c>
      <c r="AJ289">
        <v>0</v>
      </c>
      <c r="AK289">
        <v>19</v>
      </c>
      <c r="AL289" t="s">
        <v>816</v>
      </c>
      <c r="AM289" t="s">
        <v>2038</v>
      </c>
      <c r="AN289" t="s">
        <v>4484</v>
      </c>
      <c r="AO289" t="s">
        <v>4485</v>
      </c>
      <c r="AP289" t="s">
        <v>4486</v>
      </c>
      <c r="AQ289" t="s">
        <v>74</v>
      </c>
      <c r="AR289" t="s">
        <v>4487</v>
      </c>
      <c r="AS289" t="s">
        <v>4488</v>
      </c>
      <c r="AT289" t="s">
        <v>74</v>
      </c>
      <c r="AU289">
        <v>2013</v>
      </c>
      <c r="AV289">
        <v>59</v>
      </c>
      <c r="AW289">
        <v>217</v>
      </c>
      <c r="AX289" t="s">
        <v>74</v>
      </c>
      <c r="AY289" t="s">
        <v>74</v>
      </c>
      <c r="AZ289" t="s">
        <v>74</v>
      </c>
      <c r="BA289" t="s">
        <v>74</v>
      </c>
      <c r="BB289">
        <v>838</v>
      </c>
      <c r="BC289">
        <v>844</v>
      </c>
      <c r="BD289" t="s">
        <v>74</v>
      </c>
      <c r="BE289" t="s">
        <v>5622</v>
      </c>
      <c r="BF289" t="str">
        <f>HYPERLINK("http://dx.doi.org/10.3189/2013JoG12J122","http://dx.doi.org/10.3189/2013JoG12J122")</f>
        <v>http://dx.doi.org/10.3189/2013JoG12J122</v>
      </c>
      <c r="BG289" t="s">
        <v>74</v>
      </c>
      <c r="BH289" t="s">
        <v>74</v>
      </c>
      <c r="BI289">
        <v>7</v>
      </c>
      <c r="BJ289" t="s">
        <v>2261</v>
      </c>
      <c r="BK289" t="s">
        <v>102</v>
      </c>
      <c r="BL289" t="s">
        <v>2262</v>
      </c>
      <c r="BM289" t="s">
        <v>5623</v>
      </c>
      <c r="BN289" t="s">
        <v>74</v>
      </c>
      <c r="BO289" t="s">
        <v>1427</v>
      </c>
      <c r="BP289" t="s">
        <v>74</v>
      </c>
      <c r="BQ289" t="s">
        <v>74</v>
      </c>
      <c r="BR289" t="s">
        <v>105</v>
      </c>
      <c r="BS289" t="s">
        <v>5624</v>
      </c>
      <c r="BT289" t="str">
        <f>HYPERLINK("https%3A%2F%2Fwww.webofscience.com%2Fwos%2Fwoscc%2Ffull-record%2FWOS:000325385200003","View Full Record in Web of Science")</f>
        <v>View Full Record in Web of Science</v>
      </c>
    </row>
    <row r="290" spans="1:72" x14ac:dyDescent="0.15">
      <c r="A290" t="s">
        <v>72</v>
      </c>
      <c r="B290" t="s">
        <v>5625</v>
      </c>
      <c r="C290" t="s">
        <v>74</v>
      </c>
      <c r="D290" t="s">
        <v>74</v>
      </c>
      <c r="E290" t="s">
        <v>74</v>
      </c>
      <c r="F290" t="s">
        <v>5626</v>
      </c>
      <c r="G290" t="s">
        <v>74</v>
      </c>
      <c r="H290" t="s">
        <v>74</v>
      </c>
      <c r="I290" t="s">
        <v>5627</v>
      </c>
      <c r="J290" t="s">
        <v>4472</v>
      </c>
      <c r="K290" t="s">
        <v>74</v>
      </c>
      <c r="L290" t="s">
        <v>74</v>
      </c>
      <c r="M290" t="s">
        <v>78</v>
      </c>
      <c r="N290" t="s">
        <v>79</v>
      </c>
      <c r="O290" t="s">
        <v>74</v>
      </c>
      <c r="P290" t="s">
        <v>74</v>
      </c>
      <c r="Q290" t="s">
        <v>74</v>
      </c>
      <c r="R290" t="s">
        <v>74</v>
      </c>
      <c r="S290" t="s">
        <v>74</v>
      </c>
      <c r="T290" t="s">
        <v>74</v>
      </c>
      <c r="U290" t="s">
        <v>5628</v>
      </c>
      <c r="V290" t="s">
        <v>5629</v>
      </c>
      <c r="W290" t="s">
        <v>5630</v>
      </c>
      <c r="X290" t="s">
        <v>5631</v>
      </c>
      <c r="Y290" t="s">
        <v>5632</v>
      </c>
      <c r="Z290" t="s">
        <v>5633</v>
      </c>
      <c r="AA290" t="s">
        <v>5634</v>
      </c>
      <c r="AB290" t="s">
        <v>5635</v>
      </c>
      <c r="AC290" t="s">
        <v>5636</v>
      </c>
      <c r="AD290" t="s">
        <v>5637</v>
      </c>
      <c r="AE290" t="s">
        <v>5638</v>
      </c>
      <c r="AF290" t="s">
        <v>74</v>
      </c>
      <c r="AG290">
        <v>26</v>
      </c>
      <c r="AH290">
        <v>5</v>
      </c>
      <c r="AI290">
        <v>5</v>
      </c>
      <c r="AJ290">
        <v>2</v>
      </c>
      <c r="AK290">
        <v>14</v>
      </c>
      <c r="AL290" t="s">
        <v>816</v>
      </c>
      <c r="AM290" t="s">
        <v>2038</v>
      </c>
      <c r="AN290" t="s">
        <v>4484</v>
      </c>
      <c r="AO290" t="s">
        <v>4485</v>
      </c>
      <c r="AP290" t="s">
        <v>4486</v>
      </c>
      <c r="AQ290" t="s">
        <v>74</v>
      </c>
      <c r="AR290" t="s">
        <v>4487</v>
      </c>
      <c r="AS290" t="s">
        <v>4488</v>
      </c>
      <c r="AT290" t="s">
        <v>74</v>
      </c>
      <c r="AU290">
        <v>2013</v>
      </c>
      <c r="AV290">
        <v>59</v>
      </c>
      <c r="AW290">
        <v>217</v>
      </c>
      <c r="AX290" t="s">
        <v>74</v>
      </c>
      <c r="AY290" t="s">
        <v>74</v>
      </c>
      <c r="AZ290" t="s">
        <v>74</v>
      </c>
      <c r="BA290" t="s">
        <v>74</v>
      </c>
      <c r="BB290">
        <v>938</v>
      </c>
      <c r="BC290">
        <v>948</v>
      </c>
      <c r="BD290" t="s">
        <v>74</v>
      </c>
      <c r="BE290" t="s">
        <v>5639</v>
      </c>
      <c r="BF290" t="str">
        <f>HYPERLINK("http://dx.doi.org/10.3189/2013JoG12J117","http://dx.doi.org/10.3189/2013JoG12J117")</f>
        <v>http://dx.doi.org/10.3189/2013JoG12J117</v>
      </c>
      <c r="BG290" t="s">
        <v>74</v>
      </c>
      <c r="BH290" t="s">
        <v>74</v>
      </c>
      <c r="BI290">
        <v>11</v>
      </c>
      <c r="BJ290" t="s">
        <v>2261</v>
      </c>
      <c r="BK290" t="s">
        <v>102</v>
      </c>
      <c r="BL290" t="s">
        <v>2262</v>
      </c>
      <c r="BM290" t="s">
        <v>5623</v>
      </c>
      <c r="BN290" t="s">
        <v>74</v>
      </c>
      <c r="BO290" t="s">
        <v>128</v>
      </c>
      <c r="BP290" t="s">
        <v>74</v>
      </c>
      <c r="BQ290" t="s">
        <v>74</v>
      </c>
      <c r="BR290" t="s">
        <v>105</v>
      </c>
      <c r="BS290" t="s">
        <v>5640</v>
      </c>
      <c r="BT290" t="str">
        <f>HYPERLINK("https%3A%2F%2Fwww.webofscience.com%2Fwos%2Fwoscc%2Ffull-record%2FWOS:000325385200012","View Full Record in Web of Science")</f>
        <v>View Full Record in Web of Science</v>
      </c>
    </row>
    <row r="291" spans="1:72" x14ac:dyDescent="0.15">
      <c r="A291" t="s">
        <v>72</v>
      </c>
      <c r="B291" t="s">
        <v>5641</v>
      </c>
      <c r="C291" t="s">
        <v>74</v>
      </c>
      <c r="D291" t="s">
        <v>74</v>
      </c>
      <c r="E291" t="s">
        <v>74</v>
      </c>
      <c r="F291" t="s">
        <v>5642</v>
      </c>
      <c r="G291" t="s">
        <v>74</v>
      </c>
      <c r="H291" t="s">
        <v>74</v>
      </c>
      <c r="I291" t="s">
        <v>5643</v>
      </c>
      <c r="J291" t="s">
        <v>5644</v>
      </c>
      <c r="K291" t="s">
        <v>74</v>
      </c>
      <c r="L291" t="s">
        <v>74</v>
      </c>
      <c r="M291" t="s">
        <v>78</v>
      </c>
      <c r="N291" t="s">
        <v>3967</v>
      </c>
      <c r="O291" t="s">
        <v>5645</v>
      </c>
      <c r="P291">
        <v>2012</v>
      </c>
      <c r="Q291" t="s">
        <v>5646</v>
      </c>
      <c r="R291" t="s">
        <v>74</v>
      </c>
      <c r="S291" t="s">
        <v>74</v>
      </c>
      <c r="T291" t="s">
        <v>74</v>
      </c>
      <c r="U291" t="s">
        <v>5647</v>
      </c>
      <c r="V291" t="s">
        <v>5648</v>
      </c>
      <c r="W291" t="s">
        <v>5649</v>
      </c>
      <c r="X291" t="s">
        <v>5650</v>
      </c>
      <c r="Y291" t="s">
        <v>5651</v>
      </c>
      <c r="Z291" t="s">
        <v>5652</v>
      </c>
      <c r="AA291" t="s">
        <v>5653</v>
      </c>
      <c r="AB291" t="s">
        <v>5654</v>
      </c>
      <c r="AC291" t="s">
        <v>5655</v>
      </c>
      <c r="AD291" t="s">
        <v>5656</v>
      </c>
      <c r="AE291" t="s">
        <v>5657</v>
      </c>
      <c r="AF291" t="s">
        <v>74</v>
      </c>
      <c r="AG291">
        <v>43</v>
      </c>
      <c r="AH291">
        <v>1</v>
      </c>
      <c r="AI291">
        <v>2</v>
      </c>
      <c r="AJ291">
        <v>0</v>
      </c>
      <c r="AK291">
        <v>15</v>
      </c>
      <c r="AL291" t="s">
        <v>5658</v>
      </c>
      <c r="AM291" t="s">
        <v>5659</v>
      </c>
      <c r="AN291" t="s">
        <v>5660</v>
      </c>
      <c r="AO291" t="s">
        <v>5661</v>
      </c>
      <c r="AP291" t="s">
        <v>5662</v>
      </c>
      <c r="AQ291" t="s">
        <v>74</v>
      </c>
      <c r="AR291" t="s">
        <v>5644</v>
      </c>
      <c r="AS291" t="s">
        <v>5663</v>
      </c>
      <c r="AT291" t="s">
        <v>74</v>
      </c>
      <c r="AU291">
        <v>2013</v>
      </c>
      <c r="AV291">
        <v>55</v>
      </c>
      <c r="AW291" t="s">
        <v>5664</v>
      </c>
      <c r="AX291" t="s">
        <v>74</v>
      </c>
      <c r="AY291" t="s">
        <v>74</v>
      </c>
      <c r="AZ291" t="s">
        <v>74</v>
      </c>
      <c r="BA291" t="s">
        <v>74</v>
      </c>
      <c r="BB291">
        <v>1546</v>
      </c>
      <c r="BC291">
        <v>1555</v>
      </c>
      <c r="BD291" t="s">
        <v>74</v>
      </c>
      <c r="BE291" t="s">
        <v>5665</v>
      </c>
      <c r="BF291" t="str">
        <f>HYPERLINK("http://dx.doi.org/10.1017/S0033822200048475","http://dx.doi.org/10.1017/S0033822200048475")</f>
        <v>http://dx.doi.org/10.1017/S0033822200048475</v>
      </c>
      <c r="BG291" t="s">
        <v>74</v>
      </c>
      <c r="BH291" t="s">
        <v>74</v>
      </c>
      <c r="BI291">
        <v>10</v>
      </c>
      <c r="BJ291" t="s">
        <v>263</v>
      </c>
      <c r="BK291" t="s">
        <v>3990</v>
      </c>
      <c r="BL291" t="s">
        <v>263</v>
      </c>
      <c r="BM291" t="s">
        <v>5666</v>
      </c>
      <c r="BN291" t="s">
        <v>74</v>
      </c>
      <c r="BO291" t="s">
        <v>74</v>
      </c>
      <c r="BP291" t="s">
        <v>74</v>
      </c>
      <c r="BQ291" t="s">
        <v>74</v>
      </c>
      <c r="BR291" t="s">
        <v>105</v>
      </c>
      <c r="BS291" t="s">
        <v>5667</v>
      </c>
      <c r="BT291" t="str">
        <f>HYPERLINK("https%3A%2F%2Fwww.webofscience.com%2Fwos%2Fwoscc%2Ffull-record%2FWOS:000325752100141","View Full Record in Web of Science")</f>
        <v>View Full Record in Web of Science</v>
      </c>
    </row>
    <row r="292" spans="1:72" x14ac:dyDescent="0.15">
      <c r="A292" t="s">
        <v>72</v>
      </c>
      <c r="B292" t="s">
        <v>5668</v>
      </c>
      <c r="C292" t="s">
        <v>74</v>
      </c>
      <c r="D292" t="s">
        <v>74</v>
      </c>
      <c r="E292" t="s">
        <v>74</v>
      </c>
      <c r="F292" t="s">
        <v>5669</v>
      </c>
      <c r="G292" t="s">
        <v>74</v>
      </c>
      <c r="H292" t="s">
        <v>74</v>
      </c>
      <c r="I292" t="s">
        <v>5670</v>
      </c>
      <c r="J292" t="s">
        <v>5671</v>
      </c>
      <c r="K292" t="s">
        <v>74</v>
      </c>
      <c r="L292" t="s">
        <v>74</v>
      </c>
      <c r="M292" t="s">
        <v>78</v>
      </c>
      <c r="N292" t="s">
        <v>79</v>
      </c>
      <c r="O292" t="s">
        <v>74</v>
      </c>
      <c r="P292" t="s">
        <v>74</v>
      </c>
      <c r="Q292" t="s">
        <v>74</v>
      </c>
      <c r="R292" t="s">
        <v>74</v>
      </c>
      <c r="S292" t="s">
        <v>74</v>
      </c>
      <c r="T292" t="s">
        <v>74</v>
      </c>
      <c r="U292" t="s">
        <v>5672</v>
      </c>
      <c r="V292" t="s">
        <v>5673</v>
      </c>
      <c r="W292" t="s">
        <v>5674</v>
      </c>
      <c r="X292" t="s">
        <v>5675</v>
      </c>
      <c r="Y292" t="s">
        <v>5676</v>
      </c>
      <c r="Z292" t="s">
        <v>5677</v>
      </c>
      <c r="AA292" t="s">
        <v>5678</v>
      </c>
      <c r="AB292" t="s">
        <v>5679</v>
      </c>
      <c r="AC292" t="s">
        <v>5680</v>
      </c>
      <c r="AD292" t="s">
        <v>5681</v>
      </c>
      <c r="AE292" t="s">
        <v>5682</v>
      </c>
      <c r="AF292" t="s">
        <v>74</v>
      </c>
      <c r="AG292">
        <v>50</v>
      </c>
      <c r="AH292">
        <v>6</v>
      </c>
      <c r="AI292">
        <v>7</v>
      </c>
      <c r="AJ292">
        <v>0</v>
      </c>
      <c r="AK292">
        <v>27</v>
      </c>
      <c r="AL292" t="s">
        <v>5683</v>
      </c>
      <c r="AM292" t="s">
        <v>5684</v>
      </c>
      <c r="AN292" t="s">
        <v>5685</v>
      </c>
      <c r="AO292" t="s">
        <v>5686</v>
      </c>
      <c r="AP292" t="s">
        <v>5687</v>
      </c>
      <c r="AQ292" t="s">
        <v>74</v>
      </c>
      <c r="AR292" t="s">
        <v>5688</v>
      </c>
      <c r="AS292" t="s">
        <v>5689</v>
      </c>
      <c r="AT292" t="s">
        <v>5170</v>
      </c>
      <c r="AU292">
        <v>2013</v>
      </c>
      <c r="AV292">
        <v>89</v>
      </c>
      <c r="AW292">
        <v>1</v>
      </c>
      <c r="AX292" t="s">
        <v>74</v>
      </c>
      <c r="AY292" t="s">
        <v>74</v>
      </c>
      <c r="AZ292" t="s">
        <v>74</v>
      </c>
      <c r="BA292" t="s">
        <v>74</v>
      </c>
      <c r="BB292">
        <v>397</v>
      </c>
      <c r="BC292">
        <v>417</v>
      </c>
      <c r="BD292" t="s">
        <v>74</v>
      </c>
      <c r="BE292" t="s">
        <v>5690</v>
      </c>
      <c r="BF292" t="str">
        <f>HYPERLINK("http://dx.doi.org/10.5343/bms.2011.1126","http://dx.doi.org/10.5343/bms.2011.1126")</f>
        <v>http://dx.doi.org/10.5343/bms.2011.1126</v>
      </c>
      <c r="BG292" t="s">
        <v>74</v>
      </c>
      <c r="BH292" t="s">
        <v>74</v>
      </c>
      <c r="BI292">
        <v>21</v>
      </c>
      <c r="BJ292" t="s">
        <v>2095</v>
      </c>
      <c r="BK292" t="s">
        <v>102</v>
      </c>
      <c r="BL292" t="s">
        <v>2095</v>
      </c>
      <c r="BM292" t="s">
        <v>5691</v>
      </c>
      <c r="BN292" t="s">
        <v>74</v>
      </c>
      <c r="BO292" t="s">
        <v>74</v>
      </c>
      <c r="BP292" t="s">
        <v>74</v>
      </c>
      <c r="BQ292" t="s">
        <v>74</v>
      </c>
      <c r="BR292" t="s">
        <v>105</v>
      </c>
      <c r="BS292" t="s">
        <v>5692</v>
      </c>
      <c r="BT292" t="str">
        <f>HYPERLINK("https%3A%2F%2Fwww.webofscience.com%2Fwos%2Fwoscc%2Ffull-record%2FWOS:000325306300019","View Full Record in Web of Science")</f>
        <v>View Full Record in Web of Science</v>
      </c>
    </row>
    <row r="293" spans="1:72" x14ac:dyDescent="0.15">
      <c r="A293" t="s">
        <v>72</v>
      </c>
      <c r="B293" t="s">
        <v>5693</v>
      </c>
      <c r="C293" t="s">
        <v>74</v>
      </c>
      <c r="D293" t="s">
        <v>74</v>
      </c>
      <c r="E293" t="s">
        <v>74</v>
      </c>
      <c r="F293" t="s">
        <v>5694</v>
      </c>
      <c r="G293" t="s">
        <v>74</v>
      </c>
      <c r="H293" t="s">
        <v>74</v>
      </c>
      <c r="I293" t="s">
        <v>5695</v>
      </c>
      <c r="J293" t="s">
        <v>4304</v>
      </c>
      <c r="K293" t="s">
        <v>74</v>
      </c>
      <c r="L293" t="s">
        <v>74</v>
      </c>
      <c r="M293" t="s">
        <v>78</v>
      </c>
      <c r="N293" t="s">
        <v>79</v>
      </c>
      <c r="O293" t="s">
        <v>74</v>
      </c>
      <c r="P293" t="s">
        <v>74</v>
      </c>
      <c r="Q293" t="s">
        <v>74</v>
      </c>
      <c r="R293" t="s">
        <v>74</v>
      </c>
      <c r="S293" t="s">
        <v>74</v>
      </c>
      <c r="T293" t="s">
        <v>5696</v>
      </c>
      <c r="U293" t="s">
        <v>5697</v>
      </c>
      <c r="V293" t="s">
        <v>5698</v>
      </c>
      <c r="W293" t="s">
        <v>5699</v>
      </c>
      <c r="X293" t="s">
        <v>5700</v>
      </c>
      <c r="Y293" t="s">
        <v>5701</v>
      </c>
      <c r="Z293" t="s">
        <v>5702</v>
      </c>
      <c r="AA293" t="s">
        <v>74</v>
      </c>
      <c r="AB293" t="s">
        <v>74</v>
      </c>
      <c r="AC293" t="s">
        <v>74</v>
      </c>
      <c r="AD293" t="s">
        <v>74</v>
      </c>
      <c r="AE293" t="s">
        <v>74</v>
      </c>
      <c r="AF293" t="s">
        <v>74</v>
      </c>
      <c r="AG293">
        <v>48</v>
      </c>
      <c r="AH293">
        <v>12</v>
      </c>
      <c r="AI293">
        <v>13</v>
      </c>
      <c r="AJ293">
        <v>0</v>
      </c>
      <c r="AK293">
        <v>7</v>
      </c>
      <c r="AL293" t="s">
        <v>4316</v>
      </c>
      <c r="AM293" t="s">
        <v>4317</v>
      </c>
      <c r="AN293" t="s">
        <v>4318</v>
      </c>
      <c r="AO293" t="s">
        <v>4319</v>
      </c>
      <c r="AP293" t="s">
        <v>4320</v>
      </c>
      <c r="AQ293" t="s">
        <v>74</v>
      </c>
      <c r="AR293" t="s">
        <v>4321</v>
      </c>
      <c r="AS293" t="s">
        <v>4322</v>
      </c>
      <c r="AT293" t="s">
        <v>74</v>
      </c>
      <c r="AU293">
        <v>2013</v>
      </c>
      <c r="AV293">
        <v>57</v>
      </c>
      <c r="AW293">
        <v>3</v>
      </c>
      <c r="AX293" t="s">
        <v>74</v>
      </c>
      <c r="AY293" t="s">
        <v>74</v>
      </c>
      <c r="AZ293" t="s">
        <v>74</v>
      </c>
      <c r="BA293" t="s">
        <v>74</v>
      </c>
      <c r="BB293">
        <v>385</v>
      </c>
      <c r="BC293">
        <v>394</v>
      </c>
      <c r="BD293" t="s">
        <v>74</v>
      </c>
      <c r="BE293" t="s">
        <v>5703</v>
      </c>
      <c r="BF293" t="str">
        <f>HYPERLINK("http://dx.doi.org/10.7306/gq.1100","http://dx.doi.org/10.7306/gq.1100")</f>
        <v>http://dx.doi.org/10.7306/gq.1100</v>
      </c>
      <c r="BG293" t="s">
        <v>74</v>
      </c>
      <c r="BH293" t="s">
        <v>74</v>
      </c>
      <c r="BI293">
        <v>10</v>
      </c>
      <c r="BJ293" t="s">
        <v>1605</v>
      </c>
      <c r="BK293" t="s">
        <v>102</v>
      </c>
      <c r="BL293" t="s">
        <v>1605</v>
      </c>
      <c r="BM293" t="s">
        <v>5704</v>
      </c>
      <c r="BN293" t="s">
        <v>74</v>
      </c>
      <c r="BO293" t="s">
        <v>128</v>
      </c>
      <c r="BP293" t="s">
        <v>74</v>
      </c>
      <c r="BQ293" t="s">
        <v>74</v>
      </c>
      <c r="BR293" t="s">
        <v>105</v>
      </c>
      <c r="BS293" t="s">
        <v>5705</v>
      </c>
      <c r="BT293" t="str">
        <f>HYPERLINK("https%3A%2F%2Fwww.webofscience.com%2Fwos%2Fwoscc%2Ffull-record%2FWOS:000325120600002","View Full Record in Web of Science")</f>
        <v>View Full Record in Web of Science</v>
      </c>
    </row>
    <row r="294" spans="1:72" x14ac:dyDescent="0.15">
      <c r="A294" t="s">
        <v>72</v>
      </c>
      <c r="B294" t="s">
        <v>5706</v>
      </c>
      <c r="C294" t="s">
        <v>74</v>
      </c>
      <c r="D294" t="s">
        <v>74</v>
      </c>
      <c r="E294" t="s">
        <v>74</v>
      </c>
      <c r="F294" t="s">
        <v>5707</v>
      </c>
      <c r="G294" t="s">
        <v>74</v>
      </c>
      <c r="H294" t="s">
        <v>74</v>
      </c>
      <c r="I294" t="s">
        <v>5708</v>
      </c>
      <c r="J294" t="s">
        <v>5060</v>
      </c>
      <c r="K294" t="s">
        <v>74</v>
      </c>
      <c r="L294" t="s">
        <v>74</v>
      </c>
      <c r="M294" t="s">
        <v>78</v>
      </c>
      <c r="N294" t="s">
        <v>79</v>
      </c>
      <c r="O294" t="s">
        <v>74</v>
      </c>
      <c r="P294" t="s">
        <v>74</v>
      </c>
      <c r="Q294" t="s">
        <v>74</v>
      </c>
      <c r="R294" t="s">
        <v>74</v>
      </c>
      <c r="S294" t="s">
        <v>74</v>
      </c>
      <c r="T294" t="s">
        <v>5709</v>
      </c>
      <c r="U294" t="s">
        <v>5710</v>
      </c>
      <c r="V294" t="s">
        <v>5711</v>
      </c>
      <c r="W294" t="s">
        <v>5712</v>
      </c>
      <c r="X294" t="s">
        <v>5713</v>
      </c>
      <c r="Y294" t="s">
        <v>5714</v>
      </c>
      <c r="Z294" t="s">
        <v>5715</v>
      </c>
      <c r="AA294" t="s">
        <v>5716</v>
      </c>
      <c r="AB294" t="s">
        <v>5717</v>
      </c>
      <c r="AC294" t="s">
        <v>5718</v>
      </c>
      <c r="AD294" t="s">
        <v>5719</v>
      </c>
      <c r="AE294" t="s">
        <v>5720</v>
      </c>
      <c r="AF294" t="s">
        <v>74</v>
      </c>
      <c r="AG294">
        <v>84</v>
      </c>
      <c r="AH294">
        <v>9</v>
      </c>
      <c r="AI294">
        <v>10</v>
      </c>
      <c r="AJ294">
        <v>1</v>
      </c>
      <c r="AK294">
        <v>38</v>
      </c>
      <c r="AL294" t="s">
        <v>4363</v>
      </c>
      <c r="AM294" t="s">
        <v>4364</v>
      </c>
      <c r="AN294" t="s">
        <v>4365</v>
      </c>
      <c r="AO294" t="s">
        <v>5073</v>
      </c>
      <c r="AP294" t="s">
        <v>5074</v>
      </c>
      <c r="AQ294" t="s">
        <v>74</v>
      </c>
      <c r="AR294" t="s">
        <v>5075</v>
      </c>
      <c r="AS294" t="s">
        <v>5076</v>
      </c>
      <c r="AT294" t="s">
        <v>74</v>
      </c>
      <c r="AU294">
        <v>2013</v>
      </c>
      <c r="AV294">
        <v>491</v>
      </c>
      <c r="AW294" t="s">
        <v>74</v>
      </c>
      <c r="AX294" t="s">
        <v>74</v>
      </c>
      <c r="AY294" t="s">
        <v>74</v>
      </c>
      <c r="AZ294" t="s">
        <v>74</v>
      </c>
      <c r="BA294" t="s">
        <v>74</v>
      </c>
      <c r="BB294">
        <v>265</v>
      </c>
      <c r="BC294" t="s">
        <v>99</v>
      </c>
      <c r="BD294" t="s">
        <v>74</v>
      </c>
      <c r="BE294" t="s">
        <v>5721</v>
      </c>
      <c r="BF294" t="str">
        <f>HYPERLINK("http://dx.doi.org/10.3354/meps10487","http://dx.doi.org/10.3354/meps10487")</f>
        <v>http://dx.doi.org/10.3354/meps10487</v>
      </c>
      <c r="BG294" t="s">
        <v>74</v>
      </c>
      <c r="BH294" t="s">
        <v>74</v>
      </c>
      <c r="BI294">
        <v>16</v>
      </c>
      <c r="BJ294" t="s">
        <v>5078</v>
      </c>
      <c r="BK294" t="s">
        <v>102</v>
      </c>
      <c r="BL294" t="s">
        <v>5079</v>
      </c>
      <c r="BM294" t="s">
        <v>5722</v>
      </c>
      <c r="BN294" t="s">
        <v>74</v>
      </c>
      <c r="BO294" t="s">
        <v>128</v>
      </c>
      <c r="BP294" t="s">
        <v>74</v>
      </c>
      <c r="BQ294" t="s">
        <v>74</v>
      </c>
      <c r="BR294" t="s">
        <v>105</v>
      </c>
      <c r="BS294" t="s">
        <v>5723</v>
      </c>
      <c r="BT294" t="str">
        <f>HYPERLINK("https%3A%2F%2Fwww.webofscience.com%2Fwos%2Fwoscc%2Ffull-record%2FWOS:000325282500020","View Full Record in Web of Science")</f>
        <v>View Full Record in Web of Science</v>
      </c>
    </row>
    <row r="295" spans="1:72" x14ac:dyDescent="0.15">
      <c r="A295" t="s">
        <v>72</v>
      </c>
      <c r="B295" t="s">
        <v>5724</v>
      </c>
      <c r="C295" t="s">
        <v>74</v>
      </c>
      <c r="D295" t="s">
        <v>74</v>
      </c>
      <c r="E295" t="s">
        <v>74</v>
      </c>
      <c r="F295" t="s">
        <v>5725</v>
      </c>
      <c r="G295" t="s">
        <v>74</v>
      </c>
      <c r="H295" t="s">
        <v>74</v>
      </c>
      <c r="I295" t="s">
        <v>5726</v>
      </c>
      <c r="J295" t="s">
        <v>4495</v>
      </c>
      <c r="K295" t="s">
        <v>74</v>
      </c>
      <c r="L295" t="s">
        <v>74</v>
      </c>
      <c r="M295" t="s">
        <v>78</v>
      </c>
      <c r="N295" t="s">
        <v>79</v>
      </c>
      <c r="O295" t="s">
        <v>74</v>
      </c>
      <c r="P295" t="s">
        <v>74</v>
      </c>
      <c r="Q295" t="s">
        <v>74</v>
      </c>
      <c r="R295" t="s">
        <v>74</v>
      </c>
      <c r="S295" t="s">
        <v>74</v>
      </c>
      <c r="T295" t="s">
        <v>5727</v>
      </c>
      <c r="U295" t="s">
        <v>5728</v>
      </c>
      <c r="V295" t="s">
        <v>5729</v>
      </c>
      <c r="W295" t="s">
        <v>5730</v>
      </c>
      <c r="X295" t="s">
        <v>5731</v>
      </c>
      <c r="Y295" t="s">
        <v>5732</v>
      </c>
      <c r="Z295" t="s">
        <v>5733</v>
      </c>
      <c r="AA295" t="s">
        <v>5734</v>
      </c>
      <c r="AB295" t="s">
        <v>5735</v>
      </c>
      <c r="AC295" t="s">
        <v>5736</v>
      </c>
      <c r="AD295" t="s">
        <v>5737</v>
      </c>
      <c r="AE295" t="s">
        <v>5738</v>
      </c>
      <c r="AF295" t="s">
        <v>74</v>
      </c>
      <c r="AG295">
        <v>82</v>
      </c>
      <c r="AH295">
        <v>4</v>
      </c>
      <c r="AI295">
        <v>4</v>
      </c>
      <c r="AJ295">
        <v>2</v>
      </c>
      <c r="AK295">
        <v>33</v>
      </c>
      <c r="AL295" t="s">
        <v>4506</v>
      </c>
      <c r="AM295" t="s">
        <v>4507</v>
      </c>
      <c r="AN295" t="s">
        <v>4508</v>
      </c>
      <c r="AO295" t="s">
        <v>4509</v>
      </c>
      <c r="AP295" t="s">
        <v>4510</v>
      </c>
      <c r="AQ295" t="s">
        <v>74</v>
      </c>
      <c r="AR295" t="s">
        <v>4511</v>
      </c>
      <c r="AS295" t="s">
        <v>4512</v>
      </c>
      <c r="AT295" t="s">
        <v>74</v>
      </c>
      <c r="AU295">
        <v>2013</v>
      </c>
      <c r="AV295">
        <v>32</v>
      </c>
      <c r="AW295" t="s">
        <v>74</v>
      </c>
      <c r="AX295" t="s">
        <v>74</v>
      </c>
      <c r="AY295" t="s">
        <v>74</v>
      </c>
      <c r="AZ295" t="s">
        <v>74</v>
      </c>
      <c r="BA295" t="s">
        <v>74</v>
      </c>
      <c r="BB295" t="s">
        <v>74</v>
      </c>
      <c r="BC295" t="s">
        <v>74</v>
      </c>
      <c r="BD295">
        <v>11191</v>
      </c>
      <c r="BE295" t="s">
        <v>5739</v>
      </c>
      <c r="BF295" t="str">
        <f>HYPERLINK("http://dx.doi.org/10.3402/polar.v32i0.11191","http://dx.doi.org/10.3402/polar.v32i0.11191")</f>
        <v>http://dx.doi.org/10.3402/polar.v32i0.11191</v>
      </c>
      <c r="BG295" t="s">
        <v>74</v>
      </c>
      <c r="BH295" t="s">
        <v>74</v>
      </c>
      <c r="BI295">
        <v>17</v>
      </c>
      <c r="BJ295" t="s">
        <v>4514</v>
      </c>
      <c r="BK295" t="s">
        <v>102</v>
      </c>
      <c r="BL295" t="s">
        <v>4515</v>
      </c>
      <c r="BM295" t="s">
        <v>5740</v>
      </c>
      <c r="BN295" t="s">
        <v>74</v>
      </c>
      <c r="BO295" t="s">
        <v>1719</v>
      </c>
      <c r="BP295" t="s">
        <v>74</v>
      </c>
      <c r="BQ295" t="s">
        <v>74</v>
      </c>
      <c r="BR295" t="s">
        <v>105</v>
      </c>
      <c r="BS295" t="s">
        <v>5741</v>
      </c>
      <c r="BT295" t="str">
        <f>HYPERLINK("https%3A%2F%2Fwww.webofscience.com%2Fwos%2Fwoscc%2Ffull-record%2FWOS:000325342200001","View Full Record in Web of Science")</f>
        <v>View Full Record in Web of Science</v>
      </c>
    </row>
    <row r="296" spans="1:72" x14ac:dyDescent="0.15">
      <c r="A296" t="s">
        <v>72</v>
      </c>
      <c r="B296" t="s">
        <v>5742</v>
      </c>
      <c r="C296" t="s">
        <v>74</v>
      </c>
      <c r="D296" t="s">
        <v>74</v>
      </c>
      <c r="E296" t="s">
        <v>74</v>
      </c>
      <c r="F296" t="s">
        <v>5743</v>
      </c>
      <c r="G296" t="s">
        <v>74</v>
      </c>
      <c r="H296" t="s">
        <v>74</v>
      </c>
      <c r="I296" t="s">
        <v>5744</v>
      </c>
      <c r="J296" t="s">
        <v>4814</v>
      </c>
      <c r="K296" t="s">
        <v>74</v>
      </c>
      <c r="L296" t="s">
        <v>74</v>
      </c>
      <c r="M296" t="s">
        <v>78</v>
      </c>
      <c r="N296" t="s">
        <v>79</v>
      </c>
      <c r="O296" t="s">
        <v>74</v>
      </c>
      <c r="P296" t="s">
        <v>74</v>
      </c>
      <c r="Q296" t="s">
        <v>74</v>
      </c>
      <c r="R296" t="s">
        <v>74</v>
      </c>
      <c r="S296" t="s">
        <v>74</v>
      </c>
      <c r="T296" t="s">
        <v>5745</v>
      </c>
      <c r="U296" t="s">
        <v>5746</v>
      </c>
      <c r="V296" t="s">
        <v>5747</v>
      </c>
      <c r="W296" t="s">
        <v>5748</v>
      </c>
      <c r="X296" t="s">
        <v>5749</v>
      </c>
      <c r="Y296" t="s">
        <v>5750</v>
      </c>
      <c r="Z296" t="s">
        <v>5751</v>
      </c>
      <c r="AA296" t="s">
        <v>5752</v>
      </c>
      <c r="AB296" t="s">
        <v>5753</v>
      </c>
      <c r="AC296" t="s">
        <v>5754</v>
      </c>
      <c r="AD296" t="s">
        <v>5755</v>
      </c>
      <c r="AE296" t="s">
        <v>5756</v>
      </c>
      <c r="AF296" t="s">
        <v>74</v>
      </c>
      <c r="AG296">
        <v>40</v>
      </c>
      <c r="AH296">
        <v>15</v>
      </c>
      <c r="AI296">
        <v>15</v>
      </c>
      <c r="AJ296">
        <v>0</v>
      </c>
      <c r="AK296">
        <v>9</v>
      </c>
      <c r="AL296" t="s">
        <v>4827</v>
      </c>
      <c r="AM296" t="s">
        <v>4828</v>
      </c>
      <c r="AN296" t="s">
        <v>4829</v>
      </c>
      <c r="AO296" t="s">
        <v>4830</v>
      </c>
      <c r="AP296" t="s">
        <v>4831</v>
      </c>
      <c r="AQ296" t="s">
        <v>74</v>
      </c>
      <c r="AR296" t="s">
        <v>4832</v>
      </c>
      <c r="AS296" t="s">
        <v>4833</v>
      </c>
      <c r="AT296" t="s">
        <v>74</v>
      </c>
      <c r="AU296">
        <v>2013</v>
      </c>
      <c r="AV296">
        <v>34</v>
      </c>
      <c r="AW296">
        <v>3</v>
      </c>
      <c r="AX296" t="s">
        <v>74</v>
      </c>
      <c r="AY296" t="s">
        <v>74</v>
      </c>
      <c r="AZ296" t="s">
        <v>74</v>
      </c>
      <c r="BA296" t="s">
        <v>74</v>
      </c>
      <c r="BB296">
        <v>237</v>
      </c>
      <c r="BC296">
        <v>252</v>
      </c>
      <c r="BD296" t="s">
        <v>74</v>
      </c>
      <c r="BE296" t="s">
        <v>5757</v>
      </c>
      <c r="BF296" t="str">
        <f>HYPERLINK("http://dx.doi.org/10.2478/popore-2013-0020","http://dx.doi.org/10.2478/popore-2013-0020")</f>
        <v>http://dx.doi.org/10.2478/popore-2013-0020</v>
      </c>
      <c r="BG296" t="s">
        <v>74</v>
      </c>
      <c r="BH296" t="s">
        <v>74</v>
      </c>
      <c r="BI296">
        <v>16</v>
      </c>
      <c r="BJ296" t="s">
        <v>4835</v>
      </c>
      <c r="BK296" t="s">
        <v>102</v>
      </c>
      <c r="BL296" t="s">
        <v>4836</v>
      </c>
      <c r="BM296" t="s">
        <v>5758</v>
      </c>
      <c r="BN296" t="s">
        <v>74</v>
      </c>
      <c r="BO296" t="s">
        <v>5759</v>
      </c>
      <c r="BP296" t="s">
        <v>74</v>
      </c>
      <c r="BQ296" t="s">
        <v>74</v>
      </c>
      <c r="BR296" t="s">
        <v>105</v>
      </c>
      <c r="BS296" t="s">
        <v>5760</v>
      </c>
      <c r="BT296" t="str">
        <f>HYPERLINK("https%3A%2F%2Fwww.webofscience.com%2Fwos%2Fwoscc%2Ffull-record%2FWOS:000325316600001","View Full Record in Web of Science")</f>
        <v>View Full Record in Web of Science</v>
      </c>
    </row>
    <row r="297" spans="1:72" x14ac:dyDescent="0.15">
      <c r="A297" t="s">
        <v>72</v>
      </c>
      <c r="B297" t="s">
        <v>5761</v>
      </c>
      <c r="C297" t="s">
        <v>74</v>
      </c>
      <c r="D297" t="s">
        <v>74</v>
      </c>
      <c r="E297" t="s">
        <v>74</v>
      </c>
      <c r="F297" t="s">
        <v>5762</v>
      </c>
      <c r="G297" t="s">
        <v>74</v>
      </c>
      <c r="H297" t="s">
        <v>74</v>
      </c>
      <c r="I297" t="s">
        <v>5763</v>
      </c>
      <c r="J297" t="s">
        <v>4814</v>
      </c>
      <c r="K297" t="s">
        <v>74</v>
      </c>
      <c r="L297" t="s">
        <v>74</v>
      </c>
      <c r="M297" t="s">
        <v>78</v>
      </c>
      <c r="N297" t="s">
        <v>79</v>
      </c>
      <c r="O297" t="s">
        <v>74</v>
      </c>
      <c r="P297" t="s">
        <v>74</v>
      </c>
      <c r="Q297" t="s">
        <v>74</v>
      </c>
      <c r="R297" t="s">
        <v>74</v>
      </c>
      <c r="S297" t="s">
        <v>74</v>
      </c>
      <c r="T297" t="s">
        <v>5764</v>
      </c>
      <c r="U297" t="s">
        <v>5765</v>
      </c>
      <c r="V297" t="s">
        <v>5766</v>
      </c>
      <c r="W297" t="s">
        <v>5767</v>
      </c>
      <c r="X297" t="s">
        <v>5768</v>
      </c>
      <c r="Y297" t="s">
        <v>5769</v>
      </c>
      <c r="Z297" t="s">
        <v>5770</v>
      </c>
      <c r="AA297" t="s">
        <v>5771</v>
      </c>
      <c r="AB297" t="s">
        <v>5772</v>
      </c>
      <c r="AC297" t="s">
        <v>5773</v>
      </c>
      <c r="AD297" t="s">
        <v>5774</v>
      </c>
      <c r="AE297" t="s">
        <v>5775</v>
      </c>
      <c r="AF297" t="s">
        <v>74</v>
      </c>
      <c r="AG297">
        <v>53</v>
      </c>
      <c r="AH297">
        <v>4</v>
      </c>
      <c r="AI297">
        <v>4</v>
      </c>
      <c r="AJ297">
        <v>0</v>
      </c>
      <c r="AK297">
        <v>11</v>
      </c>
      <c r="AL297" t="s">
        <v>4887</v>
      </c>
      <c r="AM297" t="s">
        <v>4317</v>
      </c>
      <c r="AN297" t="s">
        <v>4888</v>
      </c>
      <c r="AO297" t="s">
        <v>4830</v>
      </c>
      <c r="AP297" t="s">
        <v>74</v>
      </c>
      <c r="AQ297" t="s">
        <v>74</v>
      </c>
      <c r="AR297" t="s">
        <v>4832</v>
      </c>
      <c r="AS297" t="s">
        <v>4833</v>
      </c>
      <c r="AT297" t="s">
        <v>74</v>
      </c>
      <c r="AU297">
        <v>2013</v>
      </c>
      <c r="AV297">
        <v>34</v>
      </c>
      <c r="AW297">
        <v>3</v>
      </c>
      <c r="AX297" t="s">
        <v>74</v>
      </c>
      <c r="AY297" t="s">
        <v>74</v>
      </c>
      <c r="AZ297" t="s">
        <v>74</v>
      </c>
      <c r="BA297" t="s">
        <v>74</v>
      </c>
      <c r="BB297">
        <v>269</v>
      </c>
      <c r="BC297">
        <v>278</v>
      </c>
      <c r="BD297" t="s">
        <v>74</v>
      </c>
      <c r="BE297" t="s">
        <v>5776</v>
      </c>
      <c r="BF297" t="str">
        <f>HYPERLINK("http://dx.doi.org/10.2478/popore-2013-0015","http://dx.doi.org/10.2478/popore-2013-0015")</f>
        <v>http://dx.doi.org/10.2478/popore-2013-0015</v>
      </c>
      <c r="BG297" t="s">
        <v>74</v>
      </c>
      <c r="BH297" t="s">
        <v>74</v>
      </c>
      <c r="BI297">
        <v>10</v>
      </c>
      <c r="BJ297" t="s">
        <v>4835</v>
      </c>
      <c r="BK297" t="s">
        <v>102</v>
      </c>
      <c r="BL297" t="s">
        <v>4836</v>
      </c>
      <c r="BM297" t="s">
        <v>5758</v>
      </c>
      <c r="BN297" t="s">
        <v>74</v>
      </c>
      <c r="BO297" t="s">
        <v>155</v>
      </c>
      <c r="BP297" t="s">
        <v>74</v>
      </c>
      <c r="BQ297" t="s">
        <v>74</v>
      </c>
      <c r="BR297" t="s">
        <v>105</v>
      </c>
      <c r="BS297" t="s">
        <v>5777</v>
      </c>
      <c r="BT297" t="str">
        <f>HYPERLINK("https%3A%2F%2Fwww.webofscience.com%2Fwos%2Fwoscc%2Ffull-record%2FWOS:000325316600003","View Full Record in Web of Science")</f>
        <v>View Full Record in Web of Science</v>
      </c>
    </row>
    <row r="298" spans="1:72" x14ac:dyDescent="0.15">
      <c r="A298" t="s">
        <v>72</v>
      </c>
      <c r="B298" t="s">
        <v>5778</v>
      </c>
      <c r="C298" t="s">
        <v>74</v>
      </c>
      <c r="D298" t="s">
        <v>74</v>
      </c>
      <c r="E298" t="s">
        <v>74</v>
      </c>
      <c r="F298" t="s">
        <v>5779</v>
      </c>
      <c r="G298" t="s">
        <v>74</v>
      </c>
      <c r="H298" t="s">
        <v>74</v>
      </c>
      <c r="I298" t="s">
        <v>5780</v>
      </c>
      <c r="J298" t="s">
        <v>5781</v>
      </c>
      <c r="K298" t="s">
        <v>74</v>
      </c>
      <c r="L298" t="s">
        <v>74</v>
      </c>
      <c r="M298" t="s">
        <v>78</v>
      </c>
      <c r="N298" t="s">
        <v>79</v>
      </c>
      <c r="O298" t="s">
        <v>74</v>
      </c>
      <c r="P298" t="s">
        <v>74</v>
      </c>
      <c r="Q298" t="s">
        <v>74</v>
      </c>
      <c r="R298" t="s">
        <v>74</v>
      </c>
      <c r="S298" t="s">
        <v>74</v>
      </c>
      <c r="T298" t="s">
        <v>74</v>
      </c>
      <c r="U298" t="s">
        <v>5782</v>
      </c>
      <c r="V298" t="s">
        <v>5783</v>
      </c>
      <c r="W298" t="s">
        <v>5784</v>
      </c>
      <c r="X298" t="s">
        <v>5785</v>
      </c>
      <c r="Y298" t="s">
        <v>5786</v>
      </c>
      <c r="Z298" t="s">
        <v>5787</v>
      </c>
      <c r="AA298" t="s">
        <v>5788</v>
      </c>
      <c r="AB298" t="s">
        <v>5789</v>
      </c>
      <c r="AC298" t="s">
        <v>5790</v>
      </c>
      <c r="AD298" t="s">
        <v>5791</v>
      </c>
      <c r="AE298" t="s">
        <v>5792</v>
      </c>
      <c r="AF298" t="s">
        <v>74</v>
      </c>
      <c r="AG298">
        <v>38</v>
      </c>
      <c r="AH298">
        <v>20</v>
      </c>
      <c r="AI298">
        <v>24</v>
      </c>
      <c r="AJ298">
        <v>0</v>
      </c>
      <c r="AK298">
        <v>14</v>
      </c>
      <c r="AL298" t="s">
        <v>816</v>
      </c>
      <c r="AM298" t="s">
        <v>2038</v>
      </c>
      <c r="AN298" t="s">
        <v>4484</v>
      </c>
      <c r="AO298" t="s">
        <v>5793</v>
      </c>
      <c r="AP298" t="s">
        <v>5794</v>
      </c>
      <c r="AQ298" t="s">
        <v>74</v>
      </c>
      <c r="AR298" t="s">
        <v>5795</v>
      </c>
      <c r="AS298" t="s">
        <v>5796</v>
      </c>
      <c r="AT298" t="s">
        <v>74</v>
      </c>
      <c r="AU298">
        <v>2013</v>
      </c>
      <c r="AV298">
        <v>54</v>
      </c>
      <c r="AW298">
        <v>64</v>
      </c>
      <c r="AX298" t="s">
        <v>74</v>
      </c>
      <c r="AY298" t="s">
        <v>74</v>
      </c>
      <c r="AZ298" t="s">
        <v>74</v>
      </c>
      <c r="BA298" t="s">
        <v>74</v>
      </c>
      <c r="BB298">
        <v>27</v>
      </c>
      <c r="BC298">
        <v>32</v>
      </c>
      <c r="BD298" t="s">
        <v>74</v>
      </c>
      <c r="BE298" t="s">
        <v>5797</v>
      </c>
      <c r="BF298" t="str">
        <f>HYPERLINK("http://dx.doi.org/10.3189/2013AoG64A110","http://dx.doi.org/10.3189/2013AoG64A110")</f>
        <v>http://dx.doi.org/10.3189/2013AoG64A110</v>
      </c>
      <c r="BG298" t="s">
        <v>74</v>
      </c>
      <c r="BH298" t="s">
        <v>74</v>
      </c>
      <c r="BI298">
        <v>6</v>
      </c>
      <c r="BJ298" t="s">
        <v>2261</v>
      </c>
      <c r="BK298" t="s">
        <v>102</v>
      </c>
      <c r="BL298" t="s">
        <v>2262</v>
      </c>
      <c r="BM298" t="s">
        <v>5798</v>
      </c>
      <c r="BN298" t="s">
        <v>74</v>
      </c>
      <c r="BO298" t="s">
        <v>128</v>
      </c>
      <c r="BP298" t="s">
        <v>74</v>
      </c>
      <c r="BQ298" t="s">
        <v>74</v>
      </c>
      <c r="BR298" t="s">
        <v>105</v>
      </c>
      <c r="BS298" t="s">
        <v>5799</v>
      </c>
      <c r="BT298" t="str">
        <f>HYPERLINK("https%3A%2F%2Fwww.webofscience.com%2Fwos%2Fwoscc%2Ffull-record%2FWOS:000324720300005","View Full Record in Web of Science")</f>
        <v>View Full Record in Web of Science</v>
      </c>
    </row>
    <row r="299" spans="1:72" x14ac:dyDescent="0.15">
      <c r="A299" t="s">
        <v>72</v>
      </c>
      <c r="B299" t="s">
        <v>5800</v>
      </c>
      <c r="C299" t="s">
        <v>74</v>
      </c>
      <c r="D299" t="s">
        <v>74</v>
      </c>
      <c r="E299" t="s">
        <v>74</v>
      </c>
      <c r="F299" t="s">
        <v>5801</v>
      </c>
      <c r="G299" t="s">
        <v>74</v>
      </c>
      <c r="H299" t="s">
        <v>74</v>
      </c>
      <c r="I299" t="s">
        <v>5802</v>
      </c>
      <c r="J299" t="s">
        <v>5781</v>
      </c>
      <c r="K299" t="s">
        <v>74</v>
      </c>
      <c r="L299" t="s">
        <v>74</v>
      </c>
      <c r="M299" t="s">
        <v>78</v>
      </c>
      <c r="N299" t="s">
        <v>79</v>
      </c>
      <c r="O299" t="s">
        <v>74</v>
      </c>
      <c r="P299" t="s">
        <v>74</v>
      </c>
      <c r="Q299" t="s">
        <v>74</v>
      </c>
      <c r="R299" t="s">
        <v>74</v>
      </c>
      <c r="S299" t="s">
        <v>74</v>
      </c>
      <c r="T299" t="s">
        <v>74</v>
      </c>
      <c r="U299" t="s">
        <v>5803</v>
      </c>
      <c r="V299" t="s">
        <v>5804</v>
      </c>
      <c r="W299" t="s">
        <v>5805</v>
      </c>
      <c r="X299" t="s">
        <v>5806</v>
      </c>
      <c r="Y299" t="s">
        <v>5807</v>
      </c>
      <c r="Z299" t="s">
        <v>5808</v>
      </c>
      <c r="AA299" t="s">
        <v>5809</v>
      </c>
      <c r="AB299" t="s">
        <v>5810</v>
      </c>
      <c r="AC299" t="s">
        <v>5811</v>
      </c>
      <c r="AD299" t="s">
        <v>5812</v>
      </c>
      <c r="AE299" t="s">
        <v>5813</v>
      </c>
      <c r="AF299" t="s">
        <v>74</v>
      </c>
      <c r="AG299">
        <v>43</v>
      </c>
      <c r="AH299">
        <v>17</v>
      </c>
      <c r="AI299">
        <v>19</v>
      </c>
      <c r="AJ299">
        <v>0</v>
      </c>
      <c r="AK299">
        <v>8</v>
      </c>
      <c r="AL299" t="s">
        <v>5814</v>
      </c>
      <c r="AM299" t="s">
        <v>2038</v>
      </c>
      <c r="AN299" t="s">
        <v>5815</v>
      </c>
      <c r="AO299" t="s">
        <v>5793</v>
      </c>
      <c r="AP299" t="s">
        <v>74</v>
      </c>
      <c r="AQ299" t="s">
        <v>74</v>
      </c>
      <c r="AR299" t="s">
        <v>5795</v>
      </c>
      <c r="AS299" t="s">
        <v>5796</v>
      </c>
      <c r="AT299" t="s">
        <v>74</v>
      </c>
      <c r="AU299">
        <v>2013</v>
      </c>
      <c r="AV299">
        <v>54</v>
      </c>
      <c r="AW299">
        <v>64</v>
      </c>
      <c r="AX299" t="s">
        <v>74</v>
      </c>
      <c r="AY299" t="s">
        <v>74</v>
      </c>
      <c r="AZ299" t="s">
        <v>74</v>
      </c>
      <c r="BA299" t="s">
        <v>74</v>
      </c>
      <c r="BB299">
        <v>189</v>
      </c>
      <c r="BC299">
        <v>200</v>
      </c>
      <c r="BD299" t="s">
        <v>74</v>
      </c>
      <c r="BE299" t="s">
        <v>5816</v>
      </c>
      <c r="BF299" t="str">
        <f>HYPERLINK("http://dx.doi.org/10.3189/2013AoG64A064","http://dx.doi.org/10.3189/2013AoG64A064")</f>
        <v>http://dx.doi.org/10.3189/2013AoG64A064</v>
      </c>
      <c r="BG299" t="s">
        <v>74</v>
      </c>
      <c r="BH299" t="s">
        <v>74</v>
      </c>
      <c r="BI299">
        <v>12</v>
      </c>
      <c r="BJ299" t="s">
        <v>2261</v>
      </c>
      <c r="BK299" t="s">
        <v>102</v>
      </c>
      <c r="BL299" t="s">
        <v>2262</v>
      </c>
      <c r="BM299" t="s">
        <v>5798</v>
      </c>
      <c r="BN299" t="s">
        <v>74</v>
      </c>
      <c r="BO299" t="s">
        <v>128</v>
      </c>
      <c r="BP299" t="s">
        <v>74</v>
      </c>
      <c r="BQ299" t="s">
        <v>74</v>
      </c>
      <c r="BR299" t="s">
        <v>105</v>
      </c>
      <c r="BS299" t="s">
        <v>5817</v>
      </c>
      <c r="BT299" t="str">
        <f>HYPERLINK("https%3A%2F%2Fwww.webofscience.com%2Fwos%2Fwoscc%2Ffull-record%2FWOS:000324720300024","View Full Record in Web of Science")</f>
        <v>View Full Record in Web of Science</v>
      </c>
    </row>
    <row r="300" spans="1:72" x14ac:dyDescent="0.15">
      <c r="A300" t="s">
        <v>72</v>
      </c>
      <c r="B300" t="s">
        <v>5818</v>
      </c>
      <c r="C300" t="s">
        <v>74</v>
      </c>
      <c r="D300" t="s">
        <v>74</v>
      </c>
      <c r="E300" t="s">
        <v>74</v>
      </c>
      <c r="F300" t="s">
        <v>5819</v>
      </c>
      <c r="G300" t="s">
        <v>74</v>
      </c>
      <c r="H300" t="s">
        <v>74</v>
      </c>
      <c r="I300" t="s">
        <v>5820</v>
      </c>
      <c r="J300" t="s">
        <v>5821</v>
      </c>
      <c r="K300" t="s">
        <v>74</v>
      </c>
      <c r="L300" t="s">
        <v>74</v>
      </c>
      <c r="M300" t="s">
        <v>78</v>
      </c>
      <c r="N300" t="s">
        <v>79</v>
      </c>
      <c r="O300" t="s">
        <v>74</v>
      </c>
      <c r="P300" t="s">
        <v>74</v>
      </c>
      <c r="Q300" t="s">
        <v>74</v>
      </c>
      <c r="R300" t="s">
        <v>74</v>
      </c>
      <c r="S300" t="s">
        <v>74</v>
      </c>
      <c r="T300" t="s">
        <v>74</v>
      </c>
      <c r="U300" t="s">
        <v>5822</v>
      </c>
      <c r="V300" t="s">
        <v>5823</v>
      </c>
      <c r="W300" t="s">
        <v>5824</v>
      </c>
      <c r="X300" t="s">
        <v>5825</v>
      </c>
      <c r="Y300" t="s">
        <v>5826</v>
      </c>
      <c r="Z300" t="s">
        <v>5827</v>
      </c>
      <c r="AA300" t="s">
        <v>5828</v>
      </c>
      <c r="AB300" t="s">
        <v>5829</v>
      </c>
      <c r="AC300" t="s">
        <v>5830</v>
      </c>
      <c r="AD300" t="s">
        <v>5831</v>
      </c>
      <c r="AE300" t="s">
        <v>5832</v>
      </c>
      <c r="AF300" t="s">
        <v>74</v>
      </c>
      <c r="AG300">
        <v>61</v>
      </c>
      <c r="AH300">
        <v>30</v>
      </c>
      <c r="AI300">
        <v>32</v>
      </c>
      <c r="AJ300">
        <v>0</v>
      </c>
      <c r="AK300">
        <v>37</v>
      </c>
      <c r="AL300" t="s">
        <v>4248</v>
      </c>
      <c r="AM300" t="s">
        <v>4249</v>
      </c>
      <c r="AN300" t="s">
        <v>4250</v>
      </c>
      <c r="AO300" t="s">
        <v>5833</v>
      </c>
      <c r="AP300" t="s">
        <v>5834</v>
      </c>
      <c r="AQ300" t="s">
        <v>74</v>
      </c>
      <c r="AR300" t="s">
        <v>5821</v>
      </c>
      <c r="AS300" t="s">
        <v>5835</v>
      </c>
      <c r="AT300" t="s">
        <v>74</v>
      </c>
      <c r="AU300">
        <v>2013</v>
      </c>
      <c r="AV300">
        <v>10</v>
      </c>
      <c r="AW300">
        <v>7</v>
      </c>
      <c r="AX300" t="s">
        <v>74</v>
      </c>
      <c r="AY300" t="s">
        <v>74</v>
      </c>
      <c r="AZ300" t="s">
        <v>74</v>
      </c>
      <c r="BA300" t="s">
        <v>74</v>
      </c>
      <c r="BB300">
        <v>5079</v>
      </c>
      <c r="BC300">
        <v>5093</v>
      </c>
      <c r="BD300" t="s">
        <v>74</v>
      </c>
      <c r="BE300" t="s">
        <v>5836</v>
      </c>
      <c r="BF300" t="str">
        <f>HYPERLINK("http://dx.doi.org/10.5194/bg-10-5079-2013","http://dx.doi.org/10.5194/bg-10-5079-2013")</f>
        <v>http://dx.doi.org/10.5194/bg-10-5079-2013</v>
      </c>
      <c r="BG300" t="s">
        <v>74</v>
      </c>
      <c r="BH300" t="s">
        <v>74</v>
      </c>
      <c r="BI300">
        <v>15</v>
      </c>
      <c r="BJ300" t="s">
        <v>4835</v>
      </c>
      <c r="BK300" t="s">
        <v>102</v>
      </c>
      <c r="BL300" t="s">
        <v>4836</v>
      </c>
      <c r="BM300" t="s">
        <v>5837</v>
      </c>
      <c r="BN300" t="s">
        <v>74</v>
      </c>
      <c r="BO300" t="s">
        <v>5838</v>
      </c>
      <c r="BP300" t="s">
        <v>74</v>
      </c>
      <c r="BQ300" t="s">
        <v>74</v>
      </c>
      <c r="BR300" t="s">
        <v>105</v>
      </c>
      <c r="BS300" t="s">
        <v>5839</v>
      </c>
      <c r="BT300" t="str">
        <f>HYPERLINK("https%3A%2F%2Fwww.webofscience.com%2Fwos%2Fwoscc%2Ffull-record%2FWOS:000324617300001","View Full Record in Web of Science")</f>
        <v>View Full Record in Web of Science</v>
      </c>
    </row>
    <row r="301" spans="1:72" x14ac:dyDescent="0.15">
      <c r="A301" t="s">
        <v>72</v>
      </c>
      <c r="B301" t="s">
        <v>5840</v>
      </c>
      <c r="C301" t="s">
        <v>74</v>
      </c>
      <c r="D301" t="s">
        <v>74</v>
      </c>
      <c r="E301" t="s">
        <v>74</v>
      </c>
      <c r="F301" t="s">
        <v>5841</v>
      </c>
      <c r="G301" t="s">
        <v>74</v>
      </c>
      <c r="H301" t="s">
        <v>74</v>
      </c>
      <c r="I301" t="s">
        <v>5842</v>
      </c>
      <c r="J301" t="s">
        <v>5843</v>
      </c>
      <c r="K301" t="s">
        <v>74</v>
      </c>
      <c r="L301" t="s">
        <v>74</v>
      </c>
      <c r="M301" t="s">
        <v>78</v>
      </c>
      <c r="N301" t="s">
        <v>79</v>
      </c>
      <c r="O301" t="s">
        <v>74</v>
      </c>
      <c r="P301" t="s">
        <v>74</v>
      </c>
      <c r="Q301" t="s">
        <v>74</v>
      </c>
      <c r="R301" t="s">
        <v>74</v>
      </c>
      <c r="S301" t="s">
        <v>74</v>
      </c>
      <c r="T301" t="s">
        <v>74</v>
      </c>
      <c r="U301" t="s">
        <v>5844</v>
      </c>
      <c r="V301" t="s">
        <v>5845</v>
      </c>
      <c r="W301" t="s">
        <v>5846</v>
      </c>
      <c r="X301" t="s">
        <v>5847</v>
      </c>
      <c r="Y301" t="s">
        <v>5848</v>
      </c>
      <c r="Z301" t="s">
        <v>5849</v>
      </c>
      <c r="AA301" t="s">
        <v>5850</v>
      </c>
      <c r="AB301" t="s">
        <v>5851</v>
      </c>
      <c r="AC301" t="s">
        <v>5852</v>
      </c>
      <c r="AD301" t="s">
        <v>5853</v>
      </c>
      <c r="AE301" t="s">
        <v>5854</v>
      </c>
      <c r="AF301" t="s">
        <v>74</v>
      </c>
      <c r="AG301">
        <v>34</v>
      </c>
      <c r="AH301">
        <v>3</v>
      </c>
      <c r="AI301">
        <v>4</v>
      </c>
      <c r="AJ301">
        <v>1</v>
      </c>
      <c r="AK301">
        <v>13</v>
      </c>
      <c r="AL301" t="s">
        <v>4437</v>
      </c>
      <c r="AM301" t="s">
        <v>296</v>
      </c>
      <c r="AN301" t="s">
        <v>4438</v>
      </c>
      <c r="AO301" t="s">
        <v>5855</v>
      </c>
      <c r="AP301" t="s">
        <v>74</v>
      </c>
      <c r="AQ301" t="s">
        <v>74</v>
      </c>
      <c r="AR301" t="s">
        <v>5856</v>
      </c>
      <c r="AS301" t="s">
        <v>5857</v>
      </c>
      <c r="AT301" t="s">
        <v>74</v>
      </c>
      <c r="AU301">
        <v>2013</v>
      </c>
      <c r="AV301" t="s">
        <v>74</v>
      </c>
      <c r="AW301" t="s">
        <v>74</v>
      </c>
      <c r="AX301" t="s">
        <v>74</v>
      </c>
      <c r="AY301" t="s">
        <v>74</v>
      </c>
      <c r="AZ301" t="s">
        <v>74</v>
      </c>
      <c r="BA301" t="s">
        <v>74</v>
      </c>
      <c r="BB301" t="s">
        <v>74</v>
      </c>
      <c r="BC301" t="s">
        <v>74</v>
      </c>
      <c r="BD301">
        <v>760378</v>
      </c>
      <c r="BE301" t="s">
        <v>5858</v>
      </c>
      <c r="BF301" t="str">
        <f>HYPERLINK("http://dx.doi.org/10.1155/2013/760378","http://dx.doi.org/10.1155/2013/760378")</f>
        <v>http://dx.doi.org/10.1155/2013/760378</v>
      </c>
      <c r="BG301" t="s">
        <v>74</v>
      </c>
      <c r="BH301" t="s">
        <v>74</v>
      </c>
      <c r="BI301">
        <v>8</v>
      </c>
      <c r="BJ301" t="s">
        <v>5859</v>
      </c>
      <c r="BK301" t="s">
        <v>102</v>
      </c>
      <c r="BL301" t="s">
        <v>5860</v>
      </c>
      <c r="BM301" t="s">
        <v>5861</v>
      </c>
      <c r="BN301" t="s">
        <v>74</v>
      </c>
      <c r="BO301" t="s">
        <v>2815</v>
      </c>
      <c r="BP301" t="s">
        <v>74</v>
      </c>
      <c r="BQ301" t="s">
        <v>74</v>
      </c>
      <c r="BR301" t="s">
        <v>105</v>
      </c>
      <c r="BS301" t="s">
        <v>5862</v>
      </c>
      <c r="BT301" t="str">
        <f>HYPERLINK("https%3A%2F%2Fwww.webofscience.com%2Fwos%2Fwoscc%2Ffull-record%2FWOS:000324708800001","View Full Record in Web of Science")</f>
        <v>View Full Record in Web of Science</v>
      </c>
    </row>
    <row r="302" spans="1:72" x14ac:dyDescent="0.15">
      <c r="A302" t="s">
        <v>72</v>
      </c>
      <c r="B302" t="s">
        <v>5863</v>
      </c>
      <c r="C302" t="s">
        <v>74</v>
      </c>
      <c r="D302" t="s">
        <v>74</v>
      </c>
      <c r="E302" t="s">
        <v>74</v>
      </c>
      <c r="F302" t="s">
        <v>5864</v>
      </c>
      <c r="G302" t="s">
        <v>74</v>
      </c>
      <c r="H302" t="s">
        <v>74</v>
      </c>
      <c r="I302" t="s">
        <v>5865</v>
      </c>
      <c r="J302" t="s">
        <v>5866</v>
      </c>
      <c r="K302" t="s">
        <v>74</v>
      </c>
      <c r="L302" t="s">
        <v>74</v>
      </c>
      <c r="M302" t="s">
        <v>78</v>
      </c>
      <c r="N302" t="s">
        <v>79</v>
      </c>
      <c r="O302" t="s">
        <v>74</v>
      </c>
      <c r="P302" t="s">
        <v>74</v>
      </c>
      <c r="Q302" t="s">
        <v>74</v>
      </c>
      <c r="R302" t="s">
        <v>74</v>
      </c>
      <c r="S302" t="s">
        <v>74</v>
      </c>
      <c r="T302" t="s">
        <v>5867</v>
      </c>
      <c r="U302" t="s">
        <v>5868</v>
      </c>
      <c r="V302" t="s">
        <v>5869</v>
      </c>
      <c r="W302" t="s">
        <v>5870</v>
      </c>
      <c r="X302" t="s">
        <v>5871</v>
      </c>
      <c r="Y302" t="s">
        <v>5872</v>
      </c>
      <c r="Z302" t="s">
        <v>5873</v>
      </c>
      <c r="AA302" t="s">
        <v>74</v>
      </c>
      <c r="AB302" t="s">
        <v>5874</v>
      </c>
      <c r="AC302" t="s">
        <v>5875</v>
      </c>
      <c r="AD302" t="s">
        <v>5876</v>
      </c>
      <c r="AE302" t="s">
        <v>5877</v>
      </c>
      <c r="AF302" t="s">
        <v>74</v>
      </c>
      <c r="AG302">
        <v>56</v>
      </c>
      <c r="AH302">
        <v>13</v>
      </c>
      <c r="AI302">
        <v>17</v>
      </c>
      <c r="AJ302">
        <v>0</v>
      </c>
      <c r="AK302">
        <v>11</v>
      </c>
      <c r="AL302" t="s">
        <v>1343</v>
      </c>
      <c r="AM302" t="s">
        <v>1344</v>
      </c>
      <c r="AN302" t="s">
        <v>1345</v>
      </c>
      <c r="AO302" t="s">
        <v>5878</v>
      </c>
      <c r="AP302" t="s">
        <v>5879</v>
      </c>
      <c r="AQ302" t="s">
        <v>74</v>
      </c>
      <c r="AR302" t="s">
        <v>5880</v>
      </c>
      <c r="AS302" t="s">
        <v>5881</v>
      </c>
      <c r="AT302" t="s">
        <v>74</v>
      </c>
      <c r="AU302">
        <v>2013</v>
      </c>
      <c r="AV302">
        <v>35</v>
      </c>
      <c r="AW302" t="s">
        <v>74</v>
      </c>
      <c r="AX302">
        <v>3</v>
      </c>
      <c r="AY302" t="s">
        <v>74</v>
      </c>
      <c r="AZ302" t="s">
        <v>74</v>
      </c>
      <c r="BA302" t="s">
        <v>74</v>
      </c>
      <c r="BB302">
        <v>157</v>
      </c>
      <c r="BC302">
        <v>172</v>
      </c>
      <c r="BD302" t="s">
        <v>74</v>
      </c>
      <c r="BE302" t="s">
        <v>5882</v>
      </c>
      <c r="BF302" t="str">
        <f>HYPERLINK("http://dx.doi.org/10.1179/1743282013Y.0000000066","http://dx.doi.org/10.1179/1743282013Y.0000000066")</f>
        <v>http://dx.doi.org/10.1179/1743282013Y.0000000066</v>
      </c>
      <c r="BG302" t="s">
        <v>74</v>
      </c>
      <c r="BH302" t="s">
        <v>74</v>
      </c>
      <c r="BI302">
        <v>16</v>
      </c>
      <c r="BJ302" t="s">
        <v>427</v>
      </c>
      <c r="BK302" t="s">
        <v>102</v>
      </c>
      <c r="BL302" t="s">
        <v>427</v>
      </c>
      <c r="BM302" t="s">
        <v>5883</v>
      </c>
      <c r="BN302" t="s">
        <v>74</v>
      </c>
      <c r="BO302" t="s">
        <v>74</v>
      </c>
      <c r="BP302" t="s">
        <v>74</v>
      </c>
      <c r="BQ302" t="s">
        <v>74</v>
      </c>
      <c r="BR302" t="s">
        <v>105</v>
      </c>
      <c r="BS302" t="s">
        <v>5884</v>
      </c>
      <c r="BT302" t="str">
        <f>HYPERLINK("https%3A%2F%2Fwww.webofscience.com%2Fwos%2Fwoscc%2Ffull-record%2FWOS:000324532700001","View Full Record in Web of Science")</f>
        <v>View Full Record in Web of Science</v>
      </c>
    </row>
    <row r="303" spans="1:72" x14ac:dyDescent="0.15">
      <c r="A303" t="s">
        <v>3251</v>
      </c>
      <c r="B303" t="s">
        <v>5885</v>
      </c>
      <c r="C303" t="s">
        <v>74</v>
      </c>
      <c r="D303" t="s">
        <v>5886</v>
      </c>
      <c r="E303" t="s">
        <v>74</v>
      </c>
      <c r="F303" t="s">
        <v>5887</v>
      </c>
      <c r="G303" t="s">
        <v>74</v>
      </c>
      <c r="H303" t="s">
        <v>74</v>
      </c>
      <c r="I303" t="s">
        <v>5888</v>
      </c>
      <c r="J303" t="s">
        <v>5889</v>
      </c>
      <c r="K303" t="s">
        <v>74</v>
      </c>
      <c r="L303" t="s">
        <v>74</v>
      </c>
      <c r="M303" t="s">
        <v>78</v>
      </c>
      <c r="N303" t="s">
        <v>3258</v>
      </c>
      <c r="O303" t="s">
        <v>74</v>
      </c>
      <c r="P303" t="s">
        <v>74</v>
      </c>
      <c r="Q303" t="s">
        <v>74</v>
      </c>
      <c r="R303" t="s">
        <v>74</v>
      </c>
      <c r="S303" t="s">
        <v>74</v>
      </c>
      <c r="T303" t="s">
        <v>74</v>
      </c>
      <c r="U303" t="s">
        <v>5890</v>
      </c>
      <c r="V303" t="s">
        <v>5891</v>
      </c>
      <c r="W303" t="s">
        <v>5892</v>
      </c>
      <c r="X303" t="s">
        <v>5893</v>
      </c>
      <c r="Y303" t="s">
        <v>5894</v>
      </c>
      <c r="Z303" t="s">
        <v>5895</v>
      </c>
      <c r="AA303" t="s">
        <v>5896</v>
      </c>
      <c r="AB303" t="s">
        <v>5897</v>
      </c>
      <c r="AC303" t="s">
        <v>74</v>
      </c>
      <c r="AD303" t="s">
        <v>74</v>
      </c>
      <c r="AE303" t="s">
        <v>74</v>
      </c>
      <c r="AF303" t="s">
        <v>74</v>
      </c>
      <c r="AG303">
        <v>163</v>
      </c>
      <c r="AH303">
        <v>4</v>
      </c>
      <c r="AI303">
        <v>4</v>
      </c>
      <c r="AJ303">
        <v>0</v>
      </c>
      <c r="AK303">
        <v>12</v>
      </c>
      <c r="AL303" t="s">
        <v>214</v>
      </c>
      <c r="AM303" t="s">
        <v>5898</v>
      </c>
      <c r="AN303" t="s">
        <v>5899</v>
      </c>
      <c r="AO303" t="s">
        <v>74</v>
      </c>
      <c r="AP303" t="s">
        <v>74</v>
      </c>
      <c r="AQ303" t="s">
        <v>5900</v>
      </c>
      <c r="AR303" t="s">
        <v>74</v>
      </c>
      <c r="AS303" t="s">
        <v>74</v>
      </c>
      <c r="AT303" t="s">
        <v>74</v>
      </c>
      <c r="AU303">
        <v>2013</v>
      </c>
      <c r="AV303" t="s">
        <v>74</v>
      </c>
      <c r="AW303" t="s">
        <v>74</v>
      </c>
      <c r="AX303" t="s">
        <v>74</v>
      </c>
      <c r="AY303" t="s">
        <v>74</v>
      </c>
      <c r="AZ303" t="s">
        <v>74</v>
      </c>
      <c r="BA303" t="s">
        <v>74</v>
      </c>
      <c r="BB303">
        <v>64</v>
      </c>
      <c r="BC303">
        <v>83</v>
      </c>
      <c r="BD303" t="s">
        <v>74</v>
      </c>
      <c r="BE303" t="s">
        <v>74</v>
      </c>
      <c r="BF303" t="s">
        <v>74</v>
      </c>
      <c r="BG303" t="s">
        <v>5901</v>
      </c>
      <c r="BH303" t="s">
        <v>74</v>
      </c>
      <c r="BI303">
        <v>20</v>
      </c>
      <c r="BJ303" t="s">
        <v>5902</v>
      </c>
      <c r="BK303" t="s">
        <v>3379</v>
      </c>
      <c r="BL303" t="s">
        <v>5902</v>
      </c>
      <c r="BM303" t="s">
        <v>5903</v>
      </c>
      <c r="BN303" t="s">
        <v>74</v>
      </c>
      <c r="BO303" t="s">
        <v>155</v>
      </c>
      <c r="BP303" t="s">
        <v>74</v>
      </c>
      <c r="BQ303" t="s">
        <v>74</v>
      </c>
      <c r="BR303" t="s">
        <v>105</v>
      </c>
      <c r="BS303" t="s">
        <v>5904</v>
      </c>
      <c r="BT303" t="str">
        <f>HYPERLINK("https%3A%2F%2Fwww.webofscience.com%2Fwos%2Fwoscc%2Ffull-record%2FWOS:000324196700004","View Full Record in Web of Science")</f>
        <v>View Full Record in Web of Science</v>
      </c>
    </row>
    <row r="304" spans="1:72" x14ac:dyDescent="0.15">
      <c r="A304" t="s">
        <v>3251</v>
      </c>
      <c r="B304" t="s">
        <v>5905</v>
      </c>
      <c r="C304" t="s">
        <v>74</v>
      </c>
      <c r="D304" t="s">
        <v>5886</v>
      </c>
      <c r="E304" t="s">
        <v>74</v>
      </c>
      <c r="F304" t="s">
        <v>5906</v>
      </c>
      <c r="G304" t="s">
        <v>74</v>
      </c>
      <c r="H304" t="s">
        <v>74</v>
      </c>
      <c r="I304" t="s">
        <v>5907</v>
      </c>
      <c r="J304" t="s">
        <v>5889</v>
      </c>
      <c r="K304" t="s">
        <v>74</v>
      </c>
      <c r="L304" t="s">
        <v>74</v>
      </c>
      <c r="M304" t="s">
        <v>78</v>
      </c>
      <c r="N304" t="s">
        <v>3258</v>
      </c>
      <c r="O304" t="s">
        <v>74</v>
      </c>
      <c r="P304" t="s">
        <v>74</v>
      </c>
      <c r="Q304" t="s">
        <v>74</v>
      </c>
      <c r="R304" t="s">
        <v>74</v>
      </c>
      <c r="S304" t="s">
        <v>74</v>
      </c>
      <c r="T304" t="s">
        <v>5908</v>
      </c>
      <c r="U304" t="s">
        <v>5909</v>
      </c>
      <c r="V304" t="s">
        <v>5910</v>
      </c>
      <c r="W304" t="s">
        <v>5911</v>
      </c>
      <c r="X304" t="s">
        <v>5912</v>
      </c>
      <c r="Y304" t="s">
        <v>5913</v>
      </c>
      <c r="Z304" t="s">
        <v>5914</v>
      </c>
      <c r="AA304" t="s">
        <v>5915</v>
      </c>
      <c r="AB304" t="s">
        <v>5916</v>
      </c>
      <c r="AC304" t="s">
        <v>74</v>
      </c>
      <c r="AD304" t="s">
        <v>74</v>
      </c>
      <c r="AE304" t="s">
        <v>74</v>
      </c>
      <c r="AF304" t="s">
        <v>74</v>
      </c>
      <c r="AG304">
        <v>141</v>
      </c>
      <c r="AH304">
        <v>10</v>
      </c>
      <c r="AI304">
        <v>11</v>
      </c>
      <c r="AJ304">
        <v>1</v>
      </c>
      <c r="AK304">
        <v>7</v>
      </c>
      <c r="AL304" t="s">
        <v>214</v>
      </c>
      <c r="AM304" t="s">
        <v>5898</v>
      </c>
      <c r="AN304" t="s">
        <v>5899</v>
      </c>
      <c r="AO304" t="s">
        <v>74</v>
      </c>
      <c r="AP304" t="s">
        <v>74</v>
      </c>
      <c r="AQ304" t="s">
        <v>5900</v>
      </c>
      <c r="AR304" t="s">
        <v>74</v>
      </c>
      <c r="AS304" t="s">
        <v>74</v>
      </c>
      <c r="AT304" t="s">
        <v>74</v>
      </c>
      <c r="AU304">
        <v>2013</v>
      </c>
      <c r="AV304" t="s">
        <v>74</v>
      </c>
      <c r="AW304" t="s">
        <v>74</v>
      </c>
      <c r="AX304" t="s">
        <v>74</v>
      </c>
      <c r="AY304" t="s">
        <v>74</v>
      </c>
      <c r="AZ304" t="s">
        <v>74</v>
      </c>
      <c r="BA304" t="s">
        <v>74</v>
      </c>
      <c r="BB304">
        <v>113</v>
      </c>
      <c r="BC304">
        <v>138</v>
      </c>
      <c r="BD304" t="s">
        <v>74</v>
      </c>
      <c r="BE304" t="s">
        <v>74</v>
      </c>
      <c r="BF304" t="s">
        <v>74</v>
      </c>
      <c r="BG304" t="s">
        <v>5901</v>
      </c>
      <c r="BH304" t="s">
        <v>74</v>
      </c>
      <c r="BI304">
        <v>26</v>
      </c>
      <c r="BJ304" t="s">
        <v>5902</v>
      </c>
      <c r="BK304" t="s">
        <v>3379</v>
      </c>
      <c r="BL304" t="s">
        <v>5902</v>
      </c>
      <c r="BM304" t="s">
        <v>5903</v>
      </c>
      <c r="BN304" t="s">
        <v>74</v>
      </c>
      <c r="BO304" t="s">
        <v>155</v>
      </c>
      <c r="BP304" t="s">
        <v>74</v>
      </c>
      <c r="BQ304" t="s">
        <v>74</v>
      </c>
      <c r="BR304" t="s">
        <v>105</v>
      </c>
      <c r="BS304" t="s">
        <v>5917</v>
      </c>
      <c r="BT304" t="str">
        <f>HYPERLINK("https%3A%2F%2Fwww.webofscience.com%2Fwos%2Fwoscc%2Ffull-record%2FWOS:000324196700006","View Full Record in Web of Science")</f>
        <v>View Full Record in Web of Science</v>
      </c>
    </row>
    <row r="305" spans="1:72" x14ac:dyDescent="0.15">
      <c r="A305" t="s">
        <v>72</v>
      </c>
      <c r="B305" t="s">
        <v>5918</v>
      </c>
      <c r="C305" t="s">
        <v>74</v>
      </c>
      <c r="D305" t="s">
        <v>74</v>
      </c>
      <c r="E305" t="s">
        <v>74</v>
      </c>
      <c r="F305" t="s">
        <v>5919</v>
      </c>
      <c r="G305" t="s">
        <v>74</v>
      </c>
      <c r="H305" t="s">
        <v>74</v>
      </c>
      <c r="I305" t="s">
        <v>5920</v>
      </c>
      <c r="J305" t="s">
        <v>5060</v>
      </c>
      <c r="K305" t="s">
        <v>74</v>
      </c>
      <c r="L305" t="s">
        <v>74</v>
      </c>
      <c r="M305" t="s">
        <v>78</v>
      </c>
      <c r="N305" t="s">
        <v>79</v>
      </c>
      <c r="O305" t="s">
        <v>74</v>
      </c>
      <c r="P305" t="s">
        <v>74</v>
      </c>
      <c r="Q305" t="s">
        <v>74</v>
      </c>
      <c r="R305" t="s">
        <v>74</v>
      </c>
      <c r="S305" t="s">
        <v>74</v>
      </c>
      <c r="T305" t="s">
        <v>5921</v>
      </c>
      <c r="U305" t="s">
        <v>5922</v>
      </c>
      <c r="V305" t="s">
        <v>5923</v>
      </c>
      <c r="W305" t="s">
        <v>5924</v>
      </c>
      <c r="X305" t="s">
        <v>5925</v>
      </c>
      <c r="Y305" t="s">
        <v>5926</v>
      </c>
      <c r="Z305" t="s">
        <v>5927</v>
      </c>
      <c r="AA305" t="s">
        <v>5928</v>
      </c>
      <c r="AB305" t="s">
        <v>5929</v>
      </c>
      <c r="AC305" t="s">
        <v>5930</v>
      </c>
      <c r="AD305" t="s">
        <v>5931</v>
      </c>
      <c r="AE305" t="s">
        <v>5932</v>
      </c>
      <c r="AF305" t="s">
        <v>74</v>
      </c>
      <c r="AG305">
        <v>80</v>
      </c>
      <c r="AH305">
        <v>21</v>
      </c>
      <c r="AI305">
        <v>24</v>
      </c>
      <c r="AJ305">
        <v>0</v>
      </c>
      <c r="AK305">
        <v>15</v>
      </c>
      <c r="AL305" t="s">
        <v>4363</v>
      </c>
      <c r="AM305" t="s">
        <v>4364</v>
      </c>
      <c r="AN305" t="s">
        <v>4365</v>
      </c>
      <c r="AO305" t="s">
        <v>5073</v>
      </c>
      <c r="AP305" t="s">
        <v>5074</v>
      </c>
      <c r="AQ305" t="s">
        <v>74</v>
      </c>
      <c r="AR305" t="s">
        <v>5075</v>
      </c>
      <c r="AS305" t="s">
        <v>5076</v>
      </c>
      <c r="AT305" t="s">
        <v>74</v>
      </c>
      <c r="AU305">
        <v>2013</v>
      </c>
      <c r="AV305">
        <v>490</v>
      </c>
      <c r="AW305" t="s">
        <v>74</v>
      </c>
      <c r="AX305" t="s">
        <v>74</v>
      </c>
      <c r="AY305" t="s">
        <v>74</v>
      </c>
      <c r="AZ305" t="s">
        <v>74</v>
      </c>
      <c r="BA305" t="s">
        <v>74</v>
      </c>
      <c r="BB305">
        <v>79</v>
      </c>
      <c r="BC305">
        <v>90</v>
      </c>
      <c r="BD305" t="s">
        <v>74</v>
      </c>
      <c r="BE305" t="s">
        <v>5933</v>
      </c>
      <c r="BF305" t="str">
        <f>HYPERLINK("http://dx.doi.org/10.3354/meps10446","http://dx.doi.org/10.3354/meps10446")</f>
        <v>http://dx.doi.org/10.3354/meps10446</v>
      </c>
      <c r="BG305" t="s">
        <v>74</v>
      </c>
      <c r="BH305" t="s">
        <v>74</v>
      </c>
      <c r="BI305">
        <v>12</v>
      </c>
      <c r="BJ305" t="s">
        <v>5078</v>
      </c>
      <c r="BK305" t="s">
        <v>102</v>
      </c>
      <c r="BL305" t="s">
        <v>5079</v>
      </c>
      <c r="BM305" t="s">
        <v>5934</v>
      </c>
      <c r="BN305" t="s">
        <v>74</v>
      </c>
      <c r="BO305" t="s">
        <v>128</v>
      </c>
      <c r="BP305" t="s">
        <v>74</v>
      </c>
      <c r="BQ305" t="s">
        <v>74</v>
      </c>
      <c r="BR305" t="s">
        <v>105</v>
      </c>
      <c r="BS305" t="s">
        <v>5935</v>
      </c>
      <c r="BT305" t="str">
        <f>HYPERLINK("https%3A%2F%2Fwww.webofscience.com%2Fwos%2Fwoscc%2Ffull-record%2FWOS:000324550600007","View Full Record in Web of Science")</f>
        <v>View Full Record in Web of Science</v>
      </c>
    </row>
    <row r="306" spans="1:72" x14ac:dyDescent="0.15">
      <c r="A306" t="s">
        <v>72</v>
      </c>
      <c r="B306" t="s">
        <v>5936</v>
      </c>
      <c r="C306" t="s">
        <v>74</v>
      </c>
      <c r="D306" t="s">
        <v>74</v>
      </c>
      <c r="E306" t="s">
        <v>74</v>
      </c>
      <c r="F306" t="s">
        <v>5937</v>
      </c>
      <c r="G306" t="s">
        <v>74</v>
      </c>
      <c r="H306" t="s">
        <v>74</v>
      </c>
      <c r="I306" t="s">
        <v>5938</v>
      </c>
      <c r="J306" t="s">
        <v>4495</v>
      </c>
      <c r="K306" t="s">
        <v>74</v>
      </c>
      <c r="L306" t="s">
        <v>74</v>
      </c>
      <c r="M306" t="s">
        <v>78</v>
      </c>
      <c r="N306" t="s">
        <v>79</v>
      </c>
      <c r="O306" t="s">
        <v>74</v>
      </c>
      <c r="P306" t="s">
        <v>74</v>
      </c>
      <c r="Q306" t="s">
        <v>74</v>
      </c>
      <c r="R306" t="s">
        <v>74</v>
      </c>
      <c r="S306" t="s">
        <v>74</v>
      </c>
      <c r="T306" t="s">
        <v>5939</v>
      </c>
      <c r="U306" t="s">
        <v>5940</v>
      </c>
      <c r="V306" t="s">
        <v>5941</v>
      </c>
      <c r="W306" t="s">
        <v>5942</v>
      </c>
      <c r="X306" t="s">
        <v>5943</v>
      </c>
      <c r="Y306" t="s">
        <v>5944</v>
      </c>
      <c r="Z306" t="s">
        <v>5945</v>
      </c>
      <c r="AA306" t="s">
        <v>5946</v>
      </c>
      <c r="AB306" t="s">
        <v>5947</v>
      </c>
      <c r="AC306" t="s">
        <v>5948</v>
      </c>
      <c r="AD306" t="s">
        <v>5949</v>
      </c>
      <c r="AE306" t="s">
        <v>5950</v>
      </c>
      <c r="AF306" t="s">
        <v>74</v>
      </c>
      <c r="AG306">
        <v>45</v>
      </c>
      <c r="AH306">
        <v>3</v>
      </c>
      <c r="AI306">
        <v>3</v>
      </c>
      <c r="AJ306">
        <v>2</v>
      </c>
      <c r="AK306">
        <v>33</v>
      </c>
      <c r="AL306" t="s">
        <v>4506</v>
      </c>
      <c r="AM306" t="s">
        <v>4507</v>
      </c>
      <c r="AN306" t="s">
        <v>4508</v>
      </c>
      <c r="AO306" t="s">
        <v>4509</v>
      </c>
      <c r="AP306" t="s">
        <v>4510</v>
      </c>
      <c r="AQ306" t="s">
        <v>74</v>
      </c>
      <c r="AR306" t="s">
        <v>4511</v>
      </c>
      <c r="AS306" t="s">
        <v>4512</v>
      </c>
      <c r="AT306" t="s">
        <v>74</v>
      </c>
      <c r="AU306">
        <v>2013</v>
      </c>
      <c r="AV306">
        <v>32</v>
      </c>
      <c r="AW306" t="s">
        <v>74</v>
      </c>
      <c r="AX306" t="s">
        <v>74</v>
      </c>
      <c r="AY306" t="s">
        <v>74</v>
      </c>
      <c r="AZ306" t="s">
        <v>74</v>
      </c>
      <c r="BA306" t="s">
        <v>74</v>
      </c>
      <c r="BB306" t="s">
        <v>74</v>
      </c>
      <c r="BC306" t="s">
        <v>74</v>
      </c>
      <c r="BD306">
        <v>19993</v>
      </c>
      <c r="BE306" t="s">
        <v>5951</v>
      </c>
      <c r="BF306" t="str">
        <f>HYPERLINK("http://dx.doi.org/10.3402/polar.v32i0.19993","http://dx.doi.org/10.3402/polar.v32i0.19993")</f>
        <v>http://dx.doi.org/10.3402/polar.v32i0.19993</v>
      </c>
      <c r="BG306" t="s">
        <v>74</v>
      </c>
      <c r="BH306" t="s">
        <v>74</v>
      </c>
      <c r="BI306">
        <v>7</v>
      </c>
      <c r="BJ306" t="s">
        <v>4514</v>
      </c>
      <c r="BK306" t="s">
        <v>102</v>
      </c>
      <c r="BL306" t="s">
        <v>4515</v>
      </c>
      <c r="BM306" t="s">
        <v>5952</v>
      </c>
      <c r="BN306" t="s">
        <v>74</v>
      </c>
      <c r="BO306" t="s">
        <v>1719</v>
      </c>
      <c r="BP306" t="s">
        <v>74</v>
      </c>
      <c r="BQ306" t="s">
        <v>74</v>
      </c>
      <c r="BR306" t="s">
        <v>105</v>
      </c>
      <c r="BS306" t="s">
        <v>5953</v>
      </c>
      <c r="BT306" t="str">
        <f>HYPERLINK("https%3A%2F%2Fwww.webofscience.com%2Fwos%2Fwoscc%2Ffull-record%2FWOS:000324812700001","View Full Record in Web of Science")</f>
        <v>View Full Record in Web of Science</v>
      </c>
    </row>
    <row r="307" spans="1:72" x14ac:dyDescent="0.15">
      <c r="A307" t="s">
        <v>72</v>
      </c>
      <c r="B307" t="s">
        <v>5954</v>
      </c>
      <c r="C307" t="s">
        <v>74</v>
      </c>
      <c r="D307" t="s">
        <v>74</v>
      </c>
      <c r="E307" t="s">
        <v>74</v>
      </c>
      <c r="F307" t="s">
        <v>5955</v>
      </c>
      <c r="G307" t="s">
        <v>74</v>
      </c>
      <c r="H307" t="s">
        <v>74</v>
      </c>
      <c r="I307" t="s">
        <v>5956</v>
      </c>
      <c r="J307" t="s">
        <v>4521</v>
      </c>
      <c r="K307" t="s">
        <v>74</v>
      </c>
      <c r="L307" t="s">
        <v>74</v>
      </c>
      <c r="M307" t="s">
        <v>78</v>
      </c>
      <c r="N307" t="s">
        <v>79</v>
      </c>
      <c r="O307" t="s">
        <v>74</v>
      </c>
      <c r="P307" t="s">
        <v>74</v>
      </c>
      <c r="Q307" t="s">
        <v>74</v>
      </c>
      <c r="R307" t="s">
        <v>74</v>
      </c>
      <c r="S307" t="s">
        <v>74</v>
      </c>
      <c r="T307" t="s">
        <v>74</v>
      </c>
      <c r="U307" t="s">
        <v>5957</v>
      </c>
      <c r="V307" t="s">
        <v>5958</v>
      </c>
      <c r="W307" t="s">
        <v>5959</v>
      </c>
      <c r="X307" t="s">
        <v>5960</v>
      </c>
      <c r="Y307" t="s">
        <v>5961</v>
      </c>
      <c r="Z307" t="s">
        <v>5962</v>
      </c>
      <c r="AA307" t="s">
        <v>5963</v>
      </c>
      <c r="AB307" t="s">
        <v>5964</v>
      </c>
      <c r="AC307" t="s">
        <v>5965</v>
      </c>
      <c r="AD307" t="s">
        <v>5966</v>
      </c>
      <c r="AE307" t="s">
        <v>5967</v>
      </c>
      <c r="AF307" t="s">
        <v>74</v>
      </c>
      <c r="AG307">
        <v>76</v>
      </c>
      <c r="AH307">
        <v>31</v>
      </c>
      <c r="AI307">
        <v>34</v>
      </c>
      <c r="AJ307">
        <v>1</v>
      </c>
      <c r="AK307">
        <v>36</v>
      </c>
      <c r="AL307" t="s">
        <v>4248</v>
      </c>
      <c r="AM307" t="s">
        <v>4249</v>
      </c>
      <c r="AN307" t="s">
        <v>4250</v>
      </c>
      <c r="AO307" t="s">
        <v>4533</v>
      </c>
      <c r="AP307" t="s">
        <v>74</v>
      </c>
      <c r="AQ307" t="s">
        <v>74</v>
      </c>
      <c r="AR307" t="s">
        <v>4535</v>
      </c>
      <c r="AS307" t="s">
        <v>4536</v>
      </c>
      <c r="AT307" t="s">
        <v>74</v>
      </c>
      <c r="AU307">
        <v>2013</v>
      </c>
      <c r="AV307">
        <v>13</v>
      </c>
      <c r="AW307">
        <v>17</v>
      </c>
      <c r="AX307" t="s">
        <v>74</v>
      </c>
      <c r="AY307" t="s">
        <v>74</v>
      </c>
      <c r="AZ307" t="s">
        <v>74</v>
      </c>
      <c r="BA307" t="s">
        <v>74</v>
      </c>
      <c r="BB307">
        <v>9119</v>
      </c>
      <c r="BC307">
        <v>9139</v>
      </c>
      <c r="BD307" t="s">
        <v>74</v>
      </c>
      <c r="BE307" t="s">
        <v>5968</v>
      </c>
      <c r="BF307" t="str">
        <f>HYPERLINK("http://dx.doi.org/10.5194/acp-13-9119-2013","http://dx.doi.org/10.5194/acp-13-9119-2013")</f>
        <v>http://dx.doi.org/10.5194/acp-13-9119-2013</v>
      </c>
      <c r="BG307" t="s">
        <v>74</v>
      </c>
      <c r="BH307" t="s">
        <v>74</v>
      </c>
      <c r="BI307">
        <v>21</v>
      </c>
      <c r="BJ307" t="s">
        <v>1627</v>
      </c>
      <c r="BK307" t="s">
        <v>102</v>
      </c>
      <c r="BL307" t="s">
        <v>1628</v>
      </c>
      <c r="BM307" t="s">
        <v>5969</v>
      </c>
      <c r="BN307" t="s">
        <v>74</v>
      </c>
      <c r="BO307" t="s">
        <v>4132</v>
      </c>
      <c r="BP307" t="s">
        <v>74</v>
      </c>
      <c r="BQ307" t="s">
        <v>74</v>
      </c>
      <c r="BR307" t="s">
        <v>105</v>
      </c>
      <c r="BS307" t="s">
        <v>5970</v>
      </c>
      <c r="BT307" t="str">
        <f>HYPERLINK("https%3A%2F%2Fwww.webofscience.com%2Fwos%2Fwoscc%2Ffull-record%2FWOS:000324400600034","View Full Record in Web of Science")</f>
        <v>View Full Record in Web of Science</v>
      </c>
    </row>
    <row r="308" spans="1:72" x14ac:dyDescent="0.15">
      <c r="A308" t="s">
        <v>72</v>
      </c>
      <c r="B308" t="s">
        <v>5971</v>
      </c>
      <c r="C308" t="s">
        <v>74</v>
      </c>
      <c r="D308" t="s">
        <v>74</v>
      </c>
      <c r="E308" t="s">
        <v>74</v>
      </c>
      <c r="F308" t="s">
        <v>5972</v>
      </c>
      <c r="G308" t="s">
        <v>74</v>
      </c>
      <c r="H308" t="s">
        <v>74</v>
      </c>
      <c r="I308" t="s">
        <v>5973</v>
      </c>
      <c r="J308" t="s">
        <v>5974</v>
      </c>
      <c r="K308" t="s">
        <v>74</v>
      </c>
      <c r="L308" t="s">
        <v>74</v>
      </c>
      <c r="M308" t="s">
        <v>78</v>
      </c>
      <c r="N308" t="s">
        <v>79</v>
      </c>
      <c r="O308" t="s">
        <v>74</v>
      </c>
      <c r="P308" t="s">
        <v>74</v>
      </c>
      <c r="Q308" t="s">
        <v>74</v>
      </c>
      <c r="R308" t="s">
        <v>74</v>
      </c>
      <c r="S308" t="s">
        <v>74</v>
      </c>
      <c r="T308" t="s">
        <v>5975</v>
      </c>
      <c r="U308" t="s">
        <v>5976</v>
      </c>
      <c r="V308" t="s">
        <v>5977</v>
      </c>
      <c r="W308" t="s">
        <v>5978</v>
      </c>
      <c r="X308" t="s">
        <v>5979</v>
      </c>
      <c r="Y308" t="s">
        <v>5980</v>
      </c>
      <c r="Z308" t="s">
        <v>5981</v>
      </c>
      <c r="AA308" t="s">
        <v>5982</v>
      </c>
      <c r="AB308" t="s">
        <v>5983</v>
      </c>
      <c r="AC308" t="s">
        <v>5984</v>
      </c>
      <c r="AD308" t="s">
        <v>5985</v>
      </c>
      <c r="AE308" t="s">
        <v>5986</v>
      </c>
      <c r="AF308" t="s">
        <v>74</v>
      </c>
      <c r="AG308">
        <v>53</v>
      </c>
      <c r="AH308">
        <v>21</v>
      </c>
      <c r="AI308">
        <v>21</v>
      </c>
      <c r="AJ308">
        <v>0</v>
      </c>
      <c r="AK308">
        <v>27</v>
      </c>
      <c r="AL308" t="s">
        <v>5987</v>
      </c>
      <c r="AM308" t="s">
        <v>5988</v>
      </c>
      <c r="AN308" t="s">
        <v>5989</v>
      </c>
      <c r="AO308" t="s">
        <v>5990</v>
      </c>
      <c r="AP308" t="s">
        <v>5991</v>
      </c>
      <c r="AQ308" t="s">
        <v>74</v>
      </c>
      <c r="AR308" t="s">
        <v>5992</v>
      </c>
      <c r="AS308" t="s">
        <v>5993</v>
      </c>
      <c r="AT308" t="s">
        <v>74</v>
      </c>
      <c r="AU308">
        <v>2013</v>
      </c>
      <c r="AV308">
        <v>47</v>
      </c>
      <c r="AW308">
        <v>4</v>
      </c>
      <c r="AX308" t="s">
        <v>74</v>
      </c>
      <c r="AY308" t="s">
        <v>74</v>
      </c>
      <c r="AZ308" t="s">
        <v>74</v>
      </c>
      <c r="BA308" t="s">
        <v>74</v>
      </c>
      <c r="BB308">
        <v>409</v>
      </c>
      <c r="BC308">
        <v>422</v>
      </c>
      <c r="BD308" t="s">
        <v>74</v>
      </c>
      <c r="BE308" t="s">
        <v>5994</v>
      </c>
      <c r="BF308" t="str">
        <f>HYPERLINK("http://dx.doi.org/10.2343/geochemj.2.0260","http://dx.doi.org/10.2343/geochemj.2.0260")</f>
        <v>http://dx.doi.org/10.2343/geochemj.2.0260</v>
      </c>
      <c r="BG308" t="s">
        <v>74</v>
      </c>
      <c r="BH308" t="s">
        <v>74</v>
      </c>
      <c r="BI308">
        <v>14</v>
      </c>
      <c r="BJ308" t="s">
        <v>263</v>
      </c>
      <c r="BK308" t="s">
        <v>102</v>
      </c>
      <c r="BL308" t="s">
        <v>263</v>
      </c>
      <c r="BM308" t="s">
        <v>5995</v>
      </c>
      <c r="BN308" t="s">
        <v>74</v>
      </c>
      <c r="BO308" t="s">
        <v>1719</v>
      </c>
      <c r="BP308" t="s">
        <v>74</v>
      </c>
      <c r="BQ308" t="s">
        <v>74</v>
      </c>
      <c r="BR308" t="s">
        <v>105</v>
      </c>
      <c r="BS308" t="s">
        <v>5996</v>
      </c>
      <c r="BT308" t="str">
        <f>HYPERLINK("https%3A%2F%2Fwww.webofscience.com%2Fwos%2Fwoscc%2Ffull-record%2FWOS:000324511800003","View Full Record in Web of Science")</f>
        <v>View Full Record in Web of Science</v>
      </c>
    </row>
    <row r="309" spans="1:72" x14ac:dyDescent="0.15">
      <c r="A309" t="s">
        <v>3224</v>
      </c>
      <c r="B309" t="s">
        <v>5997</v>
      </c>
      <c r="C309" t="s">
        <v>74</v>
      </c>
      <c r="D309" t="s">
        <v>5998</v>
      </c>
      <c r="E309" t="s">
        <v>74</v>
      </c>
      <c r="F309" t="s">
        <v>5999</v>
      </c>
      <c r="G309" t="s">
        <v>74</v>
      </c>
      <c r="H309" t="s">
        <v>74</v>
      </c>
      <c r="I309" t="s">
        <v>6000</v>
      </c>
      <c r="J309" t="s">
        <v>6001</v>
      </c>
      <c r="K309" t="s">
        <v>4088</v>
      </c>
      <c r="L309" t="s">
        <v>74</v>
      </c>
      <c r="M309" t="s">
        <v>78</v>
      </c>
      <c r="N309" t="s">
        <v>3231</v>
      </c>
      <c r="O309" t="s">
        <v>6002</v>
      </c>
      <c r="P309" t="s">
        <v>6003</v>
      </c>
      <c r="Q309" t="s">
        <v>6004</v>
      </c>
      <c r="R309" t="s">
        <v>74</v>
      </c>
      <c r="S309" t="s">
        <v>74</v>
      </c>
      <c r="T309" t="s">
        <v>6005</v>
      </c>
      <c r="U309" t="s">
        <v>74</v>
      </c>
      <c r="V309" t="s">
        <v>6006</v>
      </c>
      <c r="W309" t="s">
        <v>6007</v>
      </c>
      <c r="X309" t="s">
        <v>4176</v>
      </c>
      <c r="Y309" t="s">
        <v>6008</v>
      </c>
      <c r="Z309" t="s">
        <v>6009</v>
      </c>
      <c r="AA309" t="s">
        <v>6010</v>
      </c>
      <c r="AB309" t="s">
        <v>74</v>
      </c>
      <c r="AC309" t="s">
        <v>74</v>
      </c>
      <c r="AD309" t="s">
        <v>74</v>
      </c>
      <c r="AE309" t="s">
        <v>74</v>
      </c>
      <c r="AF309" t="s">
        <v>74</v>
      </c>
      <c r="AG309">
        <v>3</v>
      </c>
      <c r="AH309">
        <v>1</v>
      </c>
      <c r="AI309">
        <v>1</v>
      </c>
      <c r="AJ309">
        <v>0</v>
      </c>
      <c r="AK309">
        <v>8</v>
      </c>
      <c r="AL309" t="s">
        <v>3899</v>
      </c>
      <c r="AM309" t="s">
        <v>4099</v>
      </c>
      <c r="AN309" t="s">
        <v>4100</v>
      </c>
      <c r="AO309" t="s">
        <v>4101</v>
      </c>
      <c r="AP309" t="s">
        <v>74</v>
      </c>
      <c r="AQ309" t="s">
        <v>6011</v>
      </c>
      <c r="AR309" t="s">
        <v>4103</v>
      </c>
      <c r="AS309" t="s">
        <v>74</v>
      </c>
      <c r="AT309" t="s">
        <v>74</v>
      </c>
      <c r="AU309">
        <v>2013</v>
      </c>
      <c r="AV309" t="s">
        <v>6012</v>
      </c>
      <c r="AW309" t="s">
        <v>74</v>
      </c>
      <c r="AX309" t="s">
        <v>74</v>
      </c>
      <c r="AY309" t="s">
        <v>74</v>
      </c>
      <c r="AZ309" t="s">
        <v>74</v>
      </c>
      <c r="BA309" t="s">
        <v>74</v>
      </c>
      <c r="BB309">
        <v>1624</v>
      </c>
      <c r="BC309">
        <v>1627</v>
      </c>
      <c r="BD309" t="s">
        <v>74</v>
      </c>
      <c r="BE309" t="s">
        <v>6013</v>
      </c>
      <c r="BF309" t="str">
        <f>HYPERLINK("http://dx.doi.org/10.4028/www.scientific.net/AMR.690-693.1624","http://dx.doi.org/10.4028/www.scientific.net/AMR.690-693.1624")</f>
        <v>http://dx.doi.org/10.4028/www.scientific.net/AMR.690-693.1624</v>
      </c>
      <c r="BG309" t="s">
        <v>74</v>
      </c>
      <c r="BH309" t="s">
        <v>74</v>
      </c>
      <c r="BI309">
        <v>4</v>
      </c>
      <c r="BJ309" t="s">
        <v>6014</v>
      </c>
      <c r="BK309" t="s">
        <v>3247</v>
      </c>
      <c r="BL309" t="s">
        <v>4106</v>
      </c>
      <c r="BM309" t="s">
        <v>6015</v>
      </c>
      <c r="BN309" t="s">
        <v>74</v>
      </c>
      <c r="BO309" t="s">
        <v>74</v>
      </c>
      <c r="BP309" t="s">
        <v>74</v>
      </c>
      <c r="BQ309" t="s">
        <v>74</v>
      </c>
      <c r="BR309" t="s">
        <v>105</v>
      </c>
      <c r="BS309" t="s">
        <v>6016</v>
      </c>
      <c r="BT309" t="str">
        <f>HYPERLINK("https%3A%2F%2Fwww.webofscience.com%2Fwos%2Fwoscc%2Ffull-record%2FWOS:000322498600333","View Full Record in Web of Science")</f>
        <v>View Full Record in Web of Science</v>
      </c>
    </row>
    <row r="310" spans="1:72" x14ac:dyDescent="0.15">
      <c r="A310" t="s">
        <v>72</v>
      </c>
      <c r="B310" t="s">
        <v>6017</v>
      </c>
      <c r="C310" t="s">
        <v>74</v>
      </c>
      <c r="D310" t="s">
        <v>74</v>
      </c>
      <c r="E310" t="s">
        <v>74</v>
      </c>
      <c r="F310" t="s">
        <v>6018</v>
      </c>
      <c r="G310" t="s">
        <v>74</v>
      </c>
      <c r="H310" t="s">
        <v>74</v>
      </c>
      <c r="I310" t="s">
        <v>6019</v>
      </c>
      <c r="J310" t="s">
        <v>5821</v>
      </c>
      <c r="K310" t="s">
        <v>74</v>
      </c>
      <c r="L310" t="s">
        <v>74</v>
      </c>
      <c r="M310" t="s">
        <v>78</v>
      </c>
      <c r="N310" t="s">
        <v>79</v>
      </c>
      <c r="O310" t="s">
        <v>74</v>
      </c>
      <c r="P310" t="s">
        <v>74</v>
      </c>
      <c r="Q310" t="s">
        <v>74</v>
      </c>
      <c r="R310" t="s">
        <v>74</v>
      </c>
      <c r="S310" t="s">
        <v>74</v>
      </c>
      <c r="T310" t="s">
        <v>74</v>
      </c>
      <c r="U310" t="s">
        <v>6020</v>
      </c>
      <c r="V310" t="s">
        <v>6021</v>
      </c>
      <c r="W310" t="s">
        <v>6022</v>
      </c>
      <c r="X310" t="s">
        <v>6023</v>
      </c>
      <c r="Y310" t="s">
        <v>6024</v>
      </c>
      <c r="Z310" t="s">
        <v>6025</v>
      </c>
      <c r="AA310" t="s">
        <v>6026</v>
      </c>
      <c r="AB310" t="s">
        <v>6027</v>
      </c>
      <c r="AC310" t="s">
        <v>6028</v>
      </c>
      <c r="AD310" t="s">
        <v>6029</v>
      </c>
      <c r="AE310" t="s">
        <v>6030</v>
      </c>
      <c r="AF310" t="s">
        <v>74</v>
      </c>
      <c r="AG310">
        <v>40</v>
      </c>
      <c r="AH310">
        <v>12</v>
      </c>
      <c r="AI310">
        <v>12</v>
      </c>
      <c r="AJ310">
        <v>2</v>
      </c>
      <c r="AK310">
        <v>34</v>
      </c>
      <c r="AL310" t="s">
        <v>4248</v>
      </c>
      <c r="AM310" t="s">
        <v>4249</v>
      </c>
      <c r="AN310" t="s">
        <v>4250</v>
      </c>
      <c r="AO310" t="s">
        <v>5833</v>
      </c>
      <c r="AP310" t="s">
        <v>5834</v>
      </c>
      <c r="AQ310" t="s">
        <v>74</v>
      </c>
      <c r="AR310" t="s">
        <v>5821</v>
      </c>
      <c r="AS310" t="s">
        <v>5835</v>
      </c>
      <c r="AT310" t="s">
        <v>74</v>
      </c>
      <c r="AU310">
        <v>2013</v>
      </c>
      <c r="AV310">
        <v>10</v>
      </c>
      <c r="AW310">
        <v>8</v>
      </c>
      <c r="AX310" t="s">
        <v>74</v>
      </c>
      <c r="AY310" t="s">
        <v>74</v>
      </c>
      <c r="AZ310" t="s">
        <v>74</v>
      </c>
      <c r="BA310" t="s">
        <v>74</v>
      </c>
      <c r="BB310">
        <v>5691</v>
      </c>
      <c r="BC310">
        <v>5702</v>
      </c>
      <c r="BD310" t="s">
        <v>74</v>
      </c>
      <c r="BE310" t="s">
        <v>6031</v>
      </c>
      <c r="BF310" t="str">
        <f>HYPERLINK("http://dx.doi.org/10.5194/bg-10-5691-2013","http://dx.doi.org/10.5194/bg-10-5691-2013")</f>
        <v>http://dx.doi.org/10.5194/bg-10-5691-2013</v>
      </c>
      <c r="BG310" t="s">
        <v>74</v>
      </c>
      <c r="BH310" t="s">
        <v>74</v>
      </c>
      <c r="BI310">
        <v>12</v>
      </c>
      <c r="BJ310" t="s">
        <v>4835</v>
      </c>
      <c r="BK310" t="s">
        <v>102</v>
      </c>
      <c r="BL310" t="s">
        <v>4836</v>
      </c>
      <c r="BM310" t="s">
        <v>6032</v>
      </c>
      <c r="BN310" t="s">
        <v>74</v>
      </c>
      <c r="BO310" t="s">
        <v>5838</v>
      </c>
      <c r="BP310" t="s">
        <v>74</v>
      </c>
      <c r="BQ310" t="s">
        <v>74</v>
      </c>
      <c r="BR310" t="s">
        <v>105</v>
      </c>
      <c r="BS310" t="s">
        <v>6033</v>
      </c>
      <c r="BT310" t="str">
        <f>HYPERLINK("https%3A%2F%2Fwww.webofscience.com%2Fwos%2Fwoscc%2Ffull-record%2FWOS:000323980300032","View Full Record in Web of Science")</f>
        <v>View Full Record in Web of Science</v>
      </c>
    </row>
    <row r="311" spans="1:72" x14ac:dyDescent="0.15">
      <c r="A311" t="s">
        <v>72</v>
      </c>
      <c r="B311" t="s">
        <v>6034</v>
      </c>
      <c r="C311" t="s">
        <v>74</v>
      </c>
      <c r="D311" t="s">
        <v>74</v>
      </c>
      <c r="E311" t="s">
        <v>74</v>
      </c>
      <c r="F311" t="s">
        <v>6035</v>
      </c>
      <c r="G311" t="s">
        <v>74</v>
      </c>
      <c r="H311" t="s">
        <v>74</v>
      </c>
      <c r="I311" t="s">
        <v>6036</v>
      </c>
      <c r="J311" t="s">
        <v>6037</v>
      </c>
      <c r="K311" t="s">
        <v>74</v>
      </c>
      <c r="L311" t="s">
        <v>74</v>
      </c>
      <c r="M311" t="s">
        <v>78</v>
      </c>
      <c r="N311" t="s">
        <v>79</v>
      </c>
      <c r="O311" t="s">
        <v>74</v>
      </c>
      <c r="P311" t="s">
        <v>74</v>
      </c>
      <c r="Q311" t="s">
        <v>74</v>
      </c>
      <c r="R311" t="s">
        <v>74</v>
      </c>
      <c r="S311" t="s">
        <v>74</v>
      </c>
      <c r="T311" t="s">
        <v>6038</v>
      </c>
      <c r="U311" t="s">
        <v>6039</v>
      </c>
      <c r="V311" t="s">
        <v>6040</v>
      </c>
      <c r="W311" t="s">
        <v>6041</v>
      </c>
      <c r="X311" t="s">
        <v>6042</v>
      </c>
      <c r="Y311" t="s">
        <v>6043</v>
      </c>
      <c r="Z311" t="s">
        <v>6044</v>
      </c>
      <c r="AA311" t="s">
        <v>6045</v>
      </c>
      <c r="AB311" t="s">
        <v>6046</v>
      </c>
      <c r="AC311" t="s">
        <v>74</v>
      </c>
      <c r="AD311" t="s">
        <v>74</v>
      </c>
      <c r="AE311" t="s">
        <v>74</v>
      </c>
      <c r="AF311" t="s">
        <v>74</v>
      </c>
      <c r="AG311">
        <v>25</v>
      </c>
      <c r="AH311">
        <v>12</v>
      </c>
      <c r="AI311">
        <v>13</v>
      </c>
      <c r="AJ311">
        <v>1</v>
      </c>
      <c r="AK311">
        <v>13</v>
      </c>
      <c r="AL311" t="s">
        <v>6047</v>
      </c>
      <c r="AM311" t="s">
        <v>6048</v>
      </c>
      <c r="AN311" t="s">
        <v>6049</v>
      </c>
      <c r="AO311" t="s">
        <v>6050</v>
      </c>
      <c r="AP311" t="s">
        <v>74</v>
      </c>
      <c r="AQ311" t="s">
        <v>74</v>
      </c>
      <c r="AR311" t="s">
        <v>6037</v>
      </c>
      <c r="AS311" t="s">
        <v>6051</v>
      </c>
      <c r="AT311" t="s">
        <v>74</v>
      </c>
      <c r="AU311">
        <v>2013</v>
      </c>
      <c r="AV311">
        <v>34</v>
      </c>
      <c r="AW311">
        <v>2</v>
      </c>
      <c r="AX311" t="s">
        <v>74</v>
      </c>
      <c r="AY311" t="s">
        <v>74</v>
      </c>
      <c r="AZ311" t="s">
        <v>74</v>
      </c>
      <c r="BA311" t="s">
        <v>74</v>
      </c>
      <c r="BB311">
        <v>129</v>
      </c>
      <c r="BC311">
        <v>141</v>
      </c>
      <c r="BD311" t="s">
        <v>74</v>
      </c>
      <c r="BE311" t="s">
        <v>6052</v>
      </c>
      <c r="BF311" t="str">
        <f>HYPERLINK("http://dx.doi.org/10.4067/S0717-92002013000200002","http://dx.doi.org/10.4067/S0717-92002013000200002")</f>
        <v>http://dx.doi.org/10.4067/S0717-92002013000200002</v>
      </c>
      <c r="BG311" t="s">
        <v>74</v>
      </c>
      <c r="BH311" t="s">
        <v>74</v>
      </c>
      <c r="BI311">
        <v>13</v>
      </c>
      <c r="BJ311" t="s">
        <v>6053</v>
      </c>
      <c r="BK311" t="s">
        <v>102</v>
      </c>
      <c r="BL311" t="s">
        <v>6054</v>
      </c>
      <c r="BM311" t="s">
        <v>6055</v>
      </c>
      <c r="BN311" t="s">
        <v>74</v>
      </c>
      <c r="BO311" t="s">
        <v>5344</v>
      </c>
      <c r="BP311" t="s">
        <v>74</v>
      </c>
      <c r="BQ311" t="s">
        <v>74</v>
      </c>
      <c r="BR311" t="s">
        <v>105</v>
      </c>
      <c r="BS311" t="s">
        <v>6056</v>
      </c>
      <c r="BT311" t="str">
        <f>HYPERLINK("https%3A%2F%2Fwww.webofscience.com%2Fwos%2Fwoscc%2Ffull-record%2FWOS:000323394500002","View Full Record in Web of Science")</f>
        <v>View Full Record in Web of Science</v>
      </c>
    </row>
    <row r="312" spans="1:72" x14ac:dyDescent="0.15">
      <c r="A312" t="s">
        <v>72</v>
      </c>
      <c r="B312" t="s">
        <v>6057</v>
      </c>
      <c r="C312" t="s">
        <v>74</v>
      </c>
      <c r="D312" t="s">
        <v>74</v>
      </c>
      <c r="E312" t="s">
        <v>74</v>
      </c>
      <c r="F312" t="s">
        <v>6058</v>
      </c>
      <c r="G312" t="s">
        <v>74</v>
      </c>
      <c r="H312" t="s">
        <v>74</v>
      </c>
      <c r="I312" t="s">
        <v>6059</v>
      </c>
      <c r="J312" t="s">
        <v>6037</v>
      </c>
      <c r="K312" t="s">
        <v>74</v>
      </c>
      <c r="L312" t="s">
        <v>74</v>
      </c>
      <c r="M312" t="s">
        <v>4282</v>
      </c>
      <c r="N312" t="s">
        <v>79</v>
      </c>
      <c r="O312" t="s">
        <v>74</v>
      </c>
      <c r="P312" t="s">
        <v>74</v>
      </c>
      <c r="Q312" t="s">
        <v>74</v>
      </c>
      <c r="R312" t="s">
        <v>74</v>
      </c>
      <c r="S312" t="s">
        <v>74</v>
      </c>
      <c r="T312" t="s">
        <v>6060</v>
      </c>
      <c r="U312" t="s">
        <v>6061</v>
      </c>
      <c r="V312" t="s">
        <v>6062</v>
      </c>
      <c r="W312" t="s">
        <v>6063</v>
      </c>
      <c r="X312" t="s">
        <v>6064</v>
      </c>
      <c r="Y312" t="s">
        <v>6065</v>
      </c>
      <c r="Z312" t="s">
        <v>6066</v>
      </c>
      <c r="AA312" t="s">
        <v>74</v>
      </c>
      <c r="AB312" t="s">
        <v>74</v>
      </c>
      <c r="AC312" t="s">
        <v>74</v>
      </c>
      <c r="AD312" t="s">
        <v>74</v>
      </c>
      <c r="AE312" t="s">
        <v>74</v>
      </c>
      <c r="AF312" t="s">
        <v>74</v>
      </c>
      <c r="AG312">
        <v>26</v>
      </c>
      <c r="AH312">
        <v>46</v>
      </c>
      <c r="AI312">
        <v>50</v>
      </c>
      <c r="AJ312">
        <v>1</v>
      </c>
      <c r="AK312">
        <v>30</v>
      </c>
      <c r="AL312" t="s">
        <v>6047</v>
      </c>
      <c r="AM312" t="s">
        <v>6048</v>
      </c>
      <c r="AN312" t="s">
        <v>6049</v>
      </c>
      <c r="AO312" t="s">
        <v>6050</v>
      </c>
      <c r="AP312" t="s">
        <v>74</v>
      </c>
      <c r="AQ312" t="s">
        <v>74</v>
      </c>
      <c r="AR312" t="s">
        <v>6037</v>
      </c>
      <c r="AS312" t="s">
        <v>6051</v>
      </c>
      <c r="AT312" t="s">
        <v>74</v>
      </c>
      <c r="AU312">
        <v>2013</v>
      </c>
      <c r="AV312">
        <v>34</v>
      </c>
      <c r="AW312">
        <v>2</v>
      </c>
      <c r="AX312" t="s">
        <v>74</v>
      </c>
      <c r="AY312" t="s">
        <v>74</v>
      </c>
      <c r="AZ312" t="s">
        <v>74</v>
      </c>
      <c r="BA312" t="s">
        <v>74</v>
      </c>
      <c r="BB312">
        <v>191</v>
      </c>
      <c r="BC312">
        <v>200</v>
      </c>
      <c r="BD312" t="s">
        <v>74</v>
      </c>
      <c r="BE312" t="s">
        <v>6067</v>
      </c>
      <c r="BF312" t="str">
        <f>HYPERLINK("http://dx.doi.org/10.4067/S0717-92002013000200008","http://dx.doi.org/10.4067/S0717-92002013000200008")</f>
        <v>http://dx.doi.org/10.4067/S0717-92002013000200008</v>
      </c>
      <c r="BG312" t="s">
        <v>74</v>
      </c>
      <c r="BH312" t="s">
        <v>74</v>
      </c>
      <c r="BI312">
        <v>10</v>
      </c>
      <c r="BJ312" t="s">
        <v>6053</v>
      </c>
      <c r="BK312" t="s">
        <v>102</v>
      </c>
      <c r="BL312" t="s">
        <v>6054</v>
      </c>
      <c r="BM312" t="s">
        <v>6055</v>
      </c>
      <c r="BN312" t="s">
        <v>74</v>
      </c>
      <c r="BO312" t="s">
        <v>4132</v>
      </c>
      <c r="BP312" t="s">
        <v>74</v>
      </c>
      <c r="BQ312" t="s">
        <v>74</v>
      </c>
      <c r="BR312" t="s">
        <v>105</v>
      </c>
      <c r="BS312" t="s">
        <v>6068</v>
      </c>
      <c r="BT312" t="str">
        <f>HYPERLINK("https%3A%2F%2Fwww.webofscience.com%2Fwos%2Fwoscc%2Ffull-record%2FWOS:000323394500008","View Full Record in Web of Science")</f>
        <v>View Full Record in Web of Science</v>
      </c>
    </row>
    <row r="313" spans="1:72" x14ac:dyDescent="0.15">
      <c r="A313" t="s">
        <v>72</v>
      </c>
      <c r="B313" t="s">
        <v>6069</v>
      </c>
      <c r="C313" t="s">
        <v>74</v>
      </c>
      <c r="D313" t="s">
        <v>74</v>
      </c>
      <c r="E313" t="s">
        <v>74</v>
      </c>
      <c r="F313" t="s">
        <v>6070</v>
      </c>
      <c r="G313" t="s">
        <v>74</v>
      </c>
      <c r="H313" t="s">
        <v>74</v>
      </c>
      <c r="I313" t="s">
        <v>6071</v>
      </c>
      <c r="J313" t="s">
        <v>6072</v>
      </c>
      <c r="K313" t="s">
        <v>74</v>
      </c>
      <c r="L313" t="s">
        <v>74</v>
      </c>
      <c r="M313" t="s">
        <v>78</v>
      </c>
      <c r="N313" t="s">
        <v>79</v>
      </c>
      <c r="O313" t="s">
        <v>74</v>
      </c>
      <c r="P313" t="s">
        <v>74</v>
      </c>
      <c r="Q313" t="s">
        <v>74</v>
      </c>
      <c r="R313" t="s">
        <v>74</v>
      </c>
      <c r="S313" t="s">
        <v>74</v>
      </c>
      <c r="T313" t="s">
        <v>74</v>
      </c>
      <c r="U313" t="s">
        <v>6073</v>
      </c>
      <c r="V313" t="s">
        <v>6074</v>
      </c>
      <c r="W313" t="s">
        <v>6075</v>
      </c>
      <c r="X313" t="s">
        <v>6076</v>
      </c>
      <c r="Y313" t="s">
        <v>6077</v>
      </c>
      <c r="Z313" t="s">
        <v>6078</v>
      </c>
      <c r="AA313" t="s">
        <v>6079</v>
      </c>
      <c r="AB313" t="s">
        <v>6080</v>
      </c>
      <c r="AC313" t="s">
        <v>6081</v>
      </c>
      <c r="AD313" t="s">
        <v>6082</v>
      </c>
      <c r="AE313" t="s">
        <v>6083</v>
      </c>
      <c r="AF313" t="s">
        <v>74</v>
      </c>
      <c r="AG313">
        <v>28</v>
      </c>
      <c r="AH313">
        <v>16</v>
      </c>
      <c r="AI313">
        <v>16</v>
      </c>
      <c r="AJ313">
        <v>0</v>
      </c>
      <c r="AK313">
        <v>8</v>
      </c>
      <c r="AL313" t="s">
        <v>4248</v>
      </c>
      <c r="AM313" t="s">
        <v>4249</v>
      </c>
      <c r="AN313" t="s">
        <v>4250</v>
      </c>
      <c r="AO313" t="s">
        <v>6084</v>
      </c>
      <c r="AP313" t="s">
        <v>6085</v>
      </c>
      <c r="AQ313" t="s">
        <v>74</v>
      </c>
      <c r="AR313" t="s">
        <v>6086</v>
      </c>
      <c r="AS313" t="s">
        <v>6087</v>
      </c>
      <c r="AT313" t="s">
        <v>74</v>
      </c>
      <c r="AU313">
        <v>2013</v>
      </c>
      <c r="AV313">
        <v>9</v>
      </c>
      <c r="AW313">
        <v>4</v>
      </c>
      <c r="AX313" t="s">
        <v>74</v>
      </c>
      <c r="AY313" t="s">
        <v>74</v>
      </c>
      <c r="AZ313" t="s">
        <v>74</v>
      </c>
      <c r="BA313" t="s">
        <v>74</v>
      </c>
      <c r="BB313">
        <v>1455</v>
      </c>
      <c r="BC313">
        <v>1465</v>
      </c>
      <c r="BD313" t="s">
        <v>74</v>
      </c>
      <c r="BE313" t="s">
        <v>6088</v>
      </c>
      <c r="BF313" t="str">
        <f>HYPERLINK("http://dx.doi.org/10.5194/cp-9-1455-2013","http://dx.doi.org/10.5194/cp-9-1455-2013")</f>
        <v>http://dx.doi.org/10.5194/cp-9-1455-2013</v>
      </c>
      <c r="BG313" t="s">
        <v>74</v>
      </c>
      <c r="BH313" t="s">
        <v>74</v>
      </c>
      <c r="BI313">
        <v>11</v>
      </c>
      <c r="BJ313" t="s">
        <v>6089</v>
      </c>
      <c r="BK313" t="s">
        <v>102</v>
      </c>
      <c r="BL313" t="s">
        <v>6090</v>
      </c>
      <c r="BM313" t="s">
        <v>6091</v>
      </c>
      <c r="BN313" t="s">
        <v>74</v>
      </c>
      <c r="BO313" t="s">
        <v>4621</v>
      </c>
      <c r="BP313" t="s">
        <v>74</v>
      </c>
      <c r="BQ313" t="s">
        <v>74</v>
      </c>
      <c r="BR313" t="s">
        <v>105</v>
      </c>
      <c r="BS313" t="s">
        <v>6092</v>
      </c>
      <c r="BT313" t="str">
        <f>HYPERLINK("https%3A%2F%2Fwww.webofscience.com%2Fwos%2Fwoscc%2Ffull-record%2FWOS:000323412600006","View Full Record in Web of Science")</f>
        <v>View Full Record in Web of Science</v>
      </c>
    </row>
    <row r="314" spans="1:72" x14ac:dyDescent="0.15">
      <c r="A314" t="s">
        <v>72</v>
      </c>
      <c r="B314" t="s">
        <v>6093</v>
      </c>
      <c r="C314" t="s">
        <v>74</v>
      </c>
      <c r="D314" t="s">
        <v>74</v>
      </c>
      <c r="E314" t="s">
        <v>74</v>
      </c>
      <c r="F314" t="s">
        <v>6094</v>
      </c>
      <c r="G314" t="s">
        <v>74</v>
      </c>
      <c r="H314" t="s">
        <v>74</v>
      </c>
      <c r="I314" t="s">
        <v>6095</v>
      </c>
      <c r="J314" t="s">
        <v>4238</v>
      </c>
      <c r="K314" t="s">
        <v>74</v>
      </c>
      <c r="L314" t="s">
        <v>74</v>
      </c>
      <c r="M314" t="s">
        <v>78</v>
      </c>
      <c r="N314" t="s">
        <v>79</v>
      </c>
      <c r="O314" t="s">
        <v>74</v>
      </c>
      <c r="P314" t="s">
        <v>74</v>
      </c>
      <c r="Q314" t="s">
        <v>74</v>
      </c>
      <c r="R314" t="s">
        <v>74</v>
      </c>
      <c r="S314" t="s">
        <v>74</v>
      </c>
      <c r="T314" t="s">
        <v>74</v>
      </c>
      <c r="U314" t="s">
        <v>6096</v>
      </c>
      <c r="V314" t="s">
        <v>6097</v>
      </c>
      <c r="W314" t="s">
        <v>6098</v>
      </c>
      <c r="X314" t="s">
        <v>3547</v>
      </c>
      <c r="Y314" t="s">
        <v>6099</v>
      </c>
      <c r="Z314" t="s">
        <v>6100</v>
      </c>
      <c r="AA314" t="s">
        <v>74</v>
      </c>
      <c r="AB314" t="s">
        <v>6101</v>
      </c>
      <c r="AC314" t="s">
        <v>6102</v>
      </c>
      <c r="AD314" t="s">
        <v>6103</v>
      </c>
      <c r="AE314" t="s">
        <v>6104</v>
      </c>
      <c r="AF314" t="s">
        <v>74</v>
      </c>
      <c r="AG314">
        <v>59</v>
      </c>
      <c r="AH314">
        <v>18</v>
      </c>
      <c r="AI314">
        <v>18</v>
      </c>
      <c r="AJ314">
        <v>0</v>
      </c>
      <c r="AK314">
        <v>23</v>
      </c>
      <c r="AL314" t="s">
        <v>4248</v>
      </c>
      <c r="AM314" t="s">
        <v>4249</v>
      </c>
      <c r="AN314" t="s">
        <v>4250</v>
      </c>
      <c r="AO314" t="s">
        <v>4251</v>
      </c>
      <c r="AP314" t="s">
        <v>4252</v>
      </c>
      <c r="AQ314" t="s">
        <v>74</v>
      </c>
      <c r="AR314" t="s">
        <v>4238</v>
      </c>
      <c r="AS314" t="s">
        <v>4253</v>
      </c>
      <c r="AT314" t="s">
        <v>74</v>
      </c>
      <c r="AU314">
        <v>2013</v>
      </c>
      <c r="AV314">
        <v>7</v>
      </c>
      <c r="AW314">
        <v>4</v>
      </c>
      <c r="AX314" t="s">
        <v>74</v>
      </c>
      <c r="AY314" t="s">
        <v>74</v>
      </c>
      <c r="AZ314" t="s">
        <v>74</v>
      </c>
      <c r="BA314" t="s">
        <v>74</v>
      </c>
      <c r="BB314">
        <v>1095</v>
      </c>
      <c r="BC314">
        <v>1106</v>
      </c>
      <c r="BD314" t="s">
        <v>74</v>
      </c>
      <c r="BE314" t="s">
        <v>6105</v>
      </c>
      <c r="BF314" t="str">
        <f>HYPERLINK("http://dx.doi.org/10.5194/tc-7-1095-2013","http://dx.doi.org/10.5194/tc-7-1095-2013")</f>
        <v>http://dx.doi.org/10.5194/tc-7-1095-2013</v>
      </c>
      <c r="BG314" t="s">
        <v>74</v>
      </c>
      <c r="BH314" t="s">
        <v>74</v>
      </c>
      <c r="BI314">
        <v>12</v>
      </c>
      <c r="BJ314" t="s">
        <v>2261</v>
      </c>
      <c r="BK314" t="s">
        <v>102</v>
      </c>
      <c r="BL314" t="s">
        <v>2262</v>
      </c>
      <c r="BM314" t="s">
        <v>6106</v>
      </c>
      <c r="BN314" t="s">
        <v>74</v>
      </c>
      <c r="BO314" t="s">
        <v>4132</v>
      </c>
      <c r="BP314" t="s">
        <v>74</v>
      </c>
      <c r="BQ314" t="s">
        <v>74</v>
      </c>
      <c r="BR314" t="s">
        <v>105</v>
      </c>
      <c r="BS314" t="s">
        <v>6107</v>
      </c>
      <c r="BT314" t="str">
        <f>HYPERLINK("https%3A%2F%2Fwww.webofscience.com%2Fwos%2Fwoscc%2Ffull-record%2FWOS:000323985700006","View Full Record in Web of Science")</f>
        <v>View Full Record in Web of Science</v>
      </c>
    </row>
    <row r="315" spans="1:72" x14ac:dyDescent="0.15">
      <c r="A315" t="s">
        <v>72</v>
      </c>
      <c r="B315" t="s">
        <v>6108</v>
      </c>
      <c r="C315" t="s">
        <v>74</v>
      </c>
      <c r="D315" t="s">
        <v>74</v>
      </c>
      <c r="E315" t="s">
        <v>74</v>
      </c>
      <c r="F315" t="s">
        <v>6109</v>
      </c>
      <c r="G315" t="s">
        <v>74</v>
      </c>
      <c r="H315" t="s">
        <v>74</v>
      </c>
      <c r="I315" t="s">
        <v>6110</v>
      </c>
      <c r="J315" t="s">
        <v>4238</v>
      </c>
      <c r="K315" t="s">
        <v>74</v>
      </c>
      <c r="L315" t="s">
        <v>74</v>
      </c>
      <c r="M315" t="s">
        <v>78</v>
      </c>
      <c r="N315" t="s">
        <v>79</v>
      </c>
      <c r="O315" t="s">
        <v>74</v>
      </c>
      <c r="P315" t="s">
        <v>74</v>
      </c>
      <c r="Q315" t="s">
        <v>74</v>
      </c>
      <c r="R315" t="s">
        <v>74</v>
      </c>
      <c r="S315" t="s">
        <v>74</v>
      </c>
      <c r="T315" t="s">
        <v>74</v>
      </c>
      <c r="U315" t="s">
        <v>6111</v>
      </c>
      <c r="V315" t="s">
        <v>6112</v>
      </c>
      <c r="W315" t="s">
        <v>6113</v>
      </c>
      <c r="X315" t="s">
        <v>6114</v>
      </c>
      <c r="Y315" t="s">
        <v>6115</v>
      </c>
      <c r="Z315" t="s">
        <v>6116</v>
      </c>
      <c r="AA315" t="s">
        <v>6117</v>
      </c>
      <c r="AB315" t="s">
        <v>6118</v>
      </c>
      <c r="AC315" t="s">
        <v>6119</v>
      </c>
      <c r="AD315" t="s">
        <v>6120</v>
      </c>
      <c r="AE315" t="s">
        <v>6121</v>
      </c>
      <c r="AF315" t="s">
        <v>74</v>
      </c>
      <c r="AG315">
        <v>59</v>
      </c>
      <c r="AH315">
        <v>28</v>
      </c>
      <c r="AI315">
        <v>29</v>
      </c>
      <c r="AJ315">
        <v>0</v>
      </c>
      <c r="AK315">
        <v>19</v>
      </c>
      <c r="AL315" t="s">
        <v>4248</v>
      </c>
      <c r="AM315" t="s">
        <v>4249</v>
      </c>
      <c r="AN315" t="s">
        <v>4250</v>
      </c>
      <c r="AO315" t="s">
        <v>4251</v>
      </c>
      <c r="AP315" t="s">
        <v>4252</v>
      </c>
      <c r="AQ315" t="s">
        <v>74</v>
      </c>
      <c r="AR315" t="s">
        <v>4238</v>
      </c>
      <c r="AS315" t="s">
        <v>4253</v>
      </c>
      <c r="AT315" t="s">
        <v>74</v>
      </c>
      <c r="AU315">
        <v>2013</v>
      </c>
      <c r="AV315">
        <v>7</v>
      </c>
      <c r="AW315">
        <v>4</v>
      </c>
      <c r="AX315" t="s">
        <v>74</v>
      </c>
      <c r="AY315" t="s">
        <v>74</v>
      </c>
      <c r="AZ315" t="s">
        <v>74</v>
      </c>
      <c r="BA315" t="s">
        <v>74</v>
      </c>
      <c r="BB315">
        <v>1247</v>
      </c>
      <c r="BC315">
        <v>1262</v>
      </c>
      <c r="BD315" t="s">
        <v>74</v>
      </c>
      <c r="BE315" t="s">
        <v>6122</v>
      </c>
      <c r="BF315" t="str">
        <f>HYPERLINK("http://dx.doi.org/10.5194/tc-7-1247-2013","http://dx.doi.org/10.5194/tc-7-1247-2013")</f>
        <v>http://dx.doi.org/10.5194/tc-7-1247-2013</v>
      </c>
      <c r="BG315" t="s">
        <v>74</v>
      </c>
      <c r="BH315" t="s">
        <v>74</v>
      </c>
      <c r="BI315">
        <v>16</v>
      </c>
      <c r="BJ315" t="s">
        <v>2261</v>
      </c>
      <c r="BK315" t="s">
        <v>102</v>
      </c>
      <c r="BL315" t="s">
        <v>2262</v>
      </c>
      <c r="BM315" t="s">
        <v>6106</v>
      </c>
      <c r="BN315" t="s">
        <v>74</v>
      </c>
      <c r="BO315" t="s">
        <v>4621</v>
      </c>
      <c r="BP315" t="s">
        <v>74</v>
      </c>
      <c r="BQ315" t="s">
        <v>74</v>
      </c>
      <c r="BR315" t="s">
        <v>105</v>
      </c>
      <c r="BS315" t="s">
        <v>6123</v>
      </c>
      <c r="BT315" t="str">
        <f>HYPERLINK("https%3A%2F%2Fwww.webofscience.com%2Fwos%2Fwoscc%2Ffull-record%2FWOS:000323985700016","View Full Record in Web of Science")</f>
        <v>View Full Record in Web of Science</v>
      </c>
    </row>
    <row r="316" spans="1:72" x14ac:dyDescent="0.15">
      <c r="A316" t="s">
        <v>72</v>
      </c>
      <c r="B316" t="s">
        <v>6124</v>
      </c>
      <c r="C316" t="s">
        <v>74</v>
      </c>
      <c r="D316" t="s">
        <v>74</v>
      </c>
      <c r="E316" t="s">
        <v>74</v>
      </c>
      <c r="F316" t="s">
        <v>6125</v>
      </c>
      <c r="G316" t="s">
        <v>74</v>
      </c>
      <c r="H316" t="s">
        <v>74</v>
      </c>
      <c r="I316" t="s">
        <v>6126</v>
      </c>
      <c r="J316" t="s">
        <v>6127</v>
      </c>
      <c r="K316" t="s">
        <v>74</v>
      </c>
      <c r="L316" t="s">
        <v>74</v>
      </c>
      <c r="M316" t="s">
        <v>78</v>
      </c>
      <c r="N316" t="s">
        <v>79</v>
      </c>
      <c r="O316" t="s">
        <v>74</v>
      </c>
      <c r="P316" t="s">
        <v>74</v>
      </c>
      <c r="Q316" t="s">
        <v>74</v>
      </c>
      <c r="R316" t="s">
        <v>74</v>
      </c>
      <c r="S316" t="s">
        <v>74</v>
      </c>
      <c r="T316" t="s">
        <v>74</v>
      </c>
      <c r="U316" t="s">
        <v>6128</v>
      </c>
      <c r="V316" t="s">
        <v>6129</v>
      </c>
      <c r="W316" t="s">
        <v>6130</v>
      </c>
      <c r="X316" t="s">
        <v>6131</v>
      </c>
      <c r="Y316" t="s">
        <v>6132</v>
      </c>
      <c r="Z316" t="s">
        <v>6133</v>
      </c>
      <c r="AA316" t="s">
        <v>6134</v>
      </c>
      <c r="AB316" t="s">
        <v>6135</v>
      </c>
      <c r="AC316" t="s">
        <v>74</v>
      </c>
      <c r="AD316" t="s">
        <v>74</v>
      </c>
      <c r="AE316" t="s">
        <v>74</v>
      </c>
      <c r="AF316" t="s">
        <v>74</v>
      </c>
      <c r="AG316">
        <v>106</v>
      </c>
      <c r="AH316">
        <v>87</v>
      </c>
      <c r="AI316">
        <v>100</v>
      </c>
      <c r="AJ316">
        <v>1</v>
      </c>
      <c r="AK316">
        <v>36</v>
      </c>
      <c r="AL316" t="s">
        <v>4248</v>
      </c>
      <c r="AM316" t="s">
        <v>4249</v>
      </c>
      <c r="AN316" t="s">
        <v>4250</v>
      </c>
      <c r="AO316" t="s">
        <v>6136</v>
      </c>
      <c r="AP316" t="s">
        <v>74</v>
      </c>
      <c r="AQ316" t="s">
        <v>74</v>
      </c>
      <c r="AR316" t="s">
        <v>6137</v>
      </c>
      <c r="AS316" t="s">
        <v>6138</v>
      </c>
      <c r="AT316" t="s">
        <v>74</v>
      </c>
      <c r="AU316">
        <v>2013</v>
      </c>
      <c r="AV316">
        <v>17</v>
      </c>
      <c r="AW316">
        <v>8</v>
      </c>
      <c r="AX316" t="s">
        <v>74</v>
      </c>
      <c r="AY316" t="s">
        <v>74</v>
      </c>
      <c r="AZ316" t="s">
        <v>74</v>
      </c>
      <c r="BA316" t="s">
        <v>74</v>
      </c>
      <c r="BB316">
        <v>3005</v>
      </c>
      <c r="BC316">
        <v>3021</v>
      </c>
      <c r="BD316" t="s">
        <v>74</v>
      </c>
      <c r="BE316" t="s">
        <v>6139</v>
      </c>
      <c r="BF316" t="str">
        <f>HYPERLINK("http://dx.doi.org/10.5194/hess-17-3005-2013","http://dx.doi.org/10.5194/hess-17-3005-2013")</f>
        <v>http://dx.doi.org/10.5194/hess-17-3005-2013</v>
      </c>
      <c r="BG316" t="s">
        <v>74</v>
      </c>
      <c r="BH316" t="s">
        <v>74</v>
      </c>
      <c r="BI316">
        <v>17</v>
      </c>
      <c r="BJ316" t="s">
        <v>1828</v>
      </c>
      <c r="BK316" t="s">
        <v>102</v>
      </c>
      <c r="BL316" t="s">
        <v>1829</v>
      </c>
      <c r="BM316" t="s">
        <v>6140</v>
      </c>
      <c r="BN316" t="s">
        <v>74</v>
      </c>
      <c r="BO316" t="s">
        <v>5316</v>
      </c>
      <c r="BP316" t="s">
        <v>74</v>
      </c>
      <c r="BQ316" t="s">
        <v>74</v>
      </c>
      <c r="BR316" t="s">
        <v>105</v>
      </c>
      <c r="BS316" t="s">
        <v>6141</v>
      </c>
      <c r="BT316" t="str">
        <f>HYPERLINK("https%3A%2F%2Fwww.webofscience.com%2Fwos%2Fwoscc%2Ffull-record%2FWOS:000323981900001","View Full Record in Web of Science")</f>
        <v>View Full Record in Web of Science</v>
      </c>
    </row>
    <row r="317" spans="1:72" x14ac:dyDescent="0.15">
      <c r="A317" t="s">
        <v>72</v>
      </c>
      <c r="B317" t="s">
        <v>6142</v>
      </c>
      <c r="C317" t="s">
        <v>74</v>
      </c>
      <c r="D317" t="s">
        <v>74</v>
      </c>
      <c r="E317" t="s">
        <v>74</v>
      </c>
      <c r="F317" t="s">
        <v>6143</v>
      </c>
      <c r="G317" t="s">
        <v>74</v>
      </c>
      <c r="H317" t="s">
        <v>74</v>
      </c>
      <c r="I317" t="s">
        <v>6144</v>
      </c>
      <c r="J317" t="s">
        <v>6145</v>
      </c>
      <c r="K317" t="s">
        <v>74</v>
      </c>
      <c r="L317" t="s">
        <v>74</v>
      </c>
      <c r="M317" t="s">
        <v>78</v>
      </c>
      <c r="N317" t="s">
        <v>79</v>
      </c>
      <c r="O317" t="s">
        <v>74</v>
      </c>
      <c r="P317" t="s">
        <v>74</v>
      </c>
      <c r="Q317" t="s">
        <v>74</v>
      </c>
      <c r="R317" t="s">
        <v>74</v>
      </c>
      <c r="S317" t="s">
        <v>74</v>
      </c>
      <c r="T317" t="s">
        <v>74</v>
      </c>
      <c r="U317" t="s">
        <v>6146</v>
      </c>
      <c r="V317" t="s">
        <v>6147</v>
      </c>
      <c r="W317" t="s">
        <v>6148</v>
      </c>
      <c r="X317" t="s">
        <v>6149</v>
      </c>
      <c r="Y317" t="s">
        <v>6150</v>
      </c>
      <c r="Z317" t="s">
        <v>6151</v>
      </c>
      <c r="AA317" t="s">
        <v>6152</v>
      </c>
      <c r="AB317" t="s">
        <v>6153</v>
      </c>
      <c r="AC317" t="s">
        <v>6154</v>
      </c>
      <c r="AD317" t="s">
        <v>6155</v>
      </c>
      <c r="AE317" t="s">
        <v>6156</v>
      </c>
      <c r="AF317" t="s">
        <v>74</v>
      </c>
      <c r="AG317">
        <v>23</v>
      </c>
      <c r="AH317">
        <v>5</v>
      </c>
      <c r="AI317">
        <v>5</v>
      </c>
      <c r="AJ317">
        <v>1</v>
      </c>
      <c r="AK317">
        <v>14</v>
      </c>
      <c r="AL317" t="s">
        <v>6157</v>
      </c>
      <c r="AM317" t="s">
        <v>5988</v>
      </c>
      <c r="AN317" t="s">
        <v>6158</v>
      </c>
      <c r="AO317" t="s">
        <v>6159</v>
      </c>
      <c r="AP317" t="s">
        <v>74</v>
      </c>
      <c r="AQ317" t="s">
        <v>74</v>
      </c>
      <c r="AR317" t="s">
        <v>6145</v>
      </c>
      <c r="AS317" t="s">
        <v>6145</v>
      </c>
      <c r="AT317" t="s">
        <v>74</v>
      </c>
      <c r="AU317">
        <v>2013</v>
      </c>
      <c r="AV317">
        <v>9</v>
      </c>
      <c r="AW317" t="s">
        <v>74</v>
      </c>
      <c r="AX317" t="s">
        <v>74</v>
      </c>
      <c r="AY317" t="s">
        <v>74</v>
      </c>
      <c r="AZ317" t="s">
        <v>74</v>
      </c>
      <c r="BA317" t="s">
        <v>74</v>
      </c>
      <c r="BB317">
        <v>32</v>
      </c>
      <c r="BC317">
        <v>35</v>
      </c>
      <c r="BD317" t="s">
        <v>74</v>
      </c>
      <c r="BE317" t="s">
        <v>6160</v>
      </c>
      <c r="BF317" t="str">
        <f>HYPERLINK("http://dx.doi.org/10.2151/sola.2013-008","http://dx.doi.org/10.2151/sola.2013-008")</f>
        <v>http://dx.doi.org/10.2151/sola.2013-008</v>
      </c>
      <c r="BG317" t="s">
        <v>74</v>
      </c>
      <c r="BH317" t="s">
        <v>74</v>
      </c>
      <c r="BI317">
        <v>4</v>
      </c>
      <c r="BJ317" t="s">
        <v>101</v>
      </c>
      <c r="BK317" t="s">
        <v>102</v>
      </c>
      <c r="BL317" t="s">
        <v>101</v>
      </c>
      <c r="BM317" t="s">
        <v>6161</v>
      </c>
      <c r="BN317" t="s">
        <v>74</v>
      </c>
      <c r="BO317" t="s">
        <v>128</v>
      </c>
      <c r="BP317" t="s">
        <v>74</v>
      </c>
      <c r="BQ317" t="s">
        <v>74</v>
      </c>
      <c r="BR317" t="s">
        <v>105</v>
      </c>
      <c r="BS317" t="s">
        <v>6162</v>
      </c>
      <c r="BT317" t="str">
        <f>HYPERLINK("https%3A%2F%2Fwww.webofscience.com%2Fwos%2Fwoscc%2Ffull-record%2FWOS:000323317100008","View Full Record in Web of Science")</f>
        <v>View Full Record in Web of Science</v>
      </c>
    </row>
    <row r="318" spans="1:72" x14ac:dyDescent="0.15">
      <c r="A318" t="s">
        <v>3224</v>
      </c>
      <c r="B318" t="s">
        <v>6163</v>
      </c>
      <c r="C318" t="s">
        <v>74</v>
      </c>
      <c r="D318" t="s">
        <v>6164</v>
      </c>
      <c r="E318" t="s">
        <v>74</v>
      </c>
      <c r="F318" t="s">
        <v>6165</v>
      </c>
      <c r="G318" t="s">
        <v>74</v>
      </c>
      <c r="H318" t="s">
        <v>74</v>
      </c>
      <c r="I318" t="s">
        <v>6166</v>
      </c>
      <c r="J318" t="s">
        <v>6167</v>
      </c>
      <c r="K318" t="s">
        <v>5255</v>
      </c>
      <c r="L318" t="s">
        <v>74</v>
      </c>
      <c r="M318" t="s">
        <v>78</v>
      </c>
      <c r="N318" t="s">
        <v>3231</v>
      </c>
      <c r="O318" t="s">
        <v>6168</v>
      </c>
      <c r="P318" t="s">
        <v>6169</v>
      </c>
      <c r="Q318" t="s">
        <v>6170</v>
      </c>
      <c r="R318" t="s">
        <v>74</v>
      </c>
      <c r="S318" t="s">
        <v>74</v>
      </c>
      <c r="T318" t="s">
        <v>6171</v>
      </c>
      <c r="U318" t="s">
        <v>74</v>
      </c>
      <c r="V318" t="s">
        <v>6172</v>
      </c>
      <c r="W318" t="s">
        <v>6173</v>
      </c>
      <c r="X318" t="s">
        <v>6174</v>
      </c>
      <c r="Y318" t="s">
        <v>6175</v>
      </c>
      <c r="Z318" t="s">
        <v>6176</v>
      </c>
      <c r="AA318" t="s">
        <v>6177</v>
      </c>
      <c r="AB318" t="s">
        <v>74</v>
      </c>
      <c r="AC318" t="s">
        <v>74</v>
      </c>
      <c r="AD318" t="s">
        <v>74</v>
      </c>
      <c r="AE318" t="s">
        <v>74</v>
      </c>
      <c r="AF318" t="s">
        <v>74</v>
      </c>
      <c r="AG318">
        <v>5</v>
      </c>
      <c r="AH318">
        <v>0</v>
      </c>
      <c r="AI318">
        <v>0</v>
      </c>
      <c r="AJ318">
        <v>2</v>
      </c>
      <c r="AK318">
        <v>8</v>
      </c>
      <c r="AL318" t="s">
        <v>5265</v>
      </c>
      <c r="AM318" t="s">
        <v>5266</v>
      </c>
      <c r="AN318" t="s">
        <v>5267</v>
      </c>
      <c r="AO318" t="s">
        <v>5268</v>
      </c>
      <c r="AP318" t="s">
        <v>5289</v>
      </c>
      <c r="AQ318" t="s">
        <v>6178</v>
      </c>
      <c r="AR318" t="s">
        <v>5270</v>
      </c>
      <c r="AS318" t="s">
        <v>74</v>
      </c>
      <c r="AT318" t="s">
        <v>74</v>
      </c>
      <c r="AU318">
        <v>2013</v>
      </c>
      <c r="AV318">
        <v>8761</v>
      </c>
      <c r="AW318" t="s">
        <v>74</v>
      </c>
      <c r="AX318" t="s">
        <v>74</v>
      </c>
      <c r="AY318" t="s">
        <v>74</v>
      </c>
      <c r="AZ318" t="s">
        <v>74</v>
      </c>
      <c r="BA318" t="s">
        <v>74</v>
      </c>
      <c r="BB318" t="s">
        <v>74</v>
      </c>
      <c r="BC318" t="s">
        <v>74</v>
      </c>
      <c r="BD318" t="s">
        <v>6179</v>
      </c>
      <c r="BE318" t="s">
        <v>6180</v>
      </c>
      <c r="BF318" t="str">
        <f>HYPERLINK("http://dx.doi.org/10.1117/12.2020289","http://dx.doi.org/10.1117/12.2020289")</f>
        <v>http://dx.doi.org/10.1117/12.2020289</v>
      </c>
      <c r="BG318" t="s">
        <v>74</v>
      </c>
      <c r="BH318" t="s">
        <v>74</v>
      </c>
      <c r="BI318">
        <v>7</v>
      </c>
      <c r="BJ318" t="s">
        <v>6181</v>
      </c>
      <c r="BK318" t="s">
        <v>3247</v>
      </c>
      <c r="BL318" t="s">
        <v>6182</v>
      </c>
      <c r="BM318" t="s">
        <v>6183</v>
      </c>
      <c r="BN318" t="s">
        <v>74</v>
      </c>
      <c r="BO318" t="s">
        <v>74</v>
      </c>
      <c r="BP318" t="s">
        <v>74</v>
      </c>
      <c r="BQ318" t="s">
        <v>74</v>
      </c>
      <c r="BR318" t="s">
        <v>105</v>
      </c>
      <c r="BS318" t="s">
        <v>6184</v>
      </c>
      <c r="BT318" t="str">
        <f>HYPERLINK("https%3A%2F%2Fwww.webofscience.com%2Fwos%2Fwoscc%2Ffull-record%2FWOS:000323255700018","View Full Record in Web of Science")</f>
        <v>View Full Record in Web of Science</v>
      </c>
    </row>
    <row r="319" spans="1:72" x14ac:dyDescent="0.15">
      <c r="A319" t="s">
        <v>3224</v>
      </c>
      <c r="B319" t="s">
        <v>6185</v>
      </c>
      <c r="C319" t="s">
        <v>74</v>
      </c>
      <c r="D319" t="s">
        <v>6186</v>
      </c>
      <c r="E319" t="s">
        <v>74</v>
      </c>
      <c r="F319" t="s">
        <v>6187</v>
      </c>
      <c r="G319" t="s">
        <v>74</v>
      </c>
      <c r="H319" t="s">
        <v>74</v>
      </c>
      <c r="I319" t="s">
        <v>6188</v>
      </c>
      <c r="J319" t="s">
        <v>6189</v>
      </c>
      <c r="K319" t="s">
        <v>5255</v>
      </c>
      <c r="L319" t="s">
        <v>74</v>
      </c>
      <c r="M319" t="s">
        <v>78</v>
      </c>
      <c r="N319" t="s">
        <v>3231</v>
      </c>
      <c r="O319" t="s">
        <v>6190</v>
      </c>
      <c r="P319" t="s">
        <v>6191</v>
      </c>
      <c r="Q319" t="s">
        <v>6192</v>
      </c>
      <c r="R319" t="s">
        <v>74</v>
      </c>
      <c r="S319" t="s">
        <v>74</v>
      </c>
      <c r="T319" t="s">
        <v>6193</v>
      </c>
      <c r="U319" t="s">
        <v>6194</v>
      </c>
      <c r="V319" t="s">
        <v>6195</v>
      </c>
      <c r="W319" t="s">
        <v>6196</v>
      </c>
      <c r="X319" t="s">
        <v>6197</v>
      </c>
      <c r="Y319" t="s">
        <v>6198</v>
      </c>
      <c r="Z319" t="s">
        <v>6199</v>
      </c>
      <c r="AA319" t="s">
        <v>6200</v>
      </c>
      <c r="AB319" t="s">
        <v>6201</v>
      </c>
      <c r="AC319" t="s">
        <v>74</v>
      </c>
      <c r="AD319" t="s">
        <v>74</v>
      </c>
      <c r="AE319" t="s">
        <v>74</v>
      </c>
      <c r="AF319" t="s">
        <v>74</v>
      </c>
      <c r="AG319">
        <v>14</v>
      </c>
      <c r="AH319">
        <v>1</v>
      </c>
      <c r="AI319">
        <v>1</v>
      </c>
      <c r="AJ319">
        <v>1</v>
      </c>
      <c r="AK319">
        <v>2</v>
      </c>
      <c r="AL319" t="s">
        <v>5265</v>
      </c>
      <c r="AM319" t="s">
        <v>5266</v>
      </c>
      <c r="AN319" t="s">
        <v>5267</v>
      </c>
      <c r="AO319" t="s">
        <v>5268</v>
      </c>
      <c r="AP319" t="s">
        <v>5289</v>
      </c>
      <c r="AQ319" t="s">
        <v>6202</v>
      </c>
      <c r="AR319" t="s">
        <v>5270</v>
      </c>
      <c r="AS319" t="s">
        <v>74</v>
      </c>
      <c r="AT319" t="s">
        <v>74</v>
      </c>
      <c r="AU319">
        <v>2013</v>
      </c>
      <c r="AV319">
        <v>8731</v>
      </c>
      <c r="AW319" t="s">
        <v>74</v>
      </c>
      <c r="AX319" t="s">
        <v>74</v>
      </c>
      <c r="AY319" t="s">
        <v>74</v>
      </c>
      <c r="AZ319" t="s">
        <v>74</v>
      </c>
      <c r="BA319" t="s">
        <v>74</v>
      </c>
      <c r="BB319" t="s">
        <v>74</v>
      </c>
      <c r="BC319" t="s">
        <v>74</v>
      </c>
      <c r="BD319" t="s">
        <v>6203</v>
      </c>
      <c r="BE319" t="s">
        <v>6204</v>
      </c>
      <c r="BF319" t="str">
        <f>HYPERLINK("http://dx.doi.org/10.1117/12.2026617","http://dx.doi.org/10.1117/12.2026617")</f>
        <v>http://dx.doi.org/10.1117/12.2026617</v>
      </c>
      <c r="BG319" t="s">
        <v>74</v>
      </c>
      <c r="BH319" t="s">
        <v>74</v>
      </c>
      <c r="BI319">
        <v>8</v>
      </c>
      <c r="BJ319" t="s">
        <v>6205</v>
      </c>
      <c r="BK319" t="s">
        <v>3247</v>
      </c>
      <c r="BL319" t="s">
        <v>6205</v>
      </c>
      <c r="BM319" t="s">
        <v>6206</v>
      </c>
      <c r="BN319" t="s">
        <v>74</v>
      </c>
      <c r="BO319" t="s">
        <v>74</v>
      </c>
      <c r="BP319" t="s">
        <v>74</v>
      </c>
      <c r="BQ319" t="s">
        <v>74</v>
      </c>
      <c r="BR319" t="s">
        <v>105</v>
      </c>
      <c r="BS319" t="s">
        <v>6207</v>
      </c>
      <c r="BT319" t="str">
        <f>HYPERLINK("https%3A%2F%2Fwww.webofscience.com%2Fwos%2Fwoscc%2Ffull-record%2FWOS:000323324800030","View Full Record in Web of Science")</f>
        <v>View Full Record in Web of Science</v>
      </c>
    </row>
    <row r="320" spans="1:72" x14ac:dyDescent="0.15">
      <c r="A320" t="s">
        <v>3224</v>
      </c>
      <c r="B320" t="s">
        <v>6208</v>
      </c>
      <c r="C320" t="s">
        <v>74</v>
      </c>
      <c r="D320" t="s">
        <v>74</v>
      </c>
      <c r="E320" t="s">
        <v>3226</v>
      </c>
      <c r="F320" t="s">
        <v>6209</v>
      </c>
      <c r="G320" t="s">
        <v>74</v>
      </c>
      <c r="H320" t="s">
        <v>74</v>
      </c>
      <c r="I320" t="s">
        <v>6210</v>
      </c>
      <c r="J320" t="s">
        <v>6211</v>
      </c>
      <c r="K320" t="s">
        <v>6212</v>
      </c>
      <c r="L320" t="s">
        <v>74</v>
      </c>
      <c r="M320" t="s">
        <v>78</v>
      </c>
      <c r="N320" t="s">
        <v>3231</v>
      </c>
      <c r="O320" t="s">
        <v>6213</v>
      </c>
      <c r="P320" t="s">
        <v>6214</v>
      </c>
      <c r="Q320" t="s">
        <v>6215</v>
      </c>
      <c r="R320" t="s">
        <v>74</v>
      </c>
      <c r="S320" t="s">
        <v>74</v>
      </c>
      <c r="T320" t="s">
        <v>74</v>
      </c>
      <c r="U320" t="s">
        <v>74</v>
      </c>
      <c r="V320" t="s">
        <v>6216</v>
      </c>
      <c r="W320" t="s">
        <v>6217</v>
      </c>
      <c r="X320" t="s">
        <v>6218</v>
      </c>
      <c r="Y320" t="s">
        <v>6219</v>
      </c>
      <c r="Z320" t="s">
        <v>6220</v>
      </c>
      <c r="AA320" t="s">
        <v>74</v>
      </c>
      <c r="AB320" t="s">
        <v>6221</v>
      </c>
      <c r="AC320" t="s">
        <v>74</v>
      </c>
      <c r="AD320" t="s">
        <v>74</v>
      </c>
      <c r="AE320" t="s">
        <v>74</v>
      </c>
      <c r="AF320" t="s">
        <v>74</v>
      </c>
      <c r="AG320">
        <v>14</v>
      </c>
      <c r="AH320">
        <v>0</v>
      </c>
      <c r="AI320">
        <v>0</v>
      </c>
      <c r="AJ320">
        <v>0</v>
      </c>
      <c r="AK320">
        <v>5</v>
      </c>
      <c r="AL320" t="s">
        <v>3226</v>
      </c>
      <c r="AM320" t="s">
        <v>296</v>
      </c>
      <c r="AN320" t="s">
        <v>3244</v>
      </c>
      <c r="AO320" t="s">
        <v>6222</v>
      </c>
      <c r="AP320" t="s">
        <v>6223</v>
      </c>
      <c r="AQ320" t="s">
        <v>6224</v>
      </c>
      <c r="AR320" t="s">
        <v>6225</v>
      </c>
      <c r="AS320" t="s">
        <v>74</v>
      </c>
      <c r="AT320" t="s">
        <v>74</v>
      </c>
      <c r="AU320">
        <v>2013</v>
      </c>
      <c r="AV320" t="s">
        <v>74</v>
      </c>
      <c r="AW320" t="s">
        <v>74</v>
      </c>
      <c r="AX320" t="s">
        <v>74</v>
      </c>
      <c r="AY320" t="s">
        <v>74</v>
      </c>
      <c r="AZ320" t="s">
        <v>74</v>
      </c>
      <c r="BA320" t="s">
        <v>74</v>
      </c>
      <c r="BB320" t="s">
        <v>74</v>
      </c>
      <c r="BC320" t="s">
        <v>74</v>
      </c>
      <c r="BD320" t="s">
        <v>74</v>
      </c>
      <c r="BE320" t="s">
        <v>74</v>
      </c>
      <c r="BF320" t="s">
        <v>74</v>
      </c>
      <c r="BG320" t="s">
        <v>74</v>
      </c>
      <c r="BH320" t="s">
        <v>74</v>
      </c>
      <c r="BI320">
        <v>9</v>
      </c>
      <c r="BJ320" t="s">
        <v>6226</v>
      </c>
      <c r="BK320" t="s">
        <v>3247</v>
      </c>
      <c r="BL320" t="s">
        <v>3248</v>
      </c>
      <c r="BM320" t="s">
        <v>6227</v>
      </c>
      <c r="BN320" t="s">
        <v>74</v>
      </c>
      <c r="BO320" t="s">
        <v>74</v>
      </c>
      <c r="BP320" t="s">
        <v>74</v>
      </c>
      <c r="BQ320" t="s">
        <v>74</v>
      </c>
      <c r="BR320" t="s">
        <v>105</v>
      </c>
      <c r="BS320" t="s">
        <v>6228</v>
      </c>
      <c r="BT320" t="str">
        <f>HYPERLINK("https%3A%2F%2Fwww.webofscience.com%2Fwos%2Fwoscc%2Ffull-record%2FWOS:000322477900001","View Full Record in Web of Science")</f>
        <v>View Full Record in Web of Science</v>
      </c>
    </row>
    <row r="321" spans="1:72" x14ac:dyDescent="0.15">
      <c r="A321" t="s">
        <v>72</v>
      </c>
      <c r="B321" t="s">
        <v>6229</v>
      </c>
      <c r="C321" t="s">
        <v>74</v>
      </c>
      <c r="D321" t="s">
        <v>74</v>
      </c>
      <c r="E321" t="s">
        <v>74</v>
      </c>
      <c r="F321" t="s">
        <v>6230</v>
      </c>
      <c r="G321" t="s">
        <v>74</v>
      </c>
      <c r="H321" t="s">
        <v>74</v>
      </c>
      <c r="I321" t="s">
        <v>6231</v>
      </c>
      <c r="J321" t="s">
        <v>4521</v>
      </c>
      <c r="K321" t="s">
        <v>74</v>
      </c>
      <c r="L321" t="s">
        <v>74</v>
      </c>
      <c r="M321" t="s">
        <v>78</v>
      </c>
      <c r="N321" t="s">
        <v>79</v>
      </c>
      <c r="O321" t="s">
        <v>74</v>
      </c>
      <c r="P321" t="s">
        <v>74</v>
      </c>
      <c r="Q321" t="s">
        <v>74</v>
      </c>
      <c r="R321" t="s">
        <v>74</v>
      </c>
      <c r="S321" t="s">
        <v>74</v>
      </c>
      <c r="T321" t="s">
        <v>74</v>
      </c>
      <c r="U321" t="s">
        <v>6232</v>
      </c>
      <c r="V321" t="s">
        <v>6233</v>
      </c>
      <c r="W321" t="s">
        <v>6234</v>
      </c>
      <c r="X321" t="s">
        <v>6235</v>
      </c>
      <c r="Y321" t="s">
        <v>6236</v>
      </c>
      <c r="Z321" t="s">
        <v>6237</v>
      </c>
      <c r="AA321" t="s">
        <v>6238</v>
      </c>
      <c r="AB321" t="s">
        <v>6239</v>
      </c>
      <c r="AC321" t="s">
        <v>6240</v>
      </c>
      <c r="AD321" t="s">
        <v>6241</v>
      </c>
      <c r="AE321" t="s">
        <v>6242</v>
      </c>
      <c r="AF321" t="s">
        <v>74</v>
      </c>
      <c r="AG321">
        <v>55</v>
      </c>
      <c r="AH321">
        <v>36</v>
      </c>
      <c r="AI321">
        <v>39</v>
      </c>
      <c r="AJ321">
        <v>2</v>
      </c>
      <c r="AK321">
        <v>41</v>
      </c>
      <c r="AL321" t="s">
        <v>4248</v>
      </c>
      <c r="AM321" t="s">
        <v>4249</v>
      </c>
      <c r="AN321" t="s">
        <v>4250</v>
      </c>
      <c r="AO321" t="s">
        <v>4533</v>
      </c>
      <c r="AP321" t="s">
        <v>4534</v>
      </c>
      <c r="AQ321" t="s">
        <v>74</v>
      </c>
      <c r="AR321" t="s">
        <v>4535</v>
      </c>
      <c r="AS321" t="s">
        <v>4536</v>
      </c>
      <c r="AT321" t="s">
        <v>74</v>
      </c>
      <c r="AU321">
        <v>2013</v>
      </c>
      <c r="AV321">
        <v>13</v>
      </c>
      <c r="AW321">
        <v>15</v>
      </c>
      <c r="AX321" t="s">
        <v>74</v>
      </c>
      <c r="AY321" t="s">
        <v>74</v>
      </c>
      <c r="AZ321" t="s">
        <v>74</v>
      </c>
      <c r="BA321" t="s">
        <v>74</v>
      </c>
      <c r="BB321">
        <v>7473</v>
      </c>
      <c r="BC321">
        <v>7487</v>
      </c>
      <c r="BD321" t="s">
        <v>74</v>
      </c>
      <c r="BE321" t="s">
        <v>6243</v>
      </c>
      <c r="BF321" t="str">
        <f>HYPERLINK("http://dx.doi.org/10.5194/acp-13-7473-2013","http://dx.doi.org/10.5194/acp-13-7473-2013")</f>
        <v>http://dx.doi.org/10.5194/acp-13-7473-2013</v>
      </c>
      <c r="BG321" t="s">
        <v>74</v>
      </c>
      <c r="BH321" t="s">
        <v>74</v>
      </c>
      <c r="BI321">
        <v>15</v>
      </c>
      <c r="BJ321" t="s">
        <v>1627</v>
      </c>
      <c r="BK321" t="s">
        <v>102</v>
      </c>
      <c r="BL321" t="s">
        <v>1628</v>
      </c>
      <c r="BM321" t="s">
        <v>6244</v>
      </c>
      <c r="BN321" t="s">
        <v>74</v>
      </c>
      <c r="BO321" t="s">
        <v>4132</v>
      </c>
      <c r="BP321" t="s">
        <v>74</v>
      </c>
      <c r="BQ321" t="s">
        <v>74</v>
      </c>
      <c r="BR321" t="s">
        <v>105</v>
      </c>
      <c r="BS321" t="s">
        <v>6245</v>
      </c>
      <c r="BT321" t="str">
        <f>HYPERLINK("https%3A%2F%2Fwww.webofscience.com%2Fwos%2Fwoscc%2Ffull-record%2FWOS:000323103900014","View Full Record in Web of Science")</f>
        <v>View Full Record in Web of Science</v>
      </c>
    </row>
    <row r="322" spans="1:72" x14ac:dyDescent="0.15">
      <c r="A322" t="s">
        <v>72</v>
      </c>
      <c r="B322" t="s">
        <v>6246</v>
      </c>
      <c r="C322" t="s">
        <v>74</v>
      </c>
      <c r="D322" t="s">
        <v>74</v>
      </c>
      <c r="E322" t="s">
        <v>74</v>
      </c>
      <c r="F322" t="s">
        <v>6247</v>
      </c>
      <c r="G322" t="s">
        <v>74</v>
      </c>
      <c r="H322" t="s">
        <v>74</v>
      </c>
      <c r="I322" t="s">
        <v>6248</v>
      </c>
      <c r="J322" t="s">
        <v>4472</v>
      </c>
      <c r="K322" t="s">
        <v>74</v>
      </c>
      <c r="L322" t="s">
        <v>74</v>
      </c>
      <c r="M322" t="s">
        <v>78</v>
      </c>
      <c r="N322" t="s">
        <v>79</v>
      </c>
      <c r="O322" t="s">
        <v>74</v>
      </c>
      <c r="P322" t="s">
        <v>74</v>
      </c>
      <c r="Q322" t="s">
        <v>74</v>
      </c>
      <c r="R322" t="s">
        <v>74</v>
      </c>
      <c r="S322" t="s">
        <v>74</v>
      </c>
      <c r="T322" t="s">
        <v>74</v>
      </c>
      <c r="U322" t="s">
        <v>6249</v>
      </c>
      <c r="V322" t="s">
        <v>6250</v>
      </c>
      <c r="W322" t="s">
        <v>6251</v>
      </c>
      <c r="X322" t="s">
        <v>6252</v>
      </c>
      <c r="Y322" t="s">
        <v>6253</v>
      </c>
      <c r="Z322" t="s">
        <v>6254</v>
      </c>
      <c r="AA322" t="s">
        <v>74</v>
      </c>
      <c r="AB322" t="s">
        <v>6255</v>
      </c>
      <c r="AC322" t="s">
        <v>6256</v>
      </c>
      <c r="AD322" t="s">
        <v>6257</v>
      </c>
      <c r="AE322" t="s">
        <v>6258</v>
      </c>
      <c r="AF322" t="s">
        <v>74</v>
      </c>
      <c r="AG322">
        <v>33</v>
      </c>
      <c r="AH322">
        <v>31</v>
      </c>
      <c r="AI322">
        <v>41</v>
      </c>
      <c r="AJ322">
        <v>0</v>
      </c>
      <c r="AK322">
        <v>16</v>
      </c>
      <c r="AL322" t="s">
        <v>816</v>
      </c>
      <c r="AM322" t="s">
        <v>2038</v>
      </c>
      <c r="AN322" t="s">
        <v>4484</v>
      </c>
      <c r="AO322" t="s">
        <v>4485</v>
      </c>
      <c r="AP322" t="s">
        <v>4486</v>
      </c>
      <c r="AQ322" t="s">
        <v>74</v>
      </c>
      <c r="AR322" t="s">
        <v>4487</v>
      </c>
      <c r="AS322" t="s">
        <v>4488</v>
      </c>
      <c r="AT322" t="s">
        <v>74</v>
      </c>
      <c r="AU322">
        <v>2013</v>
      </c>
      <c r="AV322">
        <v>59</v>
      </c>
      <c r="AW322">
        <v>215</v>
      </c>
      <c r="AX322" t="s">
        <v>74</v>
      </c>
      <c r="AY322" t="s">
        <v>74</v>
      </c>
      <c r="AZ322" t="s">
        <v>74</v>
      </c>
      <c r="BA322" t="s">
        <v>74</v>
      </c>
      <c r="BB322">
        <v>491</v>
      </c>
      <c r="BC322">
        <v>498</v>
      </c>
      <c r="BD322" t="s">
        <v>74</v>
      </c>
      <c r="BE322" t="s">
        <v>6259</v>
      </c>
      <c r="BF322" t="str">
        <f>HYPERLINK("http://dx.doi.org/10.3189/2013JoG12J080","http://dx.doi.org/10.3189/2013JoG12J080")</f>
        <v>http://dx.doi.org/10.3189/2013JoG12J080</v>
      </c>
      <c r="BG322" t="s">
        <v>74</v>
      </c>
      <c r="BH322" t="s">
        <v>74</v>
      </c>
      <c r="BI322">
        <v>8</v>
      </c>
      <c r="BJ322" t="s">
        <v>2261</v>
      </c>
      <c r="BK322" t="s">
        <v>102</v>
      </c>
      <c r="BL322" t="s">
        <v>2262</v>
      </c>
      <c r="BM322" t="s">
        <v>6260</v>
      </c>
      <c r="BN322" t="s">
        <v>74</v>
      </c>
      <c r="BO322" t="s">
        <v>1427</v>
      </c>
      <c r="BP322" t="s">
        <v>74</v>
      </c>
      <c r="BQ322" t="s">
        <v>74</v>
      </c>
      <c r="BR322" t="s">
        <v>105</v>
      </c>
      <c r="BS322" t="s">
        <v>6261</v>
      </c>
      <c r="BT322" t="str">
        <f>HYPERLINK("https%3A%2F%2Fwww.webofscience.com%2Fwos%2Fwoscc%2Ffull-record%2FWOS:000323189600008","View Full Record in Web of Science")</f>
        <v>View Full Record in Web of Science</v>
      </c>
    </row>
    <row r="323" spans="1:72" x14ac:dyDescent="0.15">
      <c r="A323" t="s">
        <v>72</v>
      </c>
      <c r="B323" t="s">
        <v>6262</v>
      </c>
      <c r="C323" t="s">
        <v>74</v>
      </c>
      <c r="D323" t="s">
        <v>74</v>
      </c>
      <c r="E323" t="s">
        <v>74</v>
      </c>
      <c r="F323" t="s">
        <v>6263</v>
      </c>
      <c r="G323" t="s">
        <v>74</v>
      </c>
      <c r="H323" t="s">
        <v>74</v>
      </c>
      <c r="I323" t="s">
        <v>6264</v>
      </c>
      <c r="J323" t="s">
        <v>4472</v>
      </c>
      <c r="K323" t="s">
        <v>74</v>
      </c>
      <c r="L323" t="s">
        <v>74</v>
      </c>
      <c r="M323" t="s">
        <v>78</v>
      </c>
      <c r="N323" t="s">
        <v>79</v>
      </c>
      <c r="O323" t="s">
        <v>74</v>
      </c>
      <c r="P323" t="s">
        <v>74</v>
      </c>
      <c r="Q323" t="s">
        <v>74</v>
      </c>
      <c r="R323" t="s">
        <v>74</v>
      </c>
      <c r="S323" t="s">
        <v>74</v>
      </c>
      <c r="T323" t="s">
        <v>74</v>
      </c>
      <c r="U323" t="s">
        <v>6265</v>
      </c>
      <c r="V323" t="s">
        <v>6266</v>
      </c>
      <c r="W323" t="s">
        <v>6267</v>
      </c>
      <c r="X323" t="s">
        <v>6268</v>
      </c>
      <c r="Y323" t="s">
        <v>6269</v>
      </c>
      <c r="Z323" t="s">
        <v>6270</v>
      </c>
      <c r="AA323" t="s">
        <v>74</v>
      </c>
      <c r="AB323" t="s">
        <v>6271</v>
      </c>
      <c r="AC323" t="s">
        <v>6272</v>
      </c>
      <c r="AD323" t="s">
        <v>6273</v>
      </c>
      <c r="AE323" t="s">
        <v>6274</v>
      </c>
      <c r="AF323" t="s">
        <v>74</v>
      </c>
      <c r="AG323">
        <v>27</v>
      </c>
      <c r="AH323">
        <v>7</v>
      </c>
      <c r="AI323">
        <v>8</v>
      </c>
      <c r="AJ323">
        <v>1</v>
      </c>
      <c r="AK323">
        <v>16</v>
      </c>
      <c r="AL323" t="s">
        <v>816</v>
      </c>
      <c r="AM323" t="s">
        <v>2038</v>
      </c>
      <c r="AN323" t="s">
        <v>4484</v>
      </c>
      <c r="AO323" t="s">
        <v>4485</v>
      </c>
      <c r="AP323" t="s">
        <v>4486</v>
      </c>
      <c r="AQ323" t="s">
        <v>74</v>
      </c>
      <c r="AR323" t="s">
        <v>4487</v>
      </c>
      <c r="AS323" t="s">
        <v>4488</v>
      </c>
      <c r="AT323" t="s">
        <v>74</v>
      </c>
      <c r="AU323">
        <v>2013</v>
      </c>
      <c r="AV323">
        <v>59</v>
      </c>
      <c r="AW323">
        <v>215</v>
      </c>
      <c r="AX323" t="s">
        <v>74</v>
      </c>
      <c r="AY323" t="s">
        <v>74</v>
      </c>
      <c r="AZ323" t="s">
        <v>74</v>
      </c>
      <c r="BA323" t="s">
        <v>74</v>
      </c>
      <c r="BB323">
        <v>533</v>
      </c>
      <c r="BC323">
        <v>544</v>
      </c>
      <c r="BD323" t="s">
        <v>74</v>
      </c>
      <c r="BE323" t="s">
        <v>6275</v>
      </c>
      <c r="BF323" t="str">
        <f>HYPERLINK("http://dx.doi.org/10.3189/2013JoG12J098","http://dx.doi.org/10.3189/2013JoG12J098")</f>
        <v>http://dx.doi.org/10.3189/2013JoG12J098</v>
      </c>
      <c r="BG323" t="s">
        <v>74</v>
      </c>
      <c r="BH323" t="s">
        <v>74</v>
      </c>
      <c r="BI323">
        <v>12</v>
      </c>
      <c r="BJ323" t="s">
        <v>2261</v>
      </c>
      <c r="BK323" t="s">
        <v>102</v>
      </c>
      <c r="BL323" t="s">
        <v>2262</v>
      </c>
      <c r="BM323" t="s">
        <v>6260</v>
      </c>
      <c r="BN323" t="s">
        <v>74</v>
      </c>
      <c r="BO323" t="s">
        <v>2097</v>
      </c>
      <c r="BP323" t="s">
        <v>74</v>
      </c>
      <c r="BQ323" t="s">
        <v>74</v>
      </c>
      <c r="BR323" t="s">
        <v>105</v>
      </c>
      <c r="BS323" t="s">
        <v>6276</v>
      </c>
      <c r="BT323" t="str">
        <f>HYPERLINK("https%3A%2F%2Fwww.webofscience.com%2Fwos%2Fwoscc%2Ffull-record%2FWOS:000323189600013","View Full Record in Web of Science")</f>
        <v>View Full Record in Web of Science</v>
      </c>
    </row>
    <row r="324" spans="1:72" x14ac:dyDescent="0.15">
      <c r="A324" t="s">
        <v>72</v>
      </c>
      <c r="B324" t="s">
        <v>6277</v>
      </c>
      <c r="C324" t="s">
        <v>74</v>
      </c>
      <c r="D324" t="s">
        <v>74</v>
      </c>
      <c r="E324" t="s">
        <v>74</v>
      </c>
      <c r="F324" t="s">
        <v>6278</v>
      </c>
      <c r="G324" t="s">
        <v>74</v>
      </c>
      <c r="H324" t="s">
        <v>74</v>
      </c>
      <c r="I324" t="s">
        <v>6279</v>
      </c>
      <c r="J324" t="s">
        <v>4472</v>
      </c>
      <c r="K324" t="s">
        <v>74</v>
      </c>
      <c r="L324" t="s">
        <v>74</v>
      </c>
      <c r="M324" t="s">
        <v>78</v>
      </c>
      <c r="N324" t="s">
        <v>79</v>
      </c>
      <c r="O324" t="s">
        <v>74</v>
      </c>
      <c r="P324" t="s">
        <v>74</v>
      </c>
      <c r="Q324" t="s">
        <v>74</v>
      </c>
      <c r="R324" t="s">
        <v>74</v>
      </c>
      <c r="S324" t="s">
        <v>74</v>
      </c>
      <c r="T324" t="s">
        <v>74</v>
      </c>
      <c r="U324" t="s">
        <v>6280</v>
      </c>
      <c r="V324" t="s">
        <v>6281</v>
      </c>
      <c r="W324" t="s">
        <v>6282</v>
      </c>
      <c r="X324" t="s">
        <v>6283</v>
      </c>
      <c r="Y324" t="s">
        <v>6284</v>
      </c>
      <c r="Z324" t="s">
        <v>74</v>
      </c>
      <c r="AA324" t="s">
        <v>6285</v>
      </c>
      <c r="AB324" t="s">
        <v>6286</v>
      </c>
      <c r="AC324" t="s">
        <v>6287</v>
      </c>
      <c r="AD324" t="s">
        <v>6288</v>
      </c>
      <c r="AE324" t="s">
        <v>6289</v>
      </c>
      <c r="AF324" t="s">
        <v>74</v>
      </c>
      <c r="AG324">
        <v>36</v>
      </c>
      <c r="AH324">
        <v>15</v>
      </c>
      <c r="AI324">
        <v>18</v>
      </c>
      <c r="AJ324">
        <v>1</v>
      </c>
      <c r="AK324">
        <v>13</v>
      </c>
      <c r="AL324" t="s">
        <v>816</v>
      </c>
      <c r="AM324" t="s">
        <v>2038</v>
      </c>
      <c r="AN324" t="s">
        <v>4484</v>
      </c>
      <c r="AO324" t="s">
        <v>4485</v>
      </c>
      <c r="AP324" t="s">
        <v>4486</v>
      </c>
      <c r="AQ324" t="s">
        <v>74</v>
      </c>
      <c r="AR324" t="s">
        <v>4487</v>
      </c>
      <c r="AS324" t="s">
        <v>4488</v>
      </c>
      <c r="AT324" t="s">
        <v>74</v>
      </c>
      <c r="AU324">
        <v>2013</v>
      </c>
      <c r="AV324">
        <v>59</v>
      </c>
      <c r="AW324">
        <v>215</v>
      </c>
      <c r="AX324" t="s">
        <v>74</v>
      </c>
      <c r="AY324" t="s">
        <v>74</v>
      </c>
      <c r="AZ324" t="s">
        <v>74</v>
      </c>
      <c r="BA324" t="s">
        <v>74</v>
      </c>
      <c r="BB324">
        <v>571</v>
      </c>
      <c r="BC324">
        <v>582</v>
      </c>
      <c r="BD324" t="s">
        <v>74</v>
      </c>
      <c r="BE324" t="s">
        <v>6290</v>
      </c>
      <c r="BF324" t="str">
        <f>HYPERLINK("http://dx.doi.org/10.3189/2013JoG12J113","http://dx.doi.org/10.3189/2013JoG12J113")</f>
        <v>http://dx.doi.org/10.3189/2013JoG12J113</v>
      </c>
      <c r="BG324" t="s">
        <v>74</v>
      </c>
      <c r="BH324" t="s">
        <v>74</v>
      </c>
      <c r="BI324">
        <v>12</v>
      </c>
      <c r="BJ324" t="s">
        <v>2261</v>
      </c>
      <c r="BK324" t="s">
        <v>102</v>
      </c>
      <c r="BL324" t="s">
        <v>2262</v>
      </c>
      <c r="BM324" t="s">
        <v>6260</v>
      </c>
      <c r="BN324" t="s">
        <v>74</v>
      </c>
      <c r="BO324" t="s">
        <v>128</v>
      </c>
      <c r="BP324" t="s">
        <v>74</v>
      </c>
      <c r="BQ324" t="s">
        <v>74</v>
      </c>
      <c r="BR324" t="s">
        <v>105</v>
      </c>
      <c r="BS324" t="s">
        <v>6291</v>
      </c>
      <c r="BT324" t="str">
        <f>HYPERLINK("https%3A%2F%2Fwww.webofscience.com%2Fwos%2Fwoscc%2Ffull-record%2FWOS:000323189600016","View Full Record in Web of Science")</f>
        <v>View Full Record in Web of Science</v>
      </c>
    </row>
    <row r="325" spans="1:72" x14ac:dyDescent="0.15">
      <c r="A325" t="s">
        <v>72</v>
      </c>
      <c r="B325" t="s">
        <v>6292</v>
      </c>
      <c r="C325" t="s">
        <v>74</v>
      </c>
      <c r="D325" t="s">
        <v>74</v>
      </c>
      <c r="E325" t="s">
        <v>74</v>
      </c>
      <c r="F325" t="s">
        <v>6293</v>
      </c>
      <c r="G325" t="s">
        <v>74</v>
      </c>
      <c r="H325" t="s">
        <v>74</v>
      </c>
      <c r="I325" t="s">
        <v>6294</v>
      </c>
      <c r="J325" t="s">
        <v>4472</v>
      </c>
      <c r="K325" t="s">
        <v>74</v>
      </c>
      <c r="L325" t="s">
        <v>74</v>
      </c>
      <c r="M325" t="s">
        <v>78</v>
      </c>
      <c r="N325" t="s">
        <v>79</v>
      </c>
      <c r="O325" t="s">
        <v>74</v>
      </c>
      <c r="P325" t="s">
        <v>74</v>
      </c>
      <c r="Q325" t="s">
        <v>74</v>
      </c>
      <c r="R325" t="s">
        <v>74</v>
      </c>
      <c r="S325" t="s">
        <v>74</v>
      </c>
      <c r="T325" t="s">
        <v>74</v>
      </c>
      <c r="U325" t="s">
        <v>6295</v>
      </c>
      <c r="V325" t="s">
        <v>6296</v>
      </c>
      <c r="W325" t="s">
        <v>6297</v>
      </c>
      <c r="X325" t="s">
        <v>6298</v>
      </c>
      <c r="Y325" t="s">
        <v>6299</v>
      </c>
      <c r="Z325" t="s">
        <v>6300</v>
      </c>
      <c r="AA325" t="s">
        <v>6301</v>
      </c>
      <c r="AB325" t="s">
        <v>6302</v>
      </c>
      <c r="AC325" t="s">
        <v>6303</v>
      </c>
      <c r="AD325" t="s">
        <v>6304</v>
      </c>
      <c r="AE325" t="s">
        <v>6305</v>
      </c>
      <c r="AF325" t="s">
        <v>74</v>
      </c>
      <c r="AG325">
        <v>25</v>
      </c>
      <c r="AH325">
        <v>33</v>
      </c>
      <c r="AI325">
        <v>38</v>
      </c>
      <c r="AJ325">
        <v>0</v>
      </c>
      <c r="AK325">
        <v>29</v>
      </c>
      <c r="AL325" t="s">
        <v>816</v>
      </c>
      <c r="AM325" t="s">
        <v>2038</v>
      </c>
      <c r="AN325" t="s">
        <v>4484</v>
      </c>
      <c r="AO325" t="s">
        <v>4485</v>
      </c>
      <c r="AP325" t="s">
        <v>4486</v>
      </c>
      <c r="AQ325" t="s">
        <v>74</v>
      </c>
      <c r="AR325" t="s">
        <v>4487</v>
      </c>
      <c r="AS325" t="s">
        <v>4488</v>
      </c>
      <c r="AT325" t="s">
        <v>74</v>
      </c>
      <c r="AU325">
        <v>2013</v>
      </c>
      <c r="AV325">
        <v>59</v>
      </c>
      <c r="AW325">
        <v>215</v>
      </c>
      <c r="AX325" t="s">
        <v>74</v>
      </c>
      <c r="AY325" t="s">
        <v>74</v>
      </c>
      <c r="AZ325" t="s">
        <v>74</v>
      </c>
      <c r="BA325" t="s">
        <v>74</v>
      </c>
      <c r="BB325">
        <v>583</v>
      </c>
      <c r="BC325">
        <v>591</v>
      </c>
      <c r="BD325" t="s">
        <v>74</v>
      </c>
      <c r="BE325" t="s">
        <v>6306</v>
      </c>
      <c r="BF325" t="str">
        <f>HYPERLINK("http://dx.doi.org/10.3189/2013JoG12J207","http://dx.doi.org/10.3189/2013JoG12J207")</f>
        <v>http://dx.doi.org/10.3189/2013JoG12J207</v>
      </c>
      <c r="BG325" t="s">
        <v>74</v>
      </c>
      <c r="BH325" t="s">
        <v>74</v>
      </c>
      <c r="BI325">
        <v>9</v>
      </c>
      <c r="BJ325" t="s">
        <v>2261</v>
      </c>
      <c r="BK325" t="s">
        <v>102</v>
      </c>
      <c r="BL325" t="s">
        <v>2262</v>
      </c>
      <c r="BM325" t="s">
        <v>6260</v>
      </c>
      <c r="BN325" t="s">
        <v>74</v>
      </c>
      <c r="BO325" t="s">
        <v>128</v>
      </c>
      <c r="BP325" t="s">
        <v>74</v>
      </c>
      <c r="BQ325" t="s">
        <v>74</v>
      </c>
      <c r="BR325" t="s">
        <v>105</v>
      </c>
      <c r="BS325" t="s">
        <v>6307</v>
      </c>
      <c r="BT325" t="str">
        <f>HYPERLINK("https%3A%2F%2Fwww.webofscience.com%2Fwos%2Fwoscc%2Ffull-record%2FWOS:000323189600017","View Full Record in Web of Science")</f>
        <v>View Full Record in Web of Science</v>
      </c>
    </row>
    <row r="326" spans="1:72" x14ac:dyDescent="0.15">
      <c r="A326" t="s">
        <v>72</v>
      </c>
      <c r="B326" t="s">
        <v>6308</v>
      </c>
      <c r="C326" t="s">
        <v>74</v>
      </c>
      <c r="D326" t="s">
        <v>74</v>
      </c>
      <c r="E326" t="s">
        <v>74</v>
      </c>
      <c r="F326" t="s">
        <v>6309</v>
      </c>
      <c r="G326" t="s">
        <v>74</v>
      </c>
      <c r="H326" t="s">
        <v>74</v>
      </c>
      <c r="I326" t="s">
        <v>6310</v>
      </c>
      <c r="J326" t="s">
        <v>6311</v>
      </c>
      <c r="K326" t="s">
        <v>74</v>
      </c>
      <c r="L326" t="s">
        <v>74</v>
      </c>
      <c r="M326" t="s">
        <v>78</v>
      </c>
      <c r="N326" t="s">
        <v>1120</v>
      </c>
      <c r="O326" t="s">
        <v>74</v>
      </c>
      <c r="P326" t="s">
        <v>74</v>
      </c>
      <c r="Q326" t="s">
        <v>74</v>
      </c>
      <c r="R326" t="s">
        <v>74</v>
      </c>
      <c r="S326" t="s">
        <v>74</v>
      </c>
      <c r="T326" t="s">
        <v>74</v>
      </c>
      <c r="U326" t="s">
        <v>6312</v>
      </c>
      <c r="V326" t="s">
        <v>6313</v>
      </c>
      <c r="W326" t="s">
        <v>6314</v>
      </c>
      <c r="X326" t="s">
        <v>6315</v>
      </c>
      <c r="Y326" t="s">
        <v>6316</v>
      </c>
      <c r="Z326" t="s">
        <v>6317</v>
      </c>
      <c r="AA326" t="s">
        <v>74</v>
      </c>
      <c r="AB326" t="s">
        <v>74</v>
      </c>
      <c r="AC326" t="s">
        <v>6318</v>
      </c>
      <c r="AD326" t="s">
        <v>6319</v>
      </c>
      <c r="AE326" t="s">
        <v>6320</v>
      </c>
      <c r="AF326" t="s">
        <v>74</v>
      </c>
      <c r="AG326">
        <v>222</v>
      </c>
      <c r="AH326">
        <v>11</v>
      </c>
      <c r="AI326">
        <v>13</v>
      </c>
      <c r="AJ326">
        <v>2</v>
      </c>
      <c r="AK326">
        <v>100</v>
      </c>
      <c r="AL326" t="s">
        <v>6321</v>
      </c>
      <c r="AM326" t="s">
        <v>2038</v>
      </c>
      <c r="AN326" t="s">
        <v>6322</v>
      </c>
      <c r="AO326" t="s">
        <v>6323</v>
      </c>
      <c r="AP326" t="s">
        <v>74</v>
      </c>
      <c r="AQ326" t="s">
        <v>74</v>
      </c>
      <c r="AR326" t="s">
        <v>6324</v>
      </c>
      <c r="AS326" t="s">
        <v>6325</v>
      </c>
      <c r="AT326" t="s">
        <v>74</v>
      </c>
      <c r="AU326">
        <v>2013</v>
      </c>
      <c r="AV326">
        <v>3</v>
      </c>
      <c r="AW326">
        <v>34</v>
      </c>
      <c r="AX326" t="s">
        <v>74</v>
      </c>
      <c r="AY326" t="s">
        <v>74</v>
      </c>
      <c r="AZ326" t="s">
        <v>74</v>
      </c>
      <c r="BA326" t="s">
        <v>74</v>
      </c>
      <c r="BB326">
        <v>14199</v>
      </c>
      <c r="BC326">
        <v>14218</v>
      </c>
      <c r="BD326" t="s">
        <v>74</v>
      </c>
      <c r="BE326" t="s">
        <v>6326</v>
      </c>
      <c r="BF326" t="str">
        <f>HYPERLINK("http://dx.doi.org/10.1039/c3ra00081h","http://dx.doi.org/10.1039/c3ra00081h")</f>
        <v>http://dx.doi.org/10.1039/c3ra00081h</v>
      </c>
      <c r="BG326" t="s">
        <v>74</v>
      </c>
      <c r="BH326" t="s">
        <v>74</v>
      </c>
      <c r="BI326">
        <v>20</v>
      </c>
      <c r="BJ326" t="s">
        <v>4419</v>
      </c>
      <c r="BK326" t="s">
        <v>102</v>
      </c>
      <c r="BL326" t="s">
        <v>4420</v>
      </c>
      <c r="BM326" t="s">
        <v>6327</v>
      </c>
      <c r="BN326" t="s">
        <v>74</v>
      </c>
      <c r="BO326" t="s">
        <v>74</v>
      </c>
      <c r="BP326" t="s">
        <v>74</v>
      </c>
      <c r="BQ326" t="s">
        <v>74</v>
      </c>
      <c r="BR326" t="s">
        <v>105</v>
      </c>
      <c r="BS326" t="s">
        <v>6328</v>
      </c>
      <c r="BT326" t="str">
        <f>HYPERLINK("https%3A%2F%2Fwww.webofscience.com%2Fwos%2Fwoscc%2Ffull-record%2FWOS:000322737400003","View Full Record in Web of Science")</f>
        <v>View Full Record in Web of Science</v>
      </c>
    </row>
    <row r="327" spans="1:72" x14ac:dyDescent="0.15">
      <c r="A327" t="s">
        <v>72</v>
      </c>
      <c r="B327" t="s">
        <v>6329</v>
      </c>
      <c r="C327" t="s">
        <v>74</v>
      </c>
      <c r="D327" t="s">
        <v>74</v>
      </c>
      <c r="E327" t="s">
        <v>74</v>
      </c>
      <c r="F327" t="s">
        <v>6330</v>
      </c>
      <c r="G327" t="s">
        <v>74</v>
      </c>
      <c r="H327" t="s">
        <v>74</v>
      </c>
      <c r="I327" t="s">
        <v>6331</v>
      </c>
      <c r="J327" t="s">
        <v>5486</v>
      </c>
      <c r="K327" t="s">
        <v>74</v>
      </c>
      <c r="L327" t="s">
        <v>74</v>
      </c>
      <c r="M327" t="s">
        <v>78</v>
      </c>
      <c r="N327" t="s">
        <v>79</v>
      </c>
      <c r="O327" t="s">
        <v>74</v>
      </c>
      <c r="P327" t="s">
        <v>74</v>
      </c>
      <c r="Q327" t="s">
        <v>74</v>
      </c>
      <c r="R327" t="s">
        <v>74</v>
      </c>
      <c r="S327" t="s">
        <v>74</v>
      </c>
      <c r="T327" t="s">
        <v>6332</v>
      </c>
      <c r="U327" t="s">
        <v>6333</v>
      </c>
      <c r="V327" t="s">
        <v>6334</v>
      </c>
      <c r="W327" t="s">
        <v>6335</v>
      </c>
      <c r="X327" t="s">
        <v>6336</v>
      </c>
      <c r="Y327" t="s">
        <v>6337</v>
      </c>
      <c r="Z327" t="s">
        <v>6338</v>
      </c>
      <c r="AA327" t="s">
        <v>74</v>
      </c>
      <c r="AB327" t="s">
        <v>6339</v>
      </c>
      <c r="AC327" t="s">
        <v>6340</v>
      </c>
      <c r="AD327" t="s">
        <v>6341</v>
      </c>
      <c r="AE327" t="s">
        <v>6342</v>
      </c>
      <c r="AF327" t="s">
        <v>74</v>
      </c>
      <c r="AG327">
        <v>39</v>
      </c>
      <c r="AH327">
        <v>3</v>
      </c>
      <c r="AI327">
        <v>4</v>
      </c>
      <c r="AJ327">
        <v>0</v>
      </c>
      <c r="AK327">
        <v>4</v>
      </c>
      <c r="AL327" t="s">
        <v>4248</v>
      </c>
      <c r="AM327" t="s">
        <v>4249</v>
      </c>
      <c r="AN327" t="s">
        <v>4250</v>
      </c>
      <c r="AO327" t="s">
        <v>5499</v>
      </c>
      <c r="AP327" t="s">
        <v>5500</v>
      </c>
      <c r="AQ327" t="s">
        <v>74</v>
      </c>
      <c r="AR327" t="s">
        <v>5501</v>
      </c>
      <c r="AS327" t="s">
        <v>4129</v>
      </c>
      <c r="AT327" t="s">
        <v>74</v>
      </c>
      <c r="AU327">
        <v>2013</v>
      </c>
      <c r="AV327">
        <v>31</v>
      </c>
      <c r="AW327">
        <v>7</v>
      </c>
      <c r="AX327" t="s">
        <v>74</v>
      </c>
      <c r="AY327" t="s">
        <v>74</v>
      </c>
      <c r="AZ327" t="s">
        <v>74</v>
      </c>
      <c r="BA327" t="s">
        <v>74</v>
      </c>
      <c r="BB327">
        <v>1279</v>
      </c>
      <c r="BC327">
        <v>1284</v>
      </c>
      <c r="BD327" t="s">
        <v>74</v>
      </c>
      <c r="BE327" t="s">
        <v>6343</v>
      </c>
      <c r="BF327" t="str">
        <f>HYPERLINK("http://dx.doi.org/10.5194/angeo-31-1279-2013","http://dx.doi.org/10.5194/angeo-31-1279-2013")</f>
        <v>http://dx.doi.org/10.5194/angeo-31-1279-2013</v>
      </c>
      <c r="BG327" t="s">
        <v>74</v>
      </c>
      <c r="BH327" t="s">
        <v>74</v>
      </c>
      <c r="BI327">
        <v>6</v>
      </c>
      <c r="BJ327" t="s">
        <v>5503</v>
      </c>
      <c r="BK327" t="s">
        <v>102</v>
      </c>
      <c r="BL327" t="s">
        <v>5504</v>
      </c>
      <c r="BM327" t="s">
        <v>6344</v>
      </c>
      <c r="BN327" t="s">
        <v>74</v>
      </c>
      <c r="BO327" t="s">
        <v>5838</v>
      </c>
      <c r="BP327" t="s">
        <v>74</v>
      </c>
      <c r="BQ327" t="s">
        <v>74</v>
      </c>
      <c r="BR327" t="s">
        <v>105</v>
      </c>
      <c r="BS327" t="s">
        <v>6345</v>
      </c>
      <c r="BT327" t="str">
        <f>HYPERLINK("https%3A%2F%2Fwww.webofscience.com%2Fwos%2Fwoscc%2Ffull-record%2FWOS:000322518500014","View Full Record in Web of Science")</f>
        <v>View Full Record in Web of Science</v>
      </c>
    </row>
    <row r="328" spans="1:72" x14ac:dyDescent="0.15">
      <c r="A328" t="s">
        <v>72</v>
      </c>
      <c r="B328" t="s">
        <v>6346</v>
      </c>
      <c r="C328" t="s">
        <v>74</v>
      </c>
      <c r="D328" t="s">
        <v>74</v>
      </c>
      <c r="E328" t="s">
        <v>74</v>
      </c>
      <c r="F328" t="s">
        <v>6347</v>
      </c>
      <c r="G328" t="s">
        <v>74</v>
      </c>
      <c r="H328" t="s">
        <v>74</v>
      </c>
      <c r="I328" t="s">
        <v>6348</v>
      </c>
      <c r="J328" t="s">
        <v>4495</v>
      </c>
      <c r="K328" t="s">
        <v>74</v>
      </c>
      <c r="L328" t="s">
        <v>74</v>
      </c>
      <c r="M328" t="s">
        <v>78</v>
      </c>
      <c r="N328" t="s">
        <v>79</v>
      </c>
      <c r="O328" t="s">
        <v>74</v>
      </c>
      <c r="P328" t="s">
        <v>74</v>
      </c>
      <c r="Q328" t="s">
        <v>74</v>
      </c>
      <c r="R328" t="s">
        <v>74</v>
      </c>
      <c r="S328" t="s">
        <v>74</v>
      </c>
      <c r="T328" t="s">
        <v>6349</v>
      </c>
      <c r="U328" t="s">
        <v>6350</v>
      </c>
      <c r="V328" t="s">
        <v>6351</v>
      </c>
      <c r="W328" t="s">
        <v>6352</v>
      </c>
      <c r="X328" t="s">
        <v>6353</v>
      </c>
      <c r="Y328" t="s">
        <v>6354</v>
      </c>
      <c r="Z328" t="s">
        <v>6355</v>
      </c>
      <c r="AA328" t="s">
        <v>74</v>
      </c>
      <c r="AB328" t="s">
        <v>6356</v>
      </c>
      <c r="AC328" t="s">
        <v>6357</v>
      </c>
      <c r="AD328" t="s">
        <v>6357</v>
      </c>
      <c r="AE328" t="s">
        <v>6358</v>
      </c>
      <c r="AF328" t="s">
        <v>74</v>
      </c>
      <c r="AG328">
        <v>55</v>
      </c>
      <c r="AH328">
        <v>17</v>
      </c>
      <c r="AI328">
        <v>17</v>
      </c>
      <c r="AJ328">
        <v>1</v>
      </c>
      <c r="AK328">
        <v>12</v>
      </c>
      <c r="AL328" t="s">
        <v>4506</v>
      </c>
      <c r="AM328" t="s">
        <v>4507</v>
      </c>
      <c r="AN328" t="s">
        <v>4508</v>
      </c>
      <c r="AO328" t="s">
        <v>4509</v>
      </c>
      <c r="AP328" t="s">
        <v>4510</v>
      </c>
      <c r="AQ328" t="s">
        <v>74</v>
      </c>
      <c r="AR328" t="s">
        <v>4511</v>
      </c>
      <c r="AS328" t="s">
        <v>4512</v>
      </c>
      <c r="AT328" t="s">
        <v>74</v>
      </c>
      <c r="AU328">
        <v>2013</v>
      </c>
      <c r="AV328">
        <v>32</v>
      </c>
      <c r="AW328" t="s">
        <v>74</v>
      </c>
      <c r="AX328" t="s">
        <v>74</v>
      </c>
      <c r="AY328" t="s">
        <v>74</v>
      </c>
      <c r="AZ328" t="s">
        <v>74</v>
      </c>
      <c r="BA328" t="s">
        <v>74</v>
      </c>
      <c r="BB328" t="s">
        <v>74</v>
      </c>
      <c r="BC328" t="s">
        <v>74</v>
      </c>
      <c r="BD328">
        <v>20040</v>
      </c>
      <c r="BE328" t="s">
        <v>6359</v>
      </c>
      <c r="BF328" t="str">
        <f>HYPERLINK("http://dx.doi.org/10.3402/polar.v32i0.20040","http://dx.doi.org/10.3402/polar.v32i0.20040")</f>
        <v>http://dx.doi.org/10.3402/polar.v32i0.20040</v>
      </c>
      <c r="BG328" t="s">
        <v>74</v>
      </c>
      <c r="BH328" t="s">
        <v>74</v>
      </c>
      <c r="BI328">
        <v>11</v>
      </c>
      <c r="BJ328" t="s">
        <v>4514</v>
      </c>
      <c r="BK328" t="s">
        <v>102</v>
      </c>
      <c r="BL328" t="s">
        <v>4515</v>
      </c>
      <c r="BM328" t="s">
        <v>6360</v>
      </c>
      <c r="BN328" t="s">
        <v>74</v>
      </c>
      <c r="BO328" t="s">
        <v>2629</v>
      </c>
      <c r="BP328" t="s">
        <v>74</v>
      </c>
      <c r="BQ328" t="s">
        <v>74</v>
      </c>
      <c r="BR328" t="s">
        <v>105</v>
      </c>
      <c r="BS328" t="s">
        <v>6361</v>
      </c>
      <c r="BT328" t="str">
        <f>HYPERLINK("https%3A%2F%2Fwww.webofscience.com%2Fwos%2Fwoscc%2Ffull-record%2FWOS:000322887800001","View Full Record in Web of Science")</f>
        <v>View Full Record in Web of Science</v>
      </c>
    </row>
    <row r="329" spans="1:72" x14ac:dyDescent="0.15">
      <c r="A329" t="s">
        <v>72</v>
      </c>
      <c r="B329" t="s">
        <v>6362</v>
      </c>
      <c r="C329" t="s">
        <v>74</v>
      </c>
      <c r="D329" t="s">
        <v>74</v>
      </c>
      <c r="E329" t="s">
        <v>74</v>
      </c>
      <c r="F329" t="s">
        <v>6363</v>
      </c>
      <c r="G329" t="s">
        <v>74</v>
      </c>
      <c r="H329" t="s">
        <v>74</v>
      </c>
      <c r="I329" t="s">
        <v>6364</v>
      </c>
      <c r="J329" t="s">
        <v>5781</v>
      </c>
      <c r="K329" t="s">
        <v>74</v>
      </c>
      <c r="L329" t="s">
        <v>74</v>
      </c>
      <c r="M329" t="s">
        <v>78</v>
      </c>
      <c r="N329" t="s">
        <v>79</v>
      </c>
      <c r="O329" t="s">
        <v>74</v>
      </c>
      <c r="P329" t="s">
        <v>74</v>
      </c>
      <c r="Q329" t="s">
        <v>74</v>
      </c>
      <c r="R329" t="s">
        <v>74</v>
      </c>
      <c r="S329" t="s">
        <v>74</v>
      </c>
      <c r="T329" t="s">
        <v>74</v>
      </c>
      <c r="U329" t="s">
        <v>6365</v>
      </c>
      <c r="V329" t="s">
        <v>6366</v>
      </c>
      <c r="W329" t="s">
        <v>6367</v>
      </c>
      <c r="X329" t="s">
        <v>6368</v>
      </c>
      <c r="Y329" t="s">
        <v>6369</v>
      </c>
      <c r="Z329" t="s">
        <v>6370</v>
      </c>
      <c r="AA329" t="s">
        <v>6371</v>
      </c>
      <c r="AB329" t="s">
        <v>5851</v>
      </c>
      <c r="AC329" t="s">
        <v>6372</v>
      </c>
      <c r="AD329" t="s">
        <v>6373</v>
      </c>
      <c r="AE329" t="s">
        <v>6374</v>
      </c>
      <c r="AF329" t="s">
        <v>74</v>
      </c>
      <c r="AG329">
        <v>25</v>
      </c>
      <c r="AH329">
        <v>2</v>
      </c>
      <c r="AI329">
        <v>3</v>
      </c>
      <c r="AJ329">
        <v>0</v>
      </c>
      <c r="AK329">
        <v>9</v>
      </c>
      <c r="AL329" t="s">
        <v>816</v>
      </c>
      <c r="AM329" t="s">
        <v>2038</v>
      </c>
      <c r="AN329" t="s">
        <v>4484</v>
      </c>
      <c r="AO329" t="s">
        <v>5793</v>
      </c>
      <c r="AP329" t="s">
        <v>5794</v>
      </c>
      <c r="AQ329" t="s">
        <v>74</v>
      </c>
      <c r="AR329" t="s">
        <v>5795</v>
      </c>
      <c r="AS329" t="s">
        <v>5796</v>
      </c>
      <c r="AT329" t="s">
        <v>74</v>
      </c>
      <c r="AU329">
        <v>2013</v>
      </c>
      <c r="AV329">
        <v>54</v>
      </c>
      <c r="AW329">
        <v>62</v>
      </c>
      <c r="AX329">
        <v>2</v>
      </c>
      <c r="AY329" t="s">
        <v>74</v>
      </c>
      <c r="AZ329" t="s">
        <v>74</v>
      </c>
      <c r="BA329" t="s">
        <v>74</v>
      </c>
      <c r="BB329">
        <v>133</v>
      </c>
      <c r="BC329">
        <v>138</v>
      </c>
      <c r="BD329" t="s">
        <v>74</v>
      </c>
      <c r="BE329" t="s">
        <v>6375</v>
      </c>
      <c r="BF329" t="str">
        <f>HYPERLINK("http://dx.doi.org/10.3189/2013AoG62A092","http://dx.doi.org/10.3189/2013AoG62A092")</f>
        <v>http://dx.doi.org/10.3189/2013AoG62A092</v>
      </c>
      <c r="BG329" t="s">
        <v>74</v>
      </c>
      <c r="BH329" t="s">
        <v>74</v>
      </c>
      <c r="BI329">
        <v>6</v>
      </c>
      <c r="BJ329" t="s">
        <v>2261</v>
      </c>
      <c r="BK329" t="s">
        <v>102</v>
      </c>
      <c r="BL329" t="s">
        <v>2262</v>
      </c>
      <c r="BM329" t="s">
        <v>6376</v>
      </c>
      <c r="BN329" t="s">
        <v>74</v>
      </c>
      <c r="BO329" t="s">
        <v>128</v>
      </c>
      <c r="BP329" t="s">
        <v>74</v>
      </c>
      <c r="BQ329" t="s">
        <v>74</v>
      </c>
      <c r="BR329" t="s">
        <v>105</v>
      </c>
      <c r="BS329" t="s">
        <v>6377</v>
      </c>
      <c r="BT329" t="str">
        <f>HYPERLINK("https%3A%2F%2Fwww.webofscience.com%2Fwos%2Fwoscc%2Ffull-record%2FWOS:000322047100002","View Full Record in Web of Science")</f>
        <v>View Full Record in Web of Science</v>
      </c>
    </row>
    <row r="330" spans="1:72" x14ac:dyDescent="0.15">
      <c r="A330" t="s">
        <v>72</v>
      </c>
      <c r="B330" t="s">
        <v>6378</v>
      </c>
      <c r="C330" t="s">
        <v>74</v>
      </c>
      <c r="D330" t="s">
        <v>74</v>
      </c>
      <c r="E330" t="s">
        <v>74</v>
      </c>
      <c r="F330" t="s">
        <v>6379</v>
      </c>
      <c r="G330" t="s">
        <v>74</v>
      </c>
      <c r="H330" t="s">
        <v>74</v>
      </c>
      <c r="I330" t="s">
        <v>6380</v>
      </c>
      <c r="J330" t="s">
        <v>5781</v>
      </c>
      <c r="K330" t="s">
        <v>74</v>
      </c>
      <c r="L330" t="s">
        <v>74</v>
      </c>
      <c r="M330" t="s">
        <v>78</v>
      </c>
      <c r="N330" t="s">
        <v>79</v>
      </c>
      <c r="O330" t="s">
        <v>74</v>
      </c>
      <c r="P330" t="s">
        <v>74</v>
      </c>
      <c r="Q330" t="s">
        <v>74</v>
      </c>
      <c r="R330" t="s">
        <v>74</v>
      </c>
      <c r="S330" t="s">
        <v>74</v>
      </c>
      <c r="T330" t="s">
        <v>74</v>
      </c>
      <c r="U330" t="s">
        <v>6381</v>
      </c>
      <c r="V330" t="s">
        <v>6382</v>
      </c>
      <c r="W330" t="s">
        <v>6383</v>
      </c>
      <c r="X330" t="s">
        <v>6384</v>
      </c>
      <c r="Y330" t="s">
        <v>6385</v>
      </c>
      <c r="Z330" t="s">
        <v>6386</v>
      </c>
      <c r="AA330" t="s">
        <v>6387</v>
      </c>
      <c r="AB330" t="s">
        <v>6388</v>
      </c>
      <c r="AC330" t="s">
        <v>6389</v>
      </c>
      <c r="AD330" t="s">
        <v>6390</v>
      </c>
      <c r="AE330" t="s">
        <v>6391</v>
      </c>
      <c r="AF330" t="s">
        <v>74</v>
      </c>
      <c r="AG330">
        <v>43</v>
      </c>
      <c r="AH330">
        <v>1</v>
      </c>
      <c r="AI330">
        <v>1</v>
      </c>
      <c r="AJ330">
        <v>0</v>
      </c>
      <c r="AK330">
        <v>22</v>
      </c>
      <c r="AL330" t="s">
        <v>816</v>
      </c>
      <c r="AM330" t="s">
        <v>2038</v>
      </c>
      <c r="AN330" t="s">
        <v>4484</v>
      </c>
      <c r="AO330" t="s">
        <v>5793</v>
      </c>
      <c r="AP330" t="s">
        <v>5794</v>
      </c>
      <c r="AQ330" t="s">
        <v>74</v>
      </c>
      <c r="AR330" t="s">
        <v>5795</v>
      </c>
      <c r="AS330" t="s">
        <v>5796</v>
      </c>
      <c r="AT330" t="s">
        <v>74</v>
      </c>
      <c r="AU330">
        <v>2013</v>
      </c>
      <c r="AV330">
        <v>54</v>
      </c>
      <c r="AW330">
        <v>62</v>
      </c>
      <c r="AX330">
        <v>2</v>
      </c>
      <c r="AY330" t="s">
        <v>74</v>
      </c>
      <c r="AZ330" t="s">
        <v>74</v>
      </c>
      <c r="BA330" t="s">
        <v>74</v>
      </c>
      <c r="BB330">
        <v>166</v>
      </c>
      <c r="BC330">
        <v>174</v>
      </c>
      <c r="BD330" t="s">
        <v>74</v>
      </c>
      <c r="BE330" t="s">
        <v>6392</v>
      </c>
      <c r="BF330" t="str">
        <f>HYPERLINK("http://dx.doi.org/10.3189/2013AoG62A193","http://dx.doi.org/10.3189/2013AoG62A193")</f>
        <v>http://dx.doi.org/10.3189/2013AoG62A193</v>
      </c>
      <c r="BG330" t="s">
        <v>74</v>
      </c>
      <c r="BH330" t="s">
        <v>74</v>
      </c>
      <c r="BI330">
        <v>9</v>
      </c>
      <c r="BJ330" t="s">
        <v>2261</v>
      </c>
      <c r="BK330" t="s">
        <v>102</v>
      </c>
      <c r="BL330" t="s">
        <v>2262</v>
      </c>
      <c r="BM330" t="s">
        <v>6376</v>
      </c>
      <c r="BN330" t="s">
        <v>74</v>
      </c>
      <c r="BO330" t="s">
        <v>128</v>
      </c>
      <c r="BP330" t="s">
        <v>74</v>
      </c>
      <c r="BQ330" t="s">
        <v>74</v>
      </c>
      <c r="BR330" t="s">
        <v>105</v>
      </c>
      <c r="BS330" t="s">
        <v>6393</v>
      </c>
      <c r="BT330" t="str">
        <f>HYPERLINK("https%3A%2F%2Fwww.webofscience.com%2Fwos%2Fwoscc%2Ffull-record%2FWOS:000322047100006","View Full Record in Web of Science")</f>
        <v>View Full Record in Web of Science</v>
      </c>
    </row>
    <row r="331" spans="1:72" x14ac:dyDescent="0.15">
      <c r="A331" t="s">
        <v>72</v>
      </c>
      <c r="B331" t="s">
        <v>6394</v>
      </c>
      <c r="C331" t="s">
        <v>74</v>
      </c>
      <c r="D331" t="s">
        <v>74</v>
      </c>
      <c r="E331" t="s">
        <v>74</v>
      </c>
      <c r="F331" t="s">
        <v>6395</v>
      </c>
      <c r="G331" t="s">
        <v>74</v>
      </c>
      <c r="H331" t="s">
        <v>74</v>
      </c>
      <c r="I331" t="s">
        <v>6396</v>
      </c>
      <c r="J331" t="s">
        <v>5781</v>
      </c>
      <c r="K331" t="s">
        <v>74</v>
      </c>
      <c r="L331" t="s">
        <v>74</v>
      </c>
      <c r="M331" t="s">
        <v>78</v>
      </c>
      <c r="N331" t="s">
        <v>79</v>
      </c>
      <c r="O331" t="s">
        <v>74</v>
      </c>
      <c r="P331" t="s">
        <v>74</v>
      </c>
      <c r="Q331" t="s">
        <v>74</v>
      </c>
      <c r="R331" t="s">
        <v>74</v>
      </c>
      <c r="S331" t="s">
        <v>74</v>
      </c>
      <c r="T331" t="s">
        <v>74</v>
      </c>
      <c r="U331" t="s">
        <v>6397</v>
      </c>
      <c r="V331" t="s">
        <v>6398</v>
      </c>
      <c r="W331" t="s">
        <v>6399</v>
      </c>
      <c r="X331" t="s">
        <v>6400</v>
      </c>
      <c r="Y331" t="s">
        <v>6401</v>
      </c>
      <c r="Z331" t="s">
        <v>6402</v>
      </c>
      <c r="AA331" t="s">
        <v>74</v>
      </c>
      <c r="AB331" t="s">
        <v>74</v>
      </c>
      <c r="AC331" t="s">
        <v>6403</v>
      </c>
      <c r="AD331" t="s">
        <v>6404</v>
      </c>
      <c r="AE331" t="s">
        <v>6405</v>
      </c>
      <c r="AF331" t="s">
        <v>74</v>
      </c>
      <c r="AG331">
        <v>21</v>
      </c>
      <c r="AH331">
        <v>0</v>
      </c>
      <c r="AI331">
        <v>0</v>
      </c>
      <c r="AJ331">
        <v>0</v>
      </c>
      <c r="AK331">
        <v>4</v>
      </c>
      <c r="AL331" t="s">
        <v>816</v>
      </c>
      <c r="AM331" t="s">
        <v>2038</v>
      </c>
      <c r="AN331" t="s">
        <v>4484</v>
      </c>
      <c r="AO331" t="s">
        <v>5793</v>
      </c>
      <c r="AP331" t="s">
        <v>5794</v>
      </c>
      <c r="AQ331" t="s">
        <v>74</v>
      </c>
      <c r="AR331" t="s">
        <v>5795</v>
      </c>
      <c r="AS331" t="s">
        <v>5796</v>
      </c>
      <c r="AT331" t="s">
        <v>74</v>
      </c>
      <c r="AU331">
        <v>2013</v>
      </c>
      <c r="AV331">
        <v>54</v>
      </c>
      <c r="AW331">
        <v>62</v>
      </c>
      <c r="AX331">
        <v>2</v>
      </c>
      <c r="AY331" t="s">
        <v>74</v>
      </c>
      <c r="AZ331" t="s">
        <v>74</v>
      </c>
      <c r="BA331" t="s">
        <v>74</v>
      </c>
      <c r="BB331">
        <v>291</v>
      </c>
      <c r="BC331">
        <v>298</v>
      </c>
      <c r="BD331" t="s">
        <v>74</v>
      </c>
      <c r="BE331" t="s">
        <v>6406</v>
      </c>
      <c r="BF331" t="str">
        <f>HYPERLINK("http://dx.doi.org/10.3189/2013AoG62A194","http://dx.doi.org/10.3189/2013AoG62A194")</f>
        <v>http://dx.doi.org/10.3189/2013AoG62A194</v>
      </c>
      <c r="BG331" t="s">
        <v>74</v>
      </c>
      <c r="BH331" t="s">
        <v>74</v>
      </c>
      <c r="BI331">
        <v>8</v>
      </c>
      <c r="BJ331" t="s">
        <v>2261</v>
      </c>
      <c r="BK331" t="s">
        <v>102</v>
      </c>
      <c r="BL331" t="s">
        <v>2262</v>
      </c>
      <c r="BM331" t="s">
        <v>6376</v>
      </c>
      <c r="BN331" t="s">
        <v>74</v>
      </c>
      <c r="BO331" t="s">
        <v>128</v>
      </c>
      <c r="BP331" t="s">
        <v>74</v>
      </c>
      <c r="BQ331" t="s">
        <v>74</v>
      </c>
      <c r="BR331" t="s">
        <v>105</v>
      </c>
      <c r="BS331" t="s">
        <v>6407</v>
      </c>
      <c r="BT331" t="str">
        <f>HYPERLINK("https%3A%2F%2Fwww.webofscience.com%2Fwos%2Fwoscc%2Ffull-record%2FWOS:000322047100020","View Full Record in Web of Science")</f>
        <v>View Full Record in Web of Science</v>
      </c>
    </row>
    <row r="332" spans="1:72" x14ac:dyDescent="0.15">
      <c r="A332" t="s">
        <v>72</v>
      </c>
      <c r="B332" t="s">
        <v>6408</v>
      </c>
      <c r="C332" t="s">
        <v>74</v>
      </c>
      <c r="D332" t="s">
        <v>74</v>
      </c>
      <c r="E332" t="s">
        <v>74</v>
      </c>
      <c r="F332" t="s">
        <v>6409</v>
      </c>
      <c r="G332" t="s">
        <v>74</v>
      </c>
      <c r="H332" t="s">
        <v>74</v>
      </c>
      <c r="I332" t="s">
        <v>6410</v>
      </c>
      <c r="J332" t="s">
        <v>5781</v>
      </c>
      <c r="K332" t="s">
        <v>74</v>
      </c>
      <c r="L332" t="s">
        <v>74</v>
      </c>
      <c r="M332" t="s">
        <v>78</v>
      </c>
      <c r="N332" t="s">
        <v>79</v>
      </c>
      <c r="O332" t="s">
        <v>74</v>
      </c>
      <c r="P332" t="s">
        <v>74</v>
      </c>
      <c r="Q332" t="s">
        <v>74</v>
      </c>
      <c r="R332" t="s">
        <v>74</v>
      </c>
      <c r="S332" t="s">
        <v>74</v>
      </c>
      <c r="T332" t="s">
        <v>74</v>
      </c>
      <c r="U332" t="s">
        <v>6411</v>
      </c>
      <c r="V332" t="s">
        <v>6412</v>
      </c>
      <c r="W332" t="s">
        <v>6413</v>
      </c>
      <c r="X332" t="s">
        <v>6414</v>
      </c>
      <c r="Y332" t="s">
        <v>6415</v>
      </c>
      <c r="Z332" t="s">
        <v>6416</v>
      </c>
      <c r="AA332" t="s">
        <v>6417</v>
      </c>
      <c r="AB332" t="s">
        <v>6418</v>
      </c>
      <c r="AC332" t="s">
        <v>6419</v>
      </c>
      <c r="AD332" t="s">
        <v>6419</v>
      </c>
      <c r="AE332" t="s">
        <v>6420</v>
      </c>
      <c r="AF332" t="s">
        <v>74</v>
      </c>
      <c r="AG332">
        <v>39</v>
      </c>
      <c r="AH332">
        <v>3</v>
      </c>
      <c r="AI332">
        <v>6</v>
      </c>
      <c r="AJ332">
        <v>1</v>
      </c>
      <c r="AK332">
        <v>13</v>
      </c>
      <c r="AL332" t="s">
        <v>816</v>
      </c>
      <c r="AM332" t="s">
        <v>2038</v>
      </c>
      <c r="AN332" t="s">
        <v>4484</v>
      </c>
      <c r="AO332" t="s">
        <v>5793</v>
      </c>
      <c r="AP332" t="s">
        <v>5794</v>
      </c>
      <c r="AQ332" t="s">
        <v>74</v>
      </c>
      <c r="AR332" t="s">
        <v>5795</v>
      </c>
      <c r="AS332" t="s">
        <v>5796</v>
      </c>
      <c r="AT332" t="s">
        <v>74</v>
      </c>
      <c r="AU332">
        <v>2013</v>
      </c>
      <c r="AV332">
        <v>54</v>
      </c>
      <c r="AW332">
        <v>63</v>
      </c>
      <c r="AX332">
        <v>2</v>
      </c>
      <c r="AY332" t="s">
        <v>74</v>
      </c>
      <c r="AZ332" t="s">
        <v>74</v>
      </c>
      <c r="BA332" t="s">
        <v>74</v>
      </c>
      <c r="BB332">
        <v>333</v>
      </c>
      <c r="BC332">
        <v>342</v>
      </c>
      <c r="BD332" t="s">
        <v>74</v>
      </c>
      <c r="BE332" t="s">
        <v>6421</v>
      </c>
      <c r="BF332" t="str">
        <f>HYPERLINK("http://dx.doi.org/10.3189/2013AoG63A345","http://dx.doi.org/10.3189/2013AoG63A345")</f>
        <v>http://dx.doi.org/10.3189/2013AoG63A345</v>
      </c>
      <c r="BG332" t="s">
        <v>74</v>
      </c>
      <c r="BH332" t="s">
        <v>74</v>
      </c>
      <c r="BI332">
        <v>10</v>
      </c>
      <c r="BJ332" t="s">
        <v>2261</v>
      </c>
      <c r="BK332" t="s">
        <v>102</v>
      </c>
      <c r="BL332" t="s">
        <v>2262</v>
      </c>
      <c r="BM332" t="s">
        <v>6422</v>
      </c>
      <c r="BN332" t="s">
        <v>74</v>
      </c>
      <c r="BO332" t="s">
        <v>128</v>
      </c>
      <c r="BP332" t="s">
        <v>74</v>
      </c>
      <c r="BQ332" t="s">
        <v>74</v>
      </c>
      <c r="BR332" t="s">
        <v>105</v>
      </c>
      <c r="BS332" t="s">
        <v>6423</v>
      </c>
      <c r="BT332" t="str">
        <f>HYPERLINK("https%3A%2F%2Fwww.webofscience.com%2Fwos%2Fwoscc%2Ffull-record%2FWOS:000322047200016","View Full Record in Web of Science")</f>
        <v>View Full Record in Web of Science</v>
      </c>
    </row>
    <row r="333" spans="1:72" x14ac:dyDescent="0.15">
      <c r="A333" t="s">
        <v>72</v>
      </c>
      <c r="B333" t="s">
        <v>6424</v>
      </c>
      <c r="C333" t="s">
        <v>74</v>
      </c>
      <c r="D333" t="s">
        <v>74</v>
      </c>
      <c r="E333" t="s">
        <v>74</v>
      </c>
      <c r="F333" t="s">
        <v>6425</v>
      </c>
      <c r="G333" t="s">
        <v>74</v>
      </c>
      <c r="H333" t="s">
        <v>74</v>
      </c>
      <c r="I333" t="s">
        <v>6426</v>
      </c>
      <c r="J333" t="s">
        <v>6427</v>
      </c>
      <c r="K333" t="s">
        <v>74</v>
      </c>
      <c r="L333" t="s">
        <v>74</v>
      </c>
      <c r="M333" t="s">
        <v>78</v>
      </c>
      <c r="N333" t="s">
        <v>79</v>
      </c>
      <c r="O333" t="s">
        <v>74</v>
      </c>
      <c r="P333" t="s">
        <v>74</v>
      </c>
      <c r="Q333" t="s">
        <v>74</v>
      </c>
      <c r="R333" t="s">
        <v>74</v>
      </c>
      <c r="S333" t="s">
        <v>74</v>
      </c>
      <c r="T333" t="s">
        <v>6428</v>
      </c>
      <c r="U333" t="s">
        <v>6429</v>
      </c>
      <c r="V333" t="s">
        <v>6430</v>
      </c>
      <c r="W333" t="s">
        <v>6431</v>
      </c>
      <c r="X333" t="s">
        <v>6432</v>
      </c>
      <c r="Y333" t="s">
        <v>6433</v>
      </c>
      <c r="Z333" t="s">
        <v>6434</v>
      </c>
      <c r="AA333" t="s">
        <v>74</v>
      </c>
      <c r="AB333" t="s">
        <v>6435</v>
      </c>
      <c r="AC333" t="s">
        <v>6436</v>
      </c>
      <c r="AD333" t="s">
        <v>6437</v>
      </c>
      <c r="AE333" t="s">
        <v>6438</v>
      </c>
      <c r="AF333" t="s">
        <v>74</v>
      </c>
      <c r="AG333">
        <v>38</v>
      </c>
      <c r="AH333">
        <v>7</v>
      </c>
      <c r="AI333">
        <v>9</v>
      </c>
      <c r="AJ333">
        <v>1</v>
      </c>
      <c r="AK333">
        <v>6</v>
      </c>
      <c r="AL333" t="s">
        <v>6439</v>
      </c>
      <c r="AM333" t="s">
        <v>4076</v>
      </c>
      <c r="AN333" t="s">
        <v>6440</v>
      </c>
      <c r="AO333" t="s">
        <v>6441</v>
      </c>
      <c r="AP333" t="s">
        <v>6442</v>
      </c>
      <c r="AQ333" t="s">
        <v>74</v>
      </c>
      <c r="AR333" t="s">
        <v>6427</v>
      </c>
      <c r="AS333" t="s">
        <v>6443</v>
      </c>
      <c r="AT333" t="s">
        <v>74</v>
      </c>
      <c r="AU333">
        <v>2013</v>
      </c>
      <c r="AV333" t="s">
        <v>74</v>
      </c>
      <c r="AW333">
        <v>316</v>
      </c>
      <c r="AX333" t="s">
        <v>74</v>
      </c>
      <c r="AY333" t="s">
        <v>74</v>
      </c>
      <c r="AZ333" t="s">
        <v>74</v>
      </c>
      <c r="BA333" t="s">
        <v>74</v>
      </c>
      <c r="BB333">
        <v>67</v>
      </c>
      <c r="BC333">
        <v>80</v>
      </c>
      <c r="BD333" t="s">
        <v>74</v>
      </c>
      <c r="BE333" t="s">
        <v>6444</v>
      </c>
      <c r="BF333" t="str">
        <f>HYPERLINK("http://dx.doi.org/10.3897/zookeys.316.4256","http://dx.doi.org/10.3897/zookeys.316.4256")</f>
        <v>http://dx.doi.org/10.3897/zookeys.316.4256</v>
      </c>
      <c r="BG333" t="s">
        <v>74</v>
      </c>
      <c r="BH333" t="s">
        <v>74</v>
      </c>
      <c r="BI333">
        <v>14</v>
      </c>
      <c r="BJ333" t="s">
        <v>3023</v>
      </c>
      <c r="BK333" t="s">
        <v>102</v>
      </c>
      <c r="BL333" t="s">
        <v>3023</v>
      </c>
      <c r="BM333" t="s">
        <v>6445</v>
      </c>
      <c r="BN333">
        <v>23878515</v>
      </c>
      <c r="BO333" t="s">
        <v>2629</v>
      </c>
      <c r="BP333" t="s">
        <v>74</v>
      </c>
      <c r="BQ333" t="s">
        <v>74</v>
      </c>
      <c r="BR333" t="s">
        <v>105</v>
      </c>
      <c r="BS333" t="s">
        <v>6446</v>
      </c>
      <c r="BT333" t="str">
        <f>HYPERLINK("https%3A%2F%2Fwww.webofscience.com%2Fwos%2Fwoscc%2Ffull-record%2FWOS:000321891200004","View Full Record in Web of Science")</f>
        <v>View Full Record in Web of Science</v>
      </c>
    </row>
    <row r="334" spans="1:72" x14ac:dyDescent="0.15">
      <c r="A334" t="s">
        <v>72</v>
      </c>
      <c r="B334" t="s">
        <v>6447</v>
      </c>
      <c r="C334" t="s">
        <v>74</v>
      </c>
      <c r="D334" t="s">
        <v>74</v>
      </c>
      <c r="E334" t="s">
        <v>74</v>
      </c>
      <c r="F334" t="s">
        <v>6448</v>
      </c>
      <c r="G334" t="s">
        <v>74</v>
      </c>
      <c r="H334" t="s">
        <v>74</v>
      </c>
      <c r="I334" t="s">
        <v>6449</v>
      </c>
      <c r="J334" t="s">
        <v>6427</v>
      </c>
      <c r="K334" t="s">
        <v>74</v>
      </c>
      <c r="L334" t="s">
        <v>74</v>
      </c>
      <c r="M334" t="s">
        <v>78</v>
      </c>
      <c r="N334" t="s">
        <v>79</v>
      </c>
      <c r="O334" t="s">
        <v>74</v>
      </c>
      <c r="P334" t="s">
        <v>74</v>
      </c>
      <c r="Q334" t="s">
        <v>74</v>
      </c>
      <c r="R334" t="s">
        <v>74</v>
      </c>
      <c r="S334" t="s">
        <v>74</v>
      </c>
      <c r="T334" t="s">
        <v>6450</v>
      </c>
      <c r="U334" t="s">
        <v>6451</v>
      </c>
      <c r="V334" t="s">
        <v>6452</v>
      </c>
      <c r="W334" t="s">
        <v>6453</v>
      </c>
      <c r="X334" t="s">
        <v>6454</v>
      </c>
      <c r="Y334" t="s">
        <v>6455</v>
      </c>
      <c r="Z334" t="s">
        <v>6456</v>
      </c>
      <c r="AA334" t="s">
        <v>6457</v>
      </c>
      <c r="AB334" t="s">
        <v>6458</v>
      </c>
      <c r="AC334" t="s">
        <v>74</v>
      </c>
      <c r="AD334" t="s">
        <v>74</v>
      </c>
      <c r="AE334" t="s">
        <v>74</v>
      </c>
      <c r="AF334" t="s">
        <v>74</v>
      </c>
      <c r="AG334">
        <v>19</v>
      </c>
      <c r="AH334">
        <v>1</v>
      </c>
      <c r="AI334">
        <v>2</v>
      </c>
      <c r="AJ334">
        <v>0</v>
      </c>
      <c r="AK334">
        <v>16</v>
      </c>
      <c r="AL334" t="s">
        <v>6459</v>
      </c>
      <c r="AM334" t="s">
        <v>4076</v>
      </c>
      <c r="AN334" t="s">
        <v>6440</v>
      </c>
      <c r="AO334" t="s">
        <v>6441</v>
      </c>
      <c r="AP334" t="s">
        <v>6442</v>
      </c>
      <c r="AQ334" t="s">
        <v>74</v>
      </c>
      <c r="AR334" t="s">
        <v>6427</v>
      </c>
      <c r="AS334" t="s">
        <v>6443</v>
      </c>
      <c r="AT334" t="s">
        <v>74</v>
      </c>
      <c r="AU334">
        <v>2013</v>
      </c>
      <c r="AV334" t="s">
        <v>74</v>
      </c>
      <c r="AW334">
        <v>315</v>
      </c>
      <c r="AX334" t="s">
        <v>74</v>
      </c>
      <c r="AY334" t="s">
        <v>74</v>
      </c>
      <c r="AZ334" t="s">
        <v>74</v>
      </c>
      <c r="BA334" t="s">
        <v>74</v>
      </c>
      <c r="BB334">
        <v>55</v>
      </c>
      <c r="BC334">
        <v>64</v>
      </c>
      <c r="BD334" t="s">
        <v>74</v>
      </c>
      <c r="BE334" t="s">
        <v>6460</v>
      </c>
      <c r="BF334" t="str">
        <f>HYPERLINK("http://dx.doi.org/10.3897/zookeys.315.5673","http://dx.doi.org/10.3897/zookeys.315.5673")</f>
        <v>http://dx.doi.org/10.3897/zookeys.315.5673</v>
      </c>
      <c r="BG334" t="s">
        <v>74</v>
      </c>
      <c r="BH334" t="s">
        <v>74</v>
      </c>
      <c r="BI334">
        <v>10</v>
      </c>
      <c r="BJ334" t="s">
        <v>3023</v>
      </c>
      <c r="BK334" t="s">
        <v>102</v>
      </c>
      <c r="BL334" t="s">
        <v>3023</v>
      </c>
      <c r="BM334" t="s">
        <v>6461</v>
      </c>
      <c r="BN334">
        <v>23878509</v>
      </c>
      <c r="BO334" t="s">
        <v>5316</v>
      </c>
      <c r="BP334" t="s">
        <v>74</v>
      </c>
      <c r="BQ334" t="s">
        <v>74</v>
      </c>
      <c r="BR334" t="s">
        <v>105</v>
      </c>
      <c r="BS334" t="s">
        <v>6462</v>
      </c>
      <c r="BT334" t="str">
        <f>HYPERLINK("https%3A%2F%2Fwww.webofscience.com%2Fwos%2Fwoscc%2Ffull-record%2FWOS:000321609900003","View Full Record in Web of Science")</f>
        <v>View Full Record in Web of Science</v>
      </c>
    </row>
    <row r="335" spans="1:72" x14ac:dyDescent="0.15">
      <c r="A335" t="s">
        <v>3224</v>
      </c>
      <c r="B335" t="s">
        <v>6463</v>
      </c>
      <c r="C335" t="s">
        <v>74</v>
      </c>
      <c r="D335" t="s">
        <v>74</v>
      </c>
      <c r="E335" t="s">
        <v>3226</v>
      </c>
      <c r="F335" t="s">
        <v>6464</v>
      </c>
      <c r="G335" t="s">
        <v>74</v>
      </c>
      <c r="H335" t="s">
        <v>74</v>
      </c>
      <c r="I335" t="s">
        <v>6465</v>
      </c>
      <c r="J335" t="s">
        <v>6466</v>
      </c>
      <c r="K335" t="s">
        <v>6467</v>
      </c>
      <c r="L335" t="s">
        <v>74</v>
      </c>
      <c r="M335" t="s">
        <v>78</v>
      </c>
      <c r="N335" t="s">
        <v>3231</v>
      </c>
      <c r="O335" t="s">
        <v>6468</v>
      </c>
      <c r="P335" t="s">
        <v>6469</v>
      </c>
      <c r="Q335" t="s">
        <v>6470</v>
      </c>
      <c r="R335" t="s">
        <v>74</v>
      </c>
      <c r="S335" t="s">
        <v>74</v>
      </c>
      <c r="T335" t="s">
        <v>74</v>
      </c>
      <c r="U335" t="s">
        <v>6471</v>
      </c>
      <c r="V335" t="s">
        <v>6472</v>
      </c>
      <c r="W335" t="s">
        <v>6473</v>
      </c>
      <c r="X335" t="s">
        <v>6474</v>
      </c>
      <c r="Y335" t="s">
        <v>6475</v>
      </c>
      <c r="Z335" t="s">
        <v>6476</v>
      </c>
      <c r="AA335" t="s">
        <v>74</v>
      </c>
      <c r="AB335" t="s">
        <v>6477</v>
      </c>
      <c r="AC335" t="s">
        <v>6478</v>
      </c>
      <c r="AD335" t="s">
        <v>6479</v>
      </c>
      <c r="AE335" t="s">
        <v>6480</v>
      </c>
      <c r="AF335" t="s">
        <v>74</v>
      </c>
      <c r="AG335">
        <v>24</v>
      </c>
      <c r="AH335">
        <v>0</v>
      </c>
      <c r="AI335">
        <v>0</v>
      </c>
      <c r="AJ335">
        <v>0</v>
      </c>
      <c r="AK335">
        <v>0</v>
      </c>
      <c r="AL335" t="s">
        <v>3226</v>
      </c>
      <c r="AM335" t="s">
        <v>296</v>
      </c>
      <c r="AN335" t="s">
        <v>3244</v>
      </c>
      <c r="AO335" t="s">
        <v>6481</v>
      </c>
      <c r="AP335" t="s">
        <v>74</v>
      </c>
      <c r="AQ335" t="s">
        <v>6482</v>
      </c>
      <c r="AR335" t="s">
        <v>6483</v>
      </c>
      <c r="AS335" t="s">
        <v>74</v>
      </c>
      <c r="AT335" t="s">
        <v>74</v>
      </c>
      <c r="AU335">
        <v>2013</v>
      </c>
      <c r="AV335" t="s">
        <v>74</v>
      </c>
      <c r="AW335" t="s">
        <v>74</v>
      </c>
      <c r="AX335" t="s">
        <v>74</v>
      </c>
      <c r="AY335" t="s">
        <v>74</v>
      </c>
      <c r="AZ335" t="s">
        <v>74</v>
      </c>
      <c r="BA335" t="s">
        <v>74</v>
      </c>
      <c r="BB335" t="s">
        <v>74</v>
      </c>
      <c r="BC335" t="s">
        <v>74</v>
      </c>
      <c r="BD335" t="s">
        <v>74</v>
      </c>
      <c r="BE335" t="s">
        <v>74</v>
      </c>
      <c r="BF335" t="s">
        <v>74</v>
      </c>
      <c r="BG335" t="s">
        <v>74</v>
      </c>
      <c r="BH335" t="s">
        <v>74</v>
      </c>
      <c r="BI335">
        <v>8</v>
      </c>
      <c r="BJ335" t="s">
        <v>6484</v>
      </c>
      <c r="BK335" t="s">
        <v>3247</v>
      </c>
      <c r="BL335" t="s">
        <v>3248</v>
      </c>
      <c r="BM335" t="s">
        <v>6485</v>
      </c>
      <c r="BN335" t="s">
        <v>74</v>
      </c>
      <c r="BO335" t="s">
        <v>74</v>
      </c>
      <c r="BP335" t="s">
        <v>74</v>
      </c>
      <c r="BQ335" t="s">
        <v>74</v>
      </c>
      <c r="BR335" t="s">
        <v>105</v>
      </c>
      <c r="BS335" t="s">
        <v>6486</v>
      </c>
      <c r="BT335" t="str">
        <f>HYPERLINK("https%3A%2F%2Fwww.webofscience.com%2Fwos%2Fwoscc%2Ffull-record%2FWOS:000320123902072","View Full Record in Web of Science")</f>
        <v>View Full Record in Web of Science</v>
      </c>
    </row>
    <row r="336" spans="1:72" x14ac:dyDescent="0.15">
      <c r="A336" t="s">
        <v>3224</v>
      </c>
      <c r="B336" t="s">
        <v>6487</v>
      </c>
      <c r="C336" t="s">
        <v>74</v>
      </c>
      <c r="D336" t="s">
        <v>6488</v>
      </c>
      <c r="E336" t="s">
        <v>74</v>
      </c>
      <c r="F336" t="s">
        <v>6489</v>
      </c>
      <c r="G336" t="s">
        <v>74</v>
      </c>
      <c r="H336" t="s">
        <v>74</v>
      </c>
      <c r="I336" t="s">
        <v>6490</v>
      </c>
      <c r="J336" t="s">
        <v>6491</v>
      </c>
      <c r="K336" t="s">
        <v>4212</v>
      </c>
      <c r="L336" t="s">
        <v>74</v>
      </c>
      <c r="M336" t="s">
        <v>78</v>
      </c>
      <c r="N336" t="s">
        <v>3231</v>
      </c>
      <c r="O336" t="s">
        <v>6492</v>
      </c>
      <c r="P336" t="s">
        <v>6493</v>
      </c>
      <c r="Q336" t="s">
        <v>6494</v>
      </c>
      <c r="R336" t="s">
        <v>74</v>
      </c>
      <c r="S336" t="s">
        <v>6495</v>
      </c>
      <c r="T336" t="s">
        <v>6496</v>
      </c>
      <c r="U336" t="s">
        <v>6497</v>
      </c>
      <c r="V336" t="s">
        <v>6498</v>
      </c>
      <c r="W336" t="s">
        <v>6499</v>
      </c>
      <c r="X336" t="s">
        <v>74</v>
      </c>
      <c r="Y336" t="s">
        <v>6500</v>
      </c>
      <c r="Z336" t="s">
        <v>74</v>
      </c>
      <c r="AA336" t="s">
        <v>74</v>
      </c>
      <c r="AB336" t="s">
        <v>74</v>
      </c>
      <c r="AC336" t="s">
        <v>74</v>
      </c>
      <c r="AD336" t="s">
        <v>74</v>
      </c>
      <c r="AE336" t="s">
        <v>74</v>
      </c>
      <c r="AF336" t="s">
        <v>74</v>
      </c>
      <c r="AG336">
        <v>26</v>
      </c>
      <c r="AH336">
        <v>0</v>
      </c>
      <c r="AI336">
        <v>0</v>
      </c>
      <c r="AJ336">
        <v>0</v>
      </c>
      <c r="AK336">
        <v>1</v>
      </c>
      <c r="AL336" t="s">
        <v>4224</v>
      </c>
      <c r="AM336" t="s">
        <v>4225</v>
      </c>
      <c r="AN336" t="s">
        <v>4226</v>
      </c>
      <c r="AO336" t="s">
        <v>4227</v>
      </c>
      <c r="AP336" t="s">
        <v>74</v>
      </c>
      <c r="AQ336" t="s">
        <v>6501</v>
      </c>
      <c r="AR336" t="s">
        <v>4229</v>
      </c>
      <c r="AS336" t="s">
        <v>74</v>
      </c>
      <c r="AT336" t="s">
        <v>74</v>
      </c>
      <c r="AU336">
        <v>2013</v>
      </c>
      <c r="AV336">
        <v>1535</v>
      </c>
      <c r="AW336" t="s">
        <v>74</v>
      </c>
      <c r="AX336" t="s">
        <v>74</v>
      </c>
      <c r="AY336" t="s">
        <v>74</v>
      </c>
      <c r="AZ336" t="s">
        <v>74</v>
      </c>
      <c r="BA336" t="s">
        <v>74</v>
      </c>
      <c r="BB336">
        <v>9</v>
      </c>
      <c r="BC336">
        <v>14</v>
      </c>
      <c r="BD336" t="s">
        <v>74</v>
      </c>
      <c r="BE336" t="s">
        <v>6502</v>
      </c>
      <c r="BF336" t="str">
        <f>HYPERLINK("http://dx.doi.org/10.1063/1.4807512","http://dx.doi.org/10.1063/1.4807512")</f>
        <v>http://dx.doi.org/10.1063/1.4807512</v>
      </c>
      <c r="BG336" t="s">
        <v>74</v>
      </c>
      <c r="BH336" t="s">
        <v>74</v>
      </c>
      <c r="BI336">
        <v>6</v>
      </c>
      <c r="BJ336" t="s">
        <v>6503</v>
      </c>
      <c r="BK336" t="s">
        <v>3247</v>
      </c>
      <c r="BL336" t="s">
        <v>6504</v>
      </c>
      <c r="BM336" t="s">
        <v>6505</v>
      </c>
      <c r="BN336" t="s">
        <v>74</v>
      </c>
      <c r="BO336" t="s">
        <v>74</v>
      </c>
      <c r="BP336" t="s">
        <v>74</v>
      </c>
      <c r="BQ336" t="s">
        <v>74</v>
      </c>
      <c r="BR336" t="s">
        <v>105</v>
      </c>
      <c r="BS336" t="s">
        <v>6506</v>
      </c>
      <c r="BT336" t="str">
        <f>HYPERLINK("https%3A%2F%2Fwww.webofscience.com%2Fwos%2Fwoscc%2Ffull-record%2FWOS:000321252400001","View Full Record in Web of Science")</f>
        <v>View Full Record in Web of Science</v>
      </c>
    </row>
    <row r="337" spans="1:72" x14ac:dyDescent="0.15">
      <c r="A337" t="s">
        <v>3224</v>
      </c>
      <c r="B337" t="s">
        <v>6507</v>
      </c>
      <c r="C337" t="s">
        <v>74</v>
      </c>
      <c r="D337" t="s">
        <v>6488</v>
      </c>
      <c r="E337" t="s">
        <v>74</v>
      </c>
      <c r="F337" t="s">
        <v>6508</v>
      </c>
      <c r="G337" t="s">
        <v>74</v>
      </c>
      <c r="H337" t="s">
        <v>74</v>
      </c>
      <c r="I337" t="s">
        <v>6509</v>
      </c>
      <c r="J337" t="s">
        <v>6491</v>
      </c>
      <c r="K337" t="s">
        <v>4212</v>
      </c>
      <c r="L337" t="s">
        <v>74</v>
      </c>
      <c r="M337" t="s">
        <v>78</v>
      </c>
      <c r="N337" t="s">
        <v>3231</v>
      </c>
      <c r="O337" t="s">
        <v>6492</v>
      </c>
      <c r="P337" t="s">
        <v>6493</v>
      </c>
      <c r="Q337" t="s">
        <v>6494</v>
      </c>
      <c r="R337" t="s">
        <v>74</v>
      </c>
      <c r="S337" t="s">
        <v>6495</v>
      </c>
      <c r="T337" t="s">
        <v>6510</v>
      </c>
      <c r="U337" t="s">
        <v>74</v>
      </c>
      <c r="V337" t="s">
        <v>6511</v>
      </c>
      <c r="W337" t="s">
        <v>6512</v>
      </c>
      <c r="X337" t="s">
        <v>6513</v>
      </c>
      <c r="Y337" t="s">
        <v>6514</v>
      </c>
      <c r="Z337" t="s">
        <v>74</v>
      </c>
      <c r="AA337" t="s">
        <v>6515</v>
      </c>
      <c r="AB337" t="s">
        <v>74</v>
      </c>
      <c r="AC337" t="s">
        <v>74</v>
      </c>
      <c r="AD337" t="s">
        <v>74</v>
      </c>
      <c r="AE337" t="s">
        <v>74</v>
      </c>
      <c r="AF337" t="s">
        <v>74</v>
      </c>
      <c r="AG337">
        <v>7</v>
      </c>
      <c r="AH337">
        <v>0</v>
      </c>
      <c r="AI337">
        <v>0</v>
      </c>
      <c r="AJ337">
        <v>0</v>
      </c>
      <c r="AK337">
        <v>2</v>
      </c>
      <c r="AL337" t="s">
        <v>4224</v>
      </c>
      <c r="AM337" t="s">
        <v>4225</v>
      </c>
      <c r="AN337" t="s">
        <v>4226</v>
      </c>
      <c r="AO337" t="s">
        <v>4227</v>
      </c>
      <c r="AP337" t="s">
        <v>74</v>
      </c>
      <c r="AQ337" t="s">
        <v>6501</v>
      </c>
      <c r="AR337" t="s">
        <v>4229</v>
      </c>
      <c r="AS337" t="s">
        <v>74</v>
      </c>
      <c r="AT337" t="s">
        <v>74</v>
      </c>
      <c r="AU337">
        <v>2013</v>
      </c>
      <c r="AV337">
        <v>1535</v>
      </c>
      <c r="AW337" t="s">
        <v>74</v>
      </c>
      <c r="AX337" t="s">
        <v>74</v>
      </c>
      <c r="AY337" t="s">
        <v>74</v>
      </c>
      <c r="AZ337" t="s">
        <v>74</v>
      </c>
      <c r="BA337" t="s">
        <v>74</v>
      </c>
      <c r="BB337">
        <v>41</v>
      </c>
      <c r="BC337">
        <v>44</v>
      </c>
      <c r="BD337" t="s">
        <v>74</v>
      </c>
      <c r="BE337" t="s">
        <v>6516</v>
      </c>
      <c r="BF337" t="str">
        <f>HYPERLINK("http://dx.doi.org/10.1063/1.4807518","http://dx.doi.org/10.1063/1.4807518")</f>
        <v>http://dx.doi.org/10.1063/1.4807518</v>
      </c>
      <c r="BG337" t="s">
        <v>74</v>
      </c>
      <c r="BH337" t="s">
        <v>74</v>
      </c>
      <c r="BI337">
        <v>4</v>
      </c>
      <c r="BJ337" t="s">
        <v>6503</v>
      </c>
      <c r="BK337" t="s">
        <v>3247</v>
      </c>
      <c r="BL337" t="s">
        <v>6504</v>
      </c>
      <c r="BM337" t="s">
        <v>6505</v>
      </c>
      <c r="BN337" t="s">
        <v>74</v>
      </c>
      <c r="BO337" t="s">
        <v>74</v>
      </c>
      <c r="BP337" t="s">
        <v>74</v>
      </c>
      <c r="BQ337" t="s">
        <v>74</v>
      </c>
      <c r="BR337" t="s">
        <v>105</v>
      </c>
      <c r="BS337" t="s">
        <v>6517</v>
      </c>
      <c r="BT337" t="str">
        <f>HYPERLINK("https%3A%2F%2Fwww.webofscience.com%2Fwos%2Fwoscc%2Ffull-record%2FWOS:000321252400007","View Full Record in Web of Science")</f>
        <v>View Full Record in Web of Science</v>
      </c>
    </row>
    <row r="338" spans="1:72" x14ac:dyDescent="0.15">
      <c r="A338" t="s">
        <v>3224</v>
      </c>
      <c r="B338" t="s">
        <v>6518</v>
      </c>
      <c r="C338" t="s">
        <v>74</v>
      </c>
      <c r="D338" t="s">
        <v>6488</v>
      </c>
      <c r="E338" t="s">
        <v>74</v>
      </c>
      <c r="F338" t="s">
        <v>6519</v>
      </c>
      <c r="G338" t="s">
        <v>74</v>
      </c>
      <c r="H338" t="s">
        <v>74</v>
      </c>
      <c r="I338" t="s">
        <v>6520</v>
      </c>
      <c r="J338" t="s">
        <v>6491</v>
      </c>
      <c r="K338" t="s">
        <v>4212</v>
      </c>
      <c r="L338" t="s">
        <v>74</v>
      </c>
      <c r="M338" t="s">
        <v>78</v>
      </c>
      <c r="N338" t="s">
        <v>3231</v>
      </c>
      <c r="O338" t="s">
        <v>6492</v>
      </c>
      <c r="P338" t="s">
        <v>6493</v>
      </c>
      <c r="Q338" t="s">
        <v>6494</v>
      </c>
      <c r="R338" t="s">
        <v>74</v>
      </c>
      <c r="S338" t="s">
        <v>6495</v>
      </c>
      <c r="T338" t="s">
        <v>6521</v>
      </c>
      <c r="U338" t="s">
        <v>74</v>
      </c>
      <c r="V338" t="s">
        <v>6522</v>
      </c>
      <c r="W338" t="s">
        <v>6523</v>
      </c>
      <c r="X338" t="s">
        <v>6524</v>
      </c>
      <c r="Y338" t="s">
        <v>6525</v>
      </c>
      <c r="Z338" t="s">
        <v>74</v>
      </c>
      <c r="AA338" t="s">
        <v>6526</v>
      </c>
      <c r="AB338" t="s">
        <v>6527</v>
      </c>
      <c r="AC338" t="s">
        <v>74</v>
      </c>
      <c r="AD338" t="s">
        <v>74</v>
      </c>
      <c r="AE338" t="s">
        <v>74</v>
      </c>
      <c r="AF338" t="s">
        <v>74</v>
      </c>
      <c r="AG338">
        <v>8</v>
      </c>
      <c r="AH338">
        <v>5</v>
      </c>
      <c r="AI338">
        <v>6</v>
      </c>
      <c r="AJ338">
        <v>0</v>
      </c>
      <c r="AK338">
        <v>0</v>
      </c>
      <c r="AL338" t="s">
        <v>4224</v>
      </c>
      <c r="AM338" t="s">
        <v>4225</v>
      </c>
      <c r="AN338" t="s">
        <v>4226</v>
      </c>
      <c r="AO338" t="s">
        <v>4227</v>
      </c>
      <c r="AP338" t="s">
        <v>74</v>
      </c>
      <c r="AQ338" t="s">
        <v>6501</v>
      </c>
      <c r="AR338" t="s">
        <v>4229</v>
      </c>
      <c r="AS338" t="s">
        <v>74</v>
      </c>
      <c r="AT338" t="s">
        <v>74</v>
      </c>
      <c r="AU338">
        <v>2013</v>
      </c>
      <c r="AV338">
        <v>1535</v>
      </c>
      <c r="AW338" t="s">
        <v>74</v>
      </c>
      <c r="AX338" t="s">
        <v>74</v>
      </c>
      <c r="AY338" t="s">
        <v>74</v>
      </c>
      <c r="AZ338" t="s">
        <v>74</v>
      </c>
      <c r="BA338" t="s">
        <v>74</v>
      </c>
      <c r="BB338">
        <v>45</v>
      </c>
      <c r="BC338">
        <v>50</v>
      </c>
      <c r="BD338" t="s">
        <v>74</v>
      </c>
      <c r="BE338" t="s">
        <v>6528</v>
      </c>
      <c r="BF338" t="str">
        <f>HYPERLINK("http://dx.doi.org/10.1063/1.4807519","http://dx.doi.org/10.1063/1.4807519")</f>
        <v>http://dx.doi.org/10.1063/1.4807519</v>
      </c>
      <c r="BG338" t="s">
        <v>74</v>
      </c>
      <c r="BH338" t="s">
        <v>74</v>
      </c>
      <c r="BI338">
        <v>6</v>
      </c>
      <c r="BJ338" t="s">
        <v>6503</v>
      </c>
      <c r="BK338" t="s">
        <v>3247</v>
      </c>
      <c r="BL338" t="s">
        <v>6504</v>
      </c>
      <c r="BM338" t="s">
        <v>6505</v>
      </c>
      <c r="BN338" t="s">
        <v>74</v>
      </c>
      <c r="BO338" t="s">
        <v>155</v>
      </c>
      <c r="BP338" t="s">
        <v>74</v>
      </c>
      <c r="BQ338" t="s">
        <v>74</v>
      </c>
      <c r="BR338" t="s">
        <v>105</v>
      </c>
      <c r="BS338" t="s">
        <v>6529</v>
      </c>
      <c r="BT338" t="str">
        <f>HYPERLINK("https%3A%2F%2Fwww.webofscience.com%2Fwos%2Fwoscc%2Ffull-record%2FWOS:000321252400008","View Full Record in Web of Science")</f>
        <v>View Full Record in Web of Science</v>
      </c>
    </row>
    <row r="339" spans="1:72" x14ac:dyDescent="0.15">
      <c r="A339" t="s">
        <v>3224</v>
      </c>
      <c r="B339" t="s">
        <v>6530</v>
      </c>
      <c r="C339" t="s">
        <v>74</v>
      </c>
      <c r="D339" t="s">
        <v>6488</v>
      </c>
      <c r="E339" t="s">
        <v>74</v>
      </c>
      <c r="F339" t="s">
        <v>6531</v>
      </c>
      <c r="G339" t="s">
        <v>74</v>
      </c>
      <c r="H339" t="s">
        <v>74</v>
      </c>
      <c r="I339" t="s">
        <v>6532</v>
      </c>
      <c r="J339" t="s">
        <v>6491</v>
      </c>
      <c r="K339" t="s">
        <v>4212</v>
      </c>
      <c r="L339" t="s">
        <v>74</v>
      </c>
      <c r="M339" t="s">
        <v>78</v>
      </c>
      <c r="N339" t="s">
        <v>3231</v>
      </c>
      <c r="O339" t="s">
        <v>6492</v>
      </c>
      <c r="P339" t="s">
        <v>6493</v>
      </c>
      <c r="Q339" t="s">
        <v>6494</v>
      </c>
      <c r="R339" t="s">
        <v>74</v>
      </c>
      <c r="S339" t="s">
        <v>6495</v>
      </c>
      <c r="T339" t="s">
        <v>6533</v>
      </c>
      <c r="U339" t="s">
        <v>74</v>
      </c>
      <c r="V339" t="s">
        <v>6534</v>
      </c>
      <c r="W339" t="s">
        <v>6535</v>
      </c>
      <c r="X339" t="s">
        <v>6536</v>
      </c>
      <c r="Y339" t="s">
        <v>6537</v>
      </c>
      <c r="Z339" t="s">
        <v>74</v>
      </c>
      <c r="AA339" t="s">
        <v>6538</v>
      </c>
      <c r="AB339" t="s">
        <v>6539</v>
      </c>
      <c r="AC339" t="s">
        <v>74</v>
      </c>
      <c r="AD339" t="s">
        <v>74</v>
      </c>
      <c r="AE339" t="s">
        <v>74</v>
      </c>
      <c r="AF339" t="s">
        <v>74</v>
      </c>
      <c r="AG339">
        <v>12</v>
      </c>
      <c r="AH339">
        <v>0</v>
      </c>
      <c r="AI339">
        <v>0</v>
      </c>
      <c r="AJ339">
        <v>2</v>
      </c>
      <c r="AK339">
        <v>3</v>
      </c>
      <c r="AL339" t="s">
        <v>4224</v>
      </c>
      <c r="AM339" t="s">
        <v>4225</v>
      </c>
      <c r="AN339" t="s">
        <v>4226</v>
      </c>
      <c r="AO339" t="s">
        <v>4227</v>
      </c>
      <c r="AP339" t="s">
        <v>74</v>
      </c>
      <c r="AQ339" t="s">
        <v>6501</v>
      </c>
      <c r="AR339" t="s">
        <v>4229</v>
      </c>
      <c r="AS339" t="s">
        <v>74</v>
      </c>
      <c r="AT339" t="s">
        <v>74</v>
      </c>
      <c r="AU339">
        <v>2013</v>
      </c>
      <c r="AV339">
        <v>1535</v>
      </c>
      <c r="AW339" t="s">
        <v>74</v>
      </c>
      <c r="AX339" t="s">
        <v>74</v>
      </c>
      <c r="AY339" t="s">
        <v>74</v>
      </c>
      <c r="AZ339" t="s">
        <v>74</v>
      </c>
      <c r="BA339" t="s">
        <v>74</v>
      </c>
      <c r="BB339">
        <v>195</v>
      </c>
      <c r="BC339">
        <v>199</v>
      </c>
      <c r="BD339" t="s">
        <v>74</v>
      </c>
      <c r="BE339" t="s">
        <v>6540</v>
      </c>
      <c r="BF339" t="str">
        <f>HYPERLINK("http://dx.doi.org/10.1063/1.4807547","http://dx.doi.org/10.1063/1.4807547")</f>
        <v>http://dx.doi.org/10.1063/1.4807547</v>
      </c>
      <c r="BG339" t="s">
        <v>74</v>
      </c>
      <c r="BH339" t="s">
        <v>74</v>
      </c>
      <c r="BI339">
        <v>5</v>
      </c>
      <c r="BJ339" t="s">
        <v>6503</v>
      </c>
      <c r="BK339" t="s">
        <v>3247</v>
      </c>
      <c r="BL339" t="s">
        <v>6504</v>
      </c>
      <c r="BM339" t="s">
        <v>6505</v>
      </c>
      <c r="BN339" t="s">
        <v>74</v>
      </c>
      <c r="BO339" t="s">
        <v>74</v>
      </c>
      <c r="BP339" t="s">
        <v>74</v>
      </c>
      <c r="BQ339" t="s">
        <v>74</v>
      </c>
      <c r="BR339" t="s">
        <v>105</v>
      </c>
      <c r="BS339" t="s">
        <v>6541</v>
      </c>
      <c r="BT339" t="str">
        <f>HYPERLINK("https%3A%2F%2Fwww.webofscience.com%2Fwos%2Fwoscc%2Ffull-record%2FWOS:000321252400036","View Full Record in Web of Science")</f>
        <v>View Full Record in Web of Science</v>
      </c>
    </row>
    <row r="340" spans="1:72" x14ac:dyDescent="0.15">
      <c r="A340" t="s">
        <v>3224</v>
      </c>
      <c r="B340" t="s">
        <v>6542</v>
      </c>
      <c r="C340" t="s">
        <v>74</v>
      </c>
      <c r="D340" t="s">
        <v>6488</v>
      </c>
      <c r="E340" t="s">
        <v>74</v>
      </c>
      <c r="F340" t="s">
        <v>6543</v>
      </c>
      <c r="G340" t="s">
        <v>74</v>
      </c>
      <c r="H340" t="s">
        <v>6544</v>
      </c>
      <c r="I340" t="s">
        <v>6545</v>
      </c>
      <c r="J340" t="s">
        <v>6491</v>
      </c>
      <c r="K340" t="s">
        <v>4212</v>
      </c>
      <c r="L340" t="s">
        <v>74</v>
      </c>
      <c r="M340" t="s">
        <v>78</v>
      </c>
      <c r="N340" t="s">
        <v>3231</v>
      </c>
      <c r="O340" t="s">
        <v>6492</v>
      </c>
      <c r="P340" t="s">
        <v>6493</v>
      </c>
      <c r="Q340" t="s">
        <v>6494</v>
      </c>
      <c r="R340" t="s">
        <v>74</v>
      </c>
      <c r="S340" t="s">
        <v>6495</v>
      </c>
      <c r="T340" t="s">
        <v>6546</v>
      </c>
      <c r="U340" t="s">
        <v>6547</v>
      </c>
      <c r="V340" t="s">
        <v>6548</v>
      </c>
      <c r="W340" t="s">
        <v>6549</v>
      </c>
      <c r="X340" t="s">
        <v>6550</v>
      </c>
      <c r="Y340" t="s">
        <v>6551</v>
      </c>
      <c r="Z340" t="s">
        <v>74</v>
      </c>
      <c r="AA340" t="s">
        <v>6552</v>
      </c>
      <c r="AB340" t="s">
        <v>6553</v>
      </c>
      <c r="AC340" t="s">
        <v>74</v>
      </c>
      <c r="AD340" t="s">
        <v>74</v>
      </c>
      <c r="AE340" t="s">
        <v>74</v>
      </c>
      <c r="AF340" t="s">
        <v>74</v>
      </c>
      <c r="AG340">
        <v>18</v>
      </c>
      <c r="AH340">
        <v>5</v>
      </c>
      <c r="AI340">
        <v>5</v>
      </c>
      <c r="AJ340">
        <v>0</v>
      </c>
      <c r="AK340">
        <v>0</v>
      </c>
      <c r="AL340" t="s">
        <v>4224</v>
      </c>
      <c r="AM340" t="s">
        <v>4225</v>
      </c>
      <c r="AN340" t="s">
        <v>4226</v>
      </c>
      <c r="AO340" t="s">
        <v>4227</v>
      </c>
      <c r="AP340" t="s">
        <v>74</v>
      </c>
      <c r="AQ340" t="s">
        <v>6501</v>
      </c>
      <c r="AR340" t="s">
        <v>4229</v>
      </c>
      <c r="AS340" t="s">
        <v>74</v>
      </c>
      <c r="AT340" t="s">
        <v>74</v>
      </c>
      <c r="AU340">
        <v>2013</v>
      </c>
      <c r="AV340">
        <v>1535</v>
      </c>
      <c r="AW340" t="s">
        <v>74</v>
      </c>
      <c r="AX340" t="s">
        <v>74</v>
      </c>
      <c r="AY340" t="s">
        <v>74</v>
      </c>
      <c r="AZ340" t="s">
        <v>74</v>
      </c>
      <c r="BA340" t="s">
        <v>74</v>
      </c>
      <c r="BB340">
        <v>209</v>
      </c>
      <c r="BC340">
        <v>213</v>
      </c>
      <c r="BD340" t="s">
        <v>74</v>
      </c>
      <c r="BE340" t="s">
        <v>6554</v>
      </c>
      <c r="BF340" t="str">
        <f>HYPERLINK("http://dx.doi.org/10.1063/1.4807550","http://dx.doi.org/10.1063/1.4807550")</f>
        <v>http://dx.doi.org/10.1063/1.4807550</v>
      </c>
      <c r="BG340" t="s">
        <v>74</v>
      </c>
      <c r="BH340" t="s">
        <v>74</v>
      </c>
      <c r="BI340">
        <v>5</v>
      </c>
      <c r="BJ340" t="s">
        <v>6503</v>
      </c>
      <c r="BK340" t="s">
        <v>3247</v>
      </c>
      <c r="BL340" t="s">
        <v>6504</v>
      </c>
      <c r="BM340" t="s">
        <v>6505</v>
      </c>
      <c r="BN340" t="s">
        <v>74</v>
      </c>
      <c r="BO340" t="s">
        <v>155</v>
      </c>
      <c r="BP340" t="s">
        <v>74</v>
      </c>
      <c r="BQ340" t="s">
        <v>74</v>
      </c>
      <c r="BR340" t="s">
        <v>105</v>
      </c>
      <c r="BS340" t="s">
        <v>6555</v>
      </c>
      <c r="BT340" t="str">
        <f>HYPERLINK("https%3A%2F%2Fwww.webofscience.com%2Fwos%2Fwoscc%2Ffull-record%2FWOS:000321252400039","View Full Record in Web of Science")</f>
        <v>View Full Record in Web of Science</v>
      </c>
    </row>
    <row r="341" spans="1:72" x14ac:dyDescent="0.15">
      <c r="A341" t="s">
        <v>72</v>
      </c>
      <c r="B341" t="s">
        <v>6556</v>
      </c>
      <c r="C341" t="s">
        <v>74</v>
      </c>
      <c r="D341" t="s">
        <v>74</v>
      </c>
      <c r="E341" t="s">
        <v>74</v>
      </c>
      <c r="F341" t="s">
        <v>6557</v>
      </c>
      <c r="G341" t="s">
        <v>74</v>
      </c>
      <c r="H341" t="s">
        <v>74</v>
      </c>
      <c r="I341" t="s">
        <v>6558</v>
      </c>
      <c r="J341" t="s">
        <v>5781</v>
      </c>
      <c r="K341" t="s">
        <v>74</v>
      </c>
      <c r="L341" t="s">
        <v>74</v>
      </c>
      <c r="M341" t="s">
        <v>78</v>
      </c>
      <c r="N341" t="s">
        <v>79</v>
      </c>
      <c r="O341" t="s">
        <v>74</v>
      </c>
      <c r="P341" t="s">
        <v>74</v>
      </c>
      <c r="Q341" t="s">
        <v>74</v>
      </c>
      <c r="R341" t="s">
        <v>74</v>
      </c>
      <c r="S341" t="s">
        <v>74</v>
      </c>
      <c r="T341" t="s">
        <v>74</v>
      </c>
      <c r="U341" t="s">
        <v>6559</v>
      </c>
      <c r="V341" t="s">
        <v>6560</v>
      </c>
      <c r="W341" t="s">
        <v>6561</v>
      </c>
      <c r="X341" t="s">
        <v>6562</v>
      </c>
      <c r="Y341" t="s">
        <v>6563</v>
      </c>
      <c r="Z341" t="s">
        <v>6564</v>
      </c>
      <c r="AA341" t="s">
        <v>6565</v>
      </c>
      <c r="AB341" t="s">
        <v>6566</v>
      </c>
      <c r="AC341" t="s">
        <v>6567</v>
      </c>
      <c r="AD341" t="s">
        <v>6568</v>
      </c>
      <c r="AE341" t="s">
        <v>6569</v>
      </c>
      <c r="AF341" t="s">
        <v>74</v>
      </c>
      <c r="AG341">
        <v>23</v>
      </c>
      <c r="AH341">
        <v>40</v>
      </c>
      <c r="AI341">
        <v>45</v>
      </c>
      <c r="AJ341">
        <v>1</v>
      </c>
      <c r="AK341">
        <v>24</v>
      </c>
      <c r="AL341" t="s">
        <v>816</v>
      </c>
      <c r="AM341" t="s">
        <v>2038</v>
      </c>
      <c r="AN341" t="s">
        <v>4484</v>
      </c>
      <c r="AO341" t="s">
        <v>5793</v>
      </c>
      <c r="AP341" t="s">
        <v>5794</v>
      </c>
      <c r="AQ341" t="s">
        <v>74</v>
      </c>
      <c r="AR341" t="s">
        <v>5795</v>
      </c>
      <c r="AS341" t="s">
        <v>5796</v>
      </c>
      <c r="AT341" t="s">
        <v>74</v>
      </c>
      <c r="AU341">
        <v>2013</v>
      </c>
      <c r="AV341">
        <v>54</v>
      </c>
      <c r="AW341">
        <v>63</v>
      </c>
      <c r="AX341">
        <v>1</v>
      </c>
      <c r="AY341" t="s">
        <v>74</v>
      </c>
      <c r="AZ341" t="s">
        <v>74</v>
      </c>
      <c r="BA341" t="s">
        <v>74</v>
      </c>
      <c r="BB341">
        <v>1</v>
      </c>
      <c r="BC341">
        <v>10</v>
      </c>
      <c r="BD341" t="s">
        <v>74</v>
      </c>
      <c r="BE341" t="s">
        <v>6570</v>
      </c>
      <c r="BF341" t="str">
        <f>HYPERLINK("http://dx.doi.org/10.3189/2013AoG63A256","http://dx.doi.org/10.3189/2013AoG63A256")</f>
        <v>http://dx.doi.org/10.3189/2013AoG63A256</v>
      </c>
      <c r="BG341" t="s">
        <v>74</v>
      </c>
      <c r="BH341" t="s">
        <v>74</v>
      </c>
      <c r="BI341">
        <v>10</v>
      </c>
      <c r="BJ341" t="s">
        <v>2261</v>
      </c>
      <c r="BK341" t="s">
        <v>102</v>
      </c>
      <c r="BL341" t="s">
        <v>2262</v>
      </c>
      <c r="BM341" t="s">
        <v>6571</v>
      </c>
      <c r="BN341" t="s">
        <v>74</v>
      </c>
      <c r="BO341" t="s">
        <v>128</v>
      </c>
      <c r="BP341" t="s">
        <v>74</v>
      </c>
      <c r="BQ341" t="s">
        <v>74</v>
      </c>
      <c r="BR341" t="s">
        <v>105</v>
      </c>
      <c r="BS341" t="s">
        <v>6572</v>
      </c>
      <c r="BT341" t="str">
        <f>HYPERLINK("https%3A%2F%2Fwww.webofscience.com%2Fwos%2Fwoscc%2Ffull-record%2FWOS:000321685500002","View Full Record in Web of Science")</f>
        <v>View Full Record in Web of Science</v>
      </c>
    </row>
    <row r="342" spans="1:72" x14ac:dyDescent="0.15">
      <c r="A342" t="s">
        <v>72</v>
      </c>
      <c r="B342" t="s">
        <v>6573</v>
      </c>
      <c r="C342" t="s">
        <v>74</v>
      </c>
      <c r="D342" t="s">
        <v>74</v>
      </c>
      <c r="E342" t="s">
        <v>74</v>
      </c>
      <c r="F342" t="s">
        <v>6574</v>
      </c>
      <c r="G342" t="s">
        <v>74</v>
      </c>
      <c r="H342" t="s">
        <v>74</v>
      </c>
      <c r="I342" t="s">
        <v>6575</v>
      </c>
      <c r="J342" t="s">
        <v>5781</v>
      </c>
      <c r="K342" t="s">
        <v>74</v>
      </c>
      <c r="L342" t="s">
        <v>74</v>
      </c>
      <c r="M342" t="s">
        <v>78</v>
      </c>
      <c r="N342" t="s">
        <v>79</v>
      </c>
      <c r="O342" t="s">
        <v>74</v>
      </c>
      <c r="P342" t="s">
        <v>74</v>
      </c>
      <c r="Q342" t="s">
        <v>74</v>
      </c>
      <c r="R342" t="s">
        <v>74</v>
      </c>
      <c r="S342" t="s">
        <v>74</v>
      </c>
      <c r="T342" t="s">
        <v>74</v>
      </c>
      <c r="U342" t="s">
        <v>6576</v>
      </c>
      <c r="V342" t="s">
        <v>6577</v>
      </c>
      <c r="W342" t="s">
        <v>6578</v>
      </c>
      <c r="X342" t="s">
        <v>6579</v>
      </c>
      <c r="Y342" t="s">
        <v>6580</v>
      </c>
      <c r="Z342" t="s">
        <v>6581</v>
      </c>
      <c r="AA342" t="s">
        <v>6371</v>
      </c>
      <c r="AB342" t="s">
        <v>5851</v>
      </c>
      <c r="AC342" t="s">
        <v>6582</v>
      </c>
      <c r="AD342" t="s">
        <v>6583</v>
      </c>
      <c r="AE342" t="s">
        <v>6584</v>
      </c>
      <c r="AF342" t="s">
        <v>74</v>
      </c>
      <c r="AG342">
        <v>19</v>
      </c>
      <c r="AH342">
        <v>4</v>
      </c>
      <c r="AI342">
        <v>4</v>
      </c>
      <c r="AJ342">
        <v>1</v>
      </c>
      <c r="AK342">
        <v>16</v>
      </c>
      <c r="AL342" t="s">
        <v>5814</v>
      </c>
      <c r="AM342" t="s">
        <v>2038</v>
      </c>
      <c r="AN342" t="s">
        <v>5815</v>
      </c>
      <c r="AO342" t="s">
        <v>5793</v>
      </c>
      <c r="AP342" t="s">
        <v>5794</v>
      </c>
      <c r="AQ342" t="s">
        <v>74</v>
      </c>
      <c r="AR342" t="s">
        <v>5795</v>
      </c>
      <c r="AS342" t="s">
        <v>5796</v>
      </c>
      <c r="AT342" t="s">
        <v>74</v>
      </c>
      <c r="AU342">
        <v>2013</v>
      </c>
      <c r="AV342">
        <v>54</v>
      </c>
      <c r="AW342">
        <v>62</v>
      </c>
      <c r="AX342">
        <v>1</v>
      </c>
      <c r="AY342" t="s">
        <v>74</v>
      </c>
      <c r="AZ342" t="s">
        <v>74</v>
      </c>
      <c r="BA342" t="s">
        <v>74</v>
      </c>
      <c r="BB342">
        <v>35</v>
      </c>
      <c r="BC342">
        <v>40</v>
      </c>
      <c r="BD342" t="s">
        <v>74</v>
      </c>
      <c r="BE342" t="s">
        <v>6585</v>
      </c>
      <c r="BF342" t="str">
        <f>HYPERLINK("http://dx.doi.org/10.3189/2013AoG62A086","http://dx.doi.org/10.3189/2013AoG62A086")</f>
        <v>http://dx.doi.org/10.3189/2013AoG62A086</v>
      </c>
      <c r="BG342" t="s">
        <v>74</v>
      </c>
      <c r="BH342" t="s">
        <v>74</v>
      </c>
      <c r="BI342">
        <v>6</v>
      </c>
      <c r="BJ342" t="s">
        <v>2261</v>
      </c>
      <c r="BK342" t="s">
        <v>102</v>
      </c>
      <c r="BL342" t="s">
        <v>2262</v>
      </c>
      <c r="BM342" t="s">
        <v>6586</v>
      </c>
      <c r="BN342" t="s">
        <v>74</v>
      </c>
      <c r="BO342" t="s">
        <v>128</v>
      </c>
      <c r="BP342" t="s">
        <v>74</v>
      </c>
      <c r="BQ342" t="s">
        <v>74</v>
      </c>
      <c r="BR342" t="s">
        <v>105</v>
      </c>
      <c r="BS342" t="s">
        <v>6587</v>
      </c>
      <c r="BT342" t="str">
        <f>HYPERLINK("https%3A%2F%2Fwww.webofscience.com%2Fwos%2Fwoscc%2Ffull-record%2FWOS:000321685300007","View Full Record in Web of Science")</f>
        <v>View Full Record in Web of Science</v>
      </c>
    </row>
    <row r="343" spans="1:72" x14ac:dyDescent="0.15">
      <c r="A343" t="s">
        <v>72</v>
      </c>
      <c r="B343" t="s">
        <v>6588</v>
      </c>
      <c r="C343" t="s">
        <v>74</v>
      </c>
      <c r="D343" t="s">
        <v>74</v>
      </c>
      <c r="E343" t="s">
        <v>74</v>
      </c>
      <c r="F343" t="s">
        <v>6589</v>
      </c>
      <c r="G343" t="s">
        <v>74</v>
      </c>
      <c r="H343" t="s">
        <v>74</v>
      </c>
      <c r="I343" t="s">
        <v>6590</v>
      </c>
      <c r="J343" t="s">
        <v>5781</v>
      </c>
      <c r="K343" t="s">
        <v>74</v>
      </c>
      <c r="L343" t="s">
        <v>74</v>
      </c>
      <c r="M343" t="s">
        <v>78</v>
      </c>
      <c r="N343" t="s">
        <v>79</v>
      </c>
      <c r="O343" t="s">
        <v>74</v>
      </c>
      <c r="P343" t="s">
        <v>74</v>
      </c>
      <c r="Q343" t="s">
        <v>74</v>
      </c>
      <c r="R343" t="s">
        <v>74</v>
      </c>
      <c r="S343" t="s">
        <v>74</v>
      </c>
      <c r="T343" t="s">
        <v>74</v>
      </c>
      <c r="U343" t="s">
        <v>6591</v>
      </c>
      <c r="V343" t="s">
        <v>6592</v>
      </c>
      <c r="W343" t="s">
        <v>6593</v>
      </c>
      <c r="X343" t="s">
        <v>6594</v>
      </c>
      <c r="Y343" t="s">
        <v>6385</v>
      </c>
      <c r="Z343" t="s">
        <v>6386</v>
      </c>
      <c r="AA343" t="s">
        <v>6595</v>
      </c>
      <c r="AB343" t="s">
        <v>6596</v>
      </c>
      <c r="AC343" t="s">
        <v>6597</v>
      </c>
      <c r="AD343" t="s">
        <v>6597</v>
      </c>
      <c r="AE343" t="s">
        <v>6598</v>
      </c>
      <c r="AF343" t="s">
        <v>74</v>
      </c>
      <c r="AG343">
        <v>39</v>
      </c>
      <c r="AH343">
        <v>5</v>
      </c>
      <c r="AI343">
        <v>5</v>
      </c>
      <c r="AJ343">
        <v>0</v>
      </c>
      <c r="AK343">
        <v>19</v>
      </c>
      <c r="AL343" t="s">
        <v>5814</v>
      </c>
      <c r="AM343" t="s">
        <v>2038</v>
      </c>
      <c r="AN343" t="s">
        <v>5815</v>
      </c>
      <c r="AO343" t="s">
        <v>5793</v>
      </c>
      <c r="AP343" t="s">
        <v>74</v>
      </c>
      <c r="AQ343" t="s">
        <v>74</v>
      </c>
      <c r="AR343" t="s">
        <v>5795</v>
      </c>
      <c r="AS343" t="s">
        <v>5796</v>
      </c>
      <c r="AT343" t="s">
        <v>74</v>
      </c>
      <c r="AU343">
        <v>2013</v>
      </c>
      <c r="AV343">
        <v>54</v>
      </c>
      <c r="AW343">
        <v>62</v>
      </c>
      <c r="AX343">
        <v>1</v>
      </c>
      <c r="AY343" t="s">
        <v>74</v>
      </c>
      <c r="AZ343" t="s">
        <v>74</v>
      </c>
      <c r="BA343" t="s">
        <v>74</v>
      </c>
      <c r="BB343">
        <v>50</v>
      </c>
      <c r="BC343">
        <v>58</v>
      </c>
      <c r="BD343" t="s">
        <v>74</v>
      </c>
      <c r="BE343" t="s">
        <v>6599</v>
      </c>
      <c r="BF343" t="str">
        <f>HYPERLINK("http://dx.doi.org/10.3189/2013AoG62A229","http://dx.doi.org/10.3189/2013AoG62A229")</f>
        <v>http://dx.doi.org/10.3189/2013AoG62A229</v>
      </c>
      <c r="BG343" t="s">
        <v>74</v>
      </c>
      <c r="BH343" t="s">
        <v>74</v>
      </c>
      <c r="BI343">
        <v>9</v>
      </c>
      <c r="BJ343" t="s">
        <v>2261</v>
      </c>
      <c r="BK343" t="s">
        <v>102</v>
      </c>
      <c r="BL343" t="s">
        <v>2262</v>
      </c>
      <c r="BM343" t="s">
        <v>6586</v>
      </c>
      <c r="BN343" t="s">
        <v>74</v>
      </c>
      <c r="BO343" t="s">
        <v>128</v>
      </c>
      <c r="BP343" t="s">
        <v>74</v>
      </c>
      <c r="BQ343" t="s">
        <v>74</v>
      </c>
      <c r="BR343" t="s">
        <v>105</v>
      </c>
      <c r="BS343" t="s">
        <v>6600</v>
      </c>
      <c r="BT343" t="str">
        <f>HYPERLINK("https%3A%2F%2Fwww.webofscience.com%2Fwos%2Fwoscc%2Ffull-record%2FWOS:000321685300009","View Full Record in Web of Science")</f>
        <v>View Full Record in Web of Science</v>
      </c>
    </row>
    <row r="344" spans="1:72" x14ac:dyDescent="0.15">
      <c r="A344" t="s">
        <v>72</v>
      </c>
      <c r="B344" t="s">
        <v>6601</v>
      </c>
      <c r="C344" t="s">
        <v>74</v>
      </c>
      <c r="D344" t="s">
        <v>74</v>
      </c>
      <c r="E344" t="s">
        <v>74</v>
      </c>
      <c r="F344" t="s">
        <v>6602</v>
      </c>
      <c r="G344" t="s">
        <v>74</v>
      </c>
      <c r="H344" t="s">
        <v>74</v>
      </c>
      <c r="I344" t="s">
        <v>6603</v>
      </c>
      <c r="J344" t="s">
        <v>5781</v>
      </c>
      <c r="K344" t="s">
        <v>74</v>
      </c>
      <c r="L344" t="s">
        <v>74</v>
      </c>
      <c r="M344" t="s">
        <v>78</v>
      </c>
      <c r="N344" t="s">
        <v>79</v>
      </c>
      <c r="O344" t="s">
        <v>74</v>
      </c>
      <c r="P344" t="s">
        <v>74</v>
      </c>
      <c r="Q344" t="s">
        <v>74</v>
      </c>
      <c r="R344" t="s">
        <v>74</v>
      </c>
      <c r="S344" t="s">
        <v>74</v>
      </c>
      <c r="T344" t="s">
        <v>74</v>
      </c>
      <c r="U344" t="s">
        <v>6604</v>
      </c>
      <c r="V344" t="s">
        <v>6605</v>
      </c>
      <c r="W344" t="s">
        <v>6606</v>
      </c>
      <c r="X344" t="s">
        <v>6607</v>
      </c>
      <c r="Y344" t="s">
        <v>6608</v>
      </c>
      <c r="Z344" t="s">
        <v>6609</v>
      </c>
      <c r="AA344" t="s">
        <v>6610</v>
      </c>
      <c r="AB344" t="s">
        <v>6611</v>
      </c>
      <c r="AC344" t="s">
        <v>6612</v>
      </c>
      <c r="AD344" t="s">
        <v>6613</v>
      </c>
      <c r="AE344" t="s">
        <v>6614</v>
      </c>
      <c r="AF344" t="s">
        <v>74</v>
      </c>
      <c r="AG344">
        <v>19</v>
      </c>
      <c r="AH344">
        <v>7</v>
      </c>
      <c r="AI344">
        <v>8</v>
      </c>
      <c r="AJ344">
        <v>1</v>
      </c>
      <c r="AK344">
        <v>9</v>
      </c>
      <c r="AL344" t="s">
        <v>816</v>
      </c>
      <c r="AM344" t="s">
        <v>2038</v>
      </c>
      <c r="AN344" t="s">
        <v>4484</v>
      </c>
      <c r="AO344" t="s">
        <v>5793</v>
      </c>
      <c r="AP344" t="s">
        <v>5794</v>
      </c>
      <c r="AQ344" t="s">
        <v>74</v>
      </c>
      <c r="AR344" t="s">
        <v>5795</v>
      </c>
      <c r="AS344" t="s">
        <v>5796</v>
      </c>
      <c r="AT344" t="s">
        <v>74</v>
      </c>
      <c r="AU344">
        <v>2013</v>
      </c>
      <c r="AV344">
        <v>54</v>
      </c>
      <c r="AW344">
        <v>63</v>
      </c>
      <c r="AX344">
        <v>1</v>
      </c>
      <c r="AY344" t="s">
        <v>74</v>
      </c>
      <c r="AZ344" t="s">
        <v>74</v>
      </c>
      <c r="BA344" t="s">
        <v>74</v>
      </c>
      <c r="BB344">
        <v>84</v>
      </c>
      <c r="BC344">
        <v>90</v>
      </c>
      <c r="BD344" t="s">
        <v>74</v>
      </c>
      <c r="BE344" t="s">
        <v>6615</v>
      </c>
      <c r="BF344" t="str">
        <f>HYPERLINK("http://dx.doi.org/10.3189/2013AoG63A436","http://dx.doi.org/10.3189/2013AoG63A436")</f>
        <v>http://dx.doi.org/10.3189/2013AoG63A436</v>
      </c>
      <c r="BG344" t="s">
        <v>74</v>
      </c>
      <c r="BH344" t="s">
        <v>74</v>
      </c>
      <c r="BI344">
        <v>7</v>
      </c>
      <c r="BJ344" t="s">
        <v>2261</v>
      </c>
      <c r="BK344" t="s">
        <v>102</v>
      </c>
      <c r="BL344" t="s">
        <v>2262</v>
      </c>
      <c r="BM344" t="s">
        <v>6571</v>
      </c>
      <c r="BN344" t="s">
        <v>74</v>
      </c>
      <c r="BO344" t="s">
        <v>128</v>
      </c>
      <c r="BP344" t="s">
        <v>74</v>
      </c>
      <c r="BQ344" t="s">
        <v>74</v>
      </c>
      <c r="BR344" t="s">
        <v>105</v>
      </c>
      <c r="BS344" t="s">
        <v>6616</v>
      </c>
      <c r="BT344" t="str">
        <f>HYPERLINK("https%3A%2F%2Fwww.webofscience.com%2Fwos%2Fwoscc%2Ffull-record%2FWOS:000321685500011","View Full Record in Web of Science")</f>
        <v>View Full Record in Web of Science</v>
      </c>
    </row>
    <row r="345" spans="1:72" x14ac:dyDescent="0.15">
      <c r="A345" t="s">
        <v>72</v>
      </c>
      <c r="B345" t="s">
        <v>6617</v>
      </c>
      <c r="C345" t="s">
        <v>74</v>
      </c>
      <c r="D345" t="s">
        <v>74</v>
      </c>
      <c r="E345" t="s">
        <v>74</v>
      </c>
      <c r="F345" t="s">
        <v>6618</v>
      </c>
      <c r="G345" t="s">
        <v>74</v>
      </c>
      <c r="H345" t="s">
        <v>74</v>
      </c>
      <c r="I345" t="s">
        <v>6619</v>
      </c>
      <c r="J345" t="s">
        <v>6620</v>
      </c>
      <c r="K345" t="s">
        <v>74</v>
      </c>
      <c r="L345" t="s">
        <v>74</v>
      </c>
      <c r="M345" t="s">
        <v>78</v>
      </c>
      <c r="N345" t="s">
        <v>1120</v>
      </c>
      <c r="O345" t="s">
        <v>74</v>
      </c>
      <c r="P345" t="s">
        <v>74</v>
      </c>
      <c r="Q345" t="s">
        <v>74</v>
      </c>
      <c r="R345" t="s">
        <v>74</v>
      </c>
      <c r="S345" t="s">
        <v>74</v>
      </c>
      <c r="T345" t="s">
        <v>6621</v>
      </c>
      <c r="U345" t="s">
        <v>6622</v>
      </c>
      <c r="V345" t="s">
        <v>6623</v>
      </c>
      <c r="W345" t="s">
        <v>6624</v>
      </c>
      <c r="X345" t="s">
        <v>6625</v>
      </c>
      <c r="Y345" t="s">
        <v>6626</v>
      </c>
      <c r="Z345" t="s">
        <v>6627</v>
      </c>
      <c r="AA345" t="s">
        <v>74</v>
      </c>
      <c r="AB345" t="s">
        <v>6628</v>
      </c>
      <c r="AC345" t="s">
        <v>6629</v>
      </c>
      <c r="AD345" t="s">
        <v>6630</v>
      </c>
      <c r="AE345" t="s">
        <v>6631</v>
      </c>
      <c r="AF345" t="s">
        <v>74</v>
      </c>
      <c r="AG345">
        <v>124</v>
      </c>
      <c r="AH345">
        <v>52</v>
      </c>
      <c r="AI345">
        <v>55</v>
      </c>
      <c r="AJ345">
        <v>7</v>
      </c>
      <c r="AK345">
        <v>311</v>
      </c>
      <c r="AL345" t="s">
        <v>5541</v>
      </c>
      <c r="AM345" t="s">
        <v>5542</v>
      </c>
      <c r="AN345" t="s">
        <v>5543</v>
      </c>
      <c r="AO345" t="s">
        <v>6632</v>
      </c>
      <c r="AP345" t="s">
        <v>6633</v>
      </c>
      <c r="AQ345" t="s">
        <v>74</v>
      </c>
      <c r="AR345" t="s">
        <v>6634</v>
      </c>
      <c r="AS345" t="s">
        <v>6635</v>
      </c>
      <c r="AT345" t="s">
        <v>74</v>
      </c>
      <c r="AU345">
        <v>2013</v>
      </c>
      <c r="AV345">
        <v>61</v>
      </c>
      <c r="AW345">
        <v>2</v>
      </c>
      <c r="AX345" t="s">
        <v>74</v>
      </c>
      <c r="AY345" t="s">
        <v>74</v>
      </c>
      <c r="AZ345" t="s">
        <v>74</v>
      </c>
      <c r="BA345" t="s">
        <v>74</v>
      </c>
      <c r="BB345">
        <v>146</v>
      </c>
      <c r="BC345">
        <v>159</v>
      </c>
      <c r="BD345" t="s">
        <v>74</v>
      </c>
      <c r="BE345" t="s">
        <v>6636</v>
      </c>
      <c r="BF345" t="str">
        <f>HYPERLINK("http://dx.doi.org/10.1071/ZO12131","http://dx.doi.org/10.1071/ZO12131")</f>
        <v>http://dx.doi.org/10.1071/ZO12131</v>
      </c>
      <c r="BG345" t="s">
        <v>74</v>
      </c>
      <c r="BH345" t="s">
        <v>74</v>
      </c>
      <c r="BI345">
        <v>14</v>
      </c>
      <c r="BJ345" t="s">
        <v>3023</v>
      </c>
      <c r="BK345" t="s">
        <v>102</v>
      </c>
      <c r="BL345" t="s">
        <v>3023</v>
      </c>
      <c r="BM345" t="s">
        <v>6637</v>
      </c>
      <c r="BN345" t="s">
        <v>74</v>
      </c>
      <c r="BO345" t="s">
        <v>74</v>
      </c>
      <c r="BP345" t="s">
        <v>74</v>
      </c>
      <c r="BQ345" t="s">
        <v>74</v>
      </c>
      <c r="BR345" t="s">
        <v>105</v>
      </c>
      <c r="BS345" t="s">
        <v>6638</v>
      </c>
      <c r="BT345" t="str">
        <f>HYPERLINK("https%3A%2F%2Fwww.webofscience.com%2Fwos%2Fwoscc%2Ffull-record%2FWOS:000321628400006","View Full Record in Web of Science")</f>
        <v>View Full Record in Web of Science</v>
      </c>
    </row>
    <row r="346" spans="1:72" x14ac:dyDescent="0.15">
      <c r="A346" t="s">
        <v>72</v>
      </c>
      <c r="B346" t="s">
        <v>6639</v>
      </c>
      <c r="C346" t="s">
        <v>74</v>
      </c>
      <c r="D346" t="s">
        <v>74</v>
      </c>
      <c r="E346" t="s">
        <v>74</v>
      </c>
      <c r="F346" t="s">
        <v>6640</v>
      </c>
      <c r="G346" t="s">
        <v>74</v>
      </c>
      <c r="H346" t="s">
        <v>74</v>
      </c>
      <c r="I346" t="s">
        <v>6641</v>
      </c>
      <c r="J346" t="s">
        <v>4238</v>
      </c>
      <c r="K346" t="s">
        <v>74</v>
      </c>
      <c r="L346" t="s">
        <v>74</v>
      </c>
      <c r="M346" t="s">
        <v>78</v>
      </c>
      <c r="N346" t="s">
        <v>79</v>
      </c>
      <c r="O346" t="s">
        <v>74</v>
      </c>
      <c r="P346" t="s">
        <v>74</v>
      </c>
      <c r="Q346" t="s">
        <v>74</v>
      </c>
      <c r="R346" t="s">
        <v>74</v>
      </c>
      <c r="S346" t="s">
        <v>74</v>
      </c>
      <c r="T346" t="s">
        <v>74</v>
      </c>
      <c r="U346" t="s">
        <v>6642</v>
      </c>
      <c r="V346" t="s">
        <v>6643</v>
      </c>
      <c r="W346" t="s">
        <v>6644</v>
      </c>
      <c r="X346" t="s">
        <v>6645</v>
      </c>
      <c r="Y346" t="s">
        <v>6646</v>
      </c>
      <c r="Z346" t="s">
        <v>6647</v>
      </c>
      <c r="AA346" t="s">
        <v>74</v>
      </c>
      <c r="AB346" t="s">
        <v>6648</v>
      </c>
      <c r="AC346" t="s">
        <v>74</v>
      </c>
      <c r="AD346" t="s">
        <v>74</v>
      </c>
      <c r="AE346" t="s">
        <v>74</v>
      </c>
      <c r="AF346" t="s">
        <v>74</v>
      </c>
      <c r="AG346">
        <v>98</v>
      </c>
      <c r="AH346">
        <v>34</v>
      </c>
      <c r="AI346">
        <v>36</v>
      </c>
      <c r="AJ346">
        <v>1</v>
      </c>
      <c r="AK346">
        <v>21</v>
      </c>
      <c r="AL346" t="s">
        <v>4248</v>
      </c>
      <c r="AM346" t="s">
        <v>4249</v>
      </c>
      <c r="AN346" t="s">
        <v>4250</v>
      </c>
      <c r="AO346" t="s">
        <v>4251</v>
      </c>
      <c r="AP346" t="s">
        <v>4252</v>
      </c>
      <c r="AQ346" t="s">
        <v>74</v>
      </c>
      <c r="AR346" t="s">
        <v>4238</v>
      </c>
      <c r="AS346" t="s">
        <v>4253</v>
      </c>
      <c r="AT346" t="s">
        <v>74</v>
      </c>
      <c r="AU346">
        <v>2013</v>
      </c>
      <c r="AV346">
        <v>7</v>
      </c>
      <c r="AW346">
        <v>3</v>
      </c>
      <c r="AX346" t="s">
        <v>74</v>
      </c>
      <c r="AY346" t="s">
        <v>74</v>
      </c>
      <c r="AZ346" t="s">
        <v>74</v>
      </c>
      <c r="BA346" t="s">
        <v>74</v>
      </c>
      <c r="BB346">
        <v>797</v>
      </c>
      <c r="BC346">
        <v>816</v>
      </c>
      <c r="BD346" t="s">
        <v>74</v>
      </c>
      <c r="BE346" t="s">
        <v>6649</v>
      </c>
      <c r="BF346" t="str">
        <f>HYPERLINK("http://dx.doi.org/10.5194/tc-7-797-2013","http://dx.doi.org/10.5194/tc-7-797-2013")</f>
        <v>http://dx.doi.org/10.5194/tc-7-797-2013</v>
      </c>
      <c r="BG346" t="s">
        <v>74</v>
      </c>
      <c r="BH346" t="s">
        <v>74</v>
      </c>
      <c r="BI346">
        <v>20</v>
      </c>
      <c r="BJ346" t="s">
        <v>2261</v>
      </c>
      <c r="BK346" t="s">
        <v>102</v>
      </c>
      <c r="BL346" t="s">
        <v>2262</v>
      </c>
      <c r="BM346" t="s">
        <v>6650</v>
      </c>
      <c r="BN346" t="s">
        <v>74</v>
      </c>
      <c r="BO346" t="s">
        <v>3098</v>
      </c>
      <c r="BP346" t="s">
        <v>74</v>
      </c>
      <c r="BQ346" t="s">
        <v>74</v>
      </c>
      <c r="BR346" t="s">
        <v>105</v>
      </c>
      <c r="BS346" t="s">
        <v>6651</v>
      </c>
      <c r="BT346" t="str">
        <f>HYPERLINK("https%3A%2F%2Fwww.webofscience.com%2Fwos%2Fwoscc%2Ffull-record%2FWOS:000321144100003","View Full Record in Web of Science")</f>
        <v>View Full Record in Web of Science</v>
      </c>
    </row>
    <row r="347" spans="1:72" x14ac:dyDescent="0.15">
      <c r="A347" t="s">
        <v>72</v>
      </c>
      <c r="B347" t="s">
        <v>6652</v>
      </c>
      <c r="C347" t="s">
        <v>74</v>
      </c>
      <c r="D347" t="s">
        <v>74</v>
      </c>
      <c r="E347" t="s">
        <v>74</v>
      </c>
      <c r="F347" t="s">
        <v>6653</v>
      </c>
      <c r="G347" t="s">
        <v>74</v>
      </c>
      <c r="H347" t="s">
        <v>74</v>
      </c>
      <c r="I347" t="s">
        <v>6654</v>
      </c>
      <c r="J347" t="s">
        <v>4238</v>
      </c>
      <c r="K347" t="s">
        <v>74</v>
      </c>
      <c r="L347" t="s">
        <v>74</v>
      </c>
      <c r="M347" t="s">
        <v>78</v>
      </c>
      <c r="N347" t="s">
        <v>79</v>
      </c>
      <c r="O347" t="s">
        <v>74</v>
      </c>
      <c r="P347" t="s">
        <v>74</v>
      </c>
      <c r="Q347" t="s">
        <v>74</v>
      </c>
      <c r="R347" t="s">
        <v>74</v>
      </c>
      <c r="S347" t="s">
        <v>74</v>
      </c>
      <c r="T347" t="s">
        <v>74</v>
      </c>
      <c r="U347" t="s">
        <v>6655</v>
      </c>
      <c r="V347" t="s">
        <v>6656</v>
      </c>
      <c r="W347" t="s">
        <v>6657</v>
      </c>
      <c r="X347" t="s">
        <v>6658</v>
      </c>
      <c r="Y347" t="s">
        <v>6659</v>
      </c>
      <c r="Z347" t="s">
        <v>6660</v>
      </c>
      <c r="AA347" t="s">
        <v>74</v>
      </c>
      <c r="AB347" t="s">
        <v>74</v>
      </c>
      <c r="AC347" t="s">
        <v>6661</v>
      </c>
      <c r="AD347" t="s">
        <v>6662</v>
      </c>
      <c r="AE347" t="s">
        <v>6663</v>
      </c>
      <c r="AF347" t="s">
        <v>74</v>
      </c>
      <c r="AG347">
        <v>38</v>
      </c>
      <c r="AH347">
        <v>1</v>
      </c>
      <c r="AI347">
        <v>1</v>
      </c>
      <c r="AJ347">
        <v>0</v>
      </c>
      <c r="AK347">
        <v>5</v>
      </c>
      <c r="AL347" t="s">
        <v>4248</v>
      </c>
      <c r="AM347" t="s">
        <v>4249</v>
      </c>
      <c r="AN347" t="s">
        <v>4250</v>
      </c>
      <c r="AO347" t="s">
        <v>4251</v>
      </c>
      <c r="AP347" t="s">
        <v>4252</v>
      </c>
      <c r="AQ347" t="s">
        <v>74</v>
      </c>
      <c r="AR347" t="s">
        <v>4238</v>
      </c>
      <c r="AS347" t="s">
        <v>4253</v>
      </c>
      <c r="AT347" t="s">
        <v>74</v>
      </c>
      <c r="AU347">
        <v>2013</v>
      </c>
      <c r="AV347">
        <v>7</v>
      </c>
      <c r="AW347">
        <v>3</v>
      </c>
      <c r="AX347" t="s">
        <v>74</v>
      </c>
      <c r="AY347" t="s">
        <v>74</v>
      </c>
      <c r="AZ347" t="s">
        <v>74</v>
      </c>
      <c r="BA347" t="s">
        <v>74</v>
      </c>
      <c r="BB347">
        <v>855</v>
      </c>
      <c r="BC347">
        <v>866</v>
      </c>
      <c r="BD347" t="s">
        <v>74</v>
      </c>
      <c r="BE347" t="s">
        <v>6664</v>
      </c>
      <c r="BF347" t="str">
        <f>HYPERLINK("http://dx.doi.org/10.5194/tc-7-855-2013","http://dx.doi.org/10.5194/tc-7-855-2013")</f>
        <v>http://dx.doi.org/10.5194/tc-7-855-2013</v>
      </c>
      <c r="BG347" t="s">
        <v>74</v>
      </c>
      <c r="BH347" t="s">
        <v>74</v>
      </c>
      <c r="BI347">
        <v>12</v>
      </c>
      <c r="BJ347" t="s">
        <v>2261</v>
      </c>
      <c r="BK347" t="s">
        <v>102</v>
      </c>
      <c r="BL347" t="s">
        <v>2262</v>
      </c>
      <c r="BM347" t="s">
        <v>6650</v>
      </c>
      <c r="BN347" t="s">
        <v>74</v>
      </c>
      <c r="BO347" t="s">
        <v>4132</v>
      </c>
      <c r="BP347" t="s">
        <v>74</v>
      </c>
      <c r="BQ347" t="s">
        <v>74</v>
      </c>
      <c r="BR347" t="s">
        <v>105</v>
      </c>
      <c r="BS347" t="s">
        <v>6665</v>
      </c>
      <c r="BT347" t="str">
        <f>HYPERLINK("https%3A%2F%2Fwww.webofscience.com%2Fwos%2Fwoscc%2Ffull-record%2FWOS:000321144100007","View Full Record in Web of Science")</f>
        <v>View Full Record in Web of Science</v>
      </c>
    </row>
    <row r="348" spans="1:72" x14ac:dyDescent="0.15">
      <c r="A348" t="s">
        <v>72</v>
      </c>
      <c r="B348" t="s">
        <v>6666</v>
      </c>
      <c r="C348" t="s">
        <v>74</v>
      </c>
      <c r="D348" t="s">
        <v>74</v>
      </c>
      <c r="E348" t="s">
        <v>74</v>
      </c>
      <c r="F348" t="s">
        <v>6667</v>
      </c>
      <c r="G348" t="s">
        <v>74</v>
      </c>
      <c r="H348" t="s">
        <v>74</v>
      </c>
      <c r="I348" t="s">
        <v>6668</v>
      </c>
      <c r="J348" t="s">
        <v>4238</v>
      </c>
      <c r="K348" t="s">
        <v>74</v>
      </c>
      <c r="L348" t="s">
        <v>74</v>
      </c>
      <c r="M348" t="s">
        <v>78</v>
      </c>
      <c r="N348" t="s">
        <v>79</v>
      </c>
      <c r="O348" t="s">
        <v>74</v>
      </c>
      <c r="P348" t="s">
        <v>74</v>
      </c>
      <c r="Q348" t="s">
        <v>74</v>
      </c>
      <c r="R348" t="s">
        <v>74</v>
      </c>
      <c r="S348" t="s">
        <v>74</v>
      </c>
      <c r="T348" t="s">
        <v>74</v>
      </c>
      <c r="U348" t="s">
        <v>6669</v>
      </c>
      <c r="V348" t="s">
        <v>6670</v>
      </c>
      <c r="W348" t="s">
        <v>6671</v>
      </c>
      <c r="X348" t="s">
        <v>6672</v>
      </c>
      <c r="Y348" t="s">
        <v>6673</v>
      </c>
      <c r="Z348" t="s">
        <v>6674</v>
      </c>
      <c r="AA348" t="s">
        <v>6675</v>
      </c>
      <c r="AB348" t="s">
        <v>6676</v>
      </c>
      <c r="AC348" t="s">
        <v>6677</v>
      </c>
      <c r="AD348" t="s">
        <v>6678</v>
      </c>
      <c r="AE348" t="s">
        <v>6679</v>
      </c>
      <c r="AF348" t="s">
        <v>74</v>
      </c>
      <c r="AG348">
        <v>39</v>
      </c>
      <c r="AH348">
        <v>4</v>
      </c>
      <c r="AI348">
        <v>4</v>
      </c>
      <c r="AJ348">
        <v>1</v>
      </c>
      <c r="AK348">
        <v>14</v>
      </c>
      <c r="AL348" t="s">
        <v>4248</v>
      </c>
      <c r="AM348" t="s">
        <v>4249</v>
      </c>
      <c r="AN348" t="s">
        <v>4250</v>
      </c>
      <c r="AO348" t="s">
        <v>4251</v>
      </c>
      <c r="AP348" t="s">
        <v>4252</v>
      </c>
      <c r="AQ348" t="s">
        <v>74</v>
      </c>
      <c r="AR348" t="s">
        <v>4238</v>
      </c>
      <c r="AS348" t="s">
        <v>4253</v>
      </c>
      <c r="AT348" t="s">
        <v>74</v>
      </c>
      <c r="AU348">
        <v>2013</v>
      </c>
      <c r="AV348">
        <v>7</v>
      </c>
      <c r="AW348">
        <v>3</v>
      </c>
      <c r="AX348" t="s">
        <v>74</v>
      </c>
      <c r="AY348" t="s">
        <v>74</v>
      </c>
      <c r="AZ348" t="s">
        <v>74</v>
      </c>
      <c r="BA348" t="s">
        <v>74</v>
      </c>
      <c r="BB348">
        <v>947</v>
      </c>
      <c r="BC348">
        <v>959</v>
      </c>
      <c r="BD348" t="s">
        <v>74</v>
      </c>
      <c r="BE348" t="s">
        <v>6680</v>
      </c>
      <c r="BF348" t="str">
        <f>HYPERLINK("http://dx.doi.org/10.5194/tc-7-947-2013","http://dx.doi.org/10.5194/tc-7-947-2013")</f>
        <v>http://dx.doi.org/10.5194/tc-7-947-2013</v>
      </c>
      <c r="BG348" t="s">
        <v>74</v>
      </c>
      <c r="BH348" t="s">
        <v>74</v>
      </c>
      <c r="BI348">
        <v>13</v>
      </c>
      <c r="BJ348" t="s">
        <v>2261</v>
      </c>
      <c r="BK348" t="s">
        <v>102</v>
      </c>
      <c r="BL348" t="s">
        <v>2262</v>
      </c>
      <c r="BM348" t="s">
        <v>6650</v>
      </c>
      <c r="BN348" t="s">
        <v>74</v>
      </c>
      <c r="BO348" t="s">
        <v>6681</v>
      </c>
      <c r="BP348" t="s">
        <v>74</v>
      </c>
      <c r="BQ348" t="s">
        <v>74</v>
      </c>
      <c r="BR348" t="s">
        <v>105</v>
      </c>
      <c r="BS348" t="s">
        <v>6682</v>
      </c>
      <c r="BT348" t="str">
        <f>HYPERLINK("https%3A%2F%2Fwww.webofscience.com%2Fwos%2Fwoscc%2Ffull-record%2FWOS:000321144100015","View Full Record in Web of Science")</f>
        <v>View Full Record in Web of Science</v>
      </c>
    </row>
    <row r="349" spans="1:72" x14ac:dyDescent="0.15">
      <c r="A349" t="s">
        <v>72</v>
      </c>
      <c r="B349" t="s">
        <v>6683</v>
      </c>
      <c r="C349" t="s">
        <v>74</v>
      </c>
      <c r="D349" t="s">
        <v>74</v>
      </c>
      <c r="E349" t="s">
        <v>74</v>
      </c>
      <c r="F349" t="s">
        <v>6684</v>
      </c>
      <c r="G349" t="s">
        <v>74</v>
      </c>
      <c r="H349" t="s">
        <v>74</v>
      </c>
      <c r="I349" t="s">
        <v>6685</v>
      </c>
      <c r="J349" t="s">
        <v>5510</v>
      </c>
      <c r="K349" t="s">
        <v>74</v>
      </c>
      <c r="L349" t="s">
        <v>74</v>
      </c>
      <c r="M349" t="s">
        <v>78</v>
      </c>
      <c r="N349" t="s">
        <v>79</v>
      </c>
      <c r="O349" t="s">
        <v>74</v>
      </c>
      <c r="P349" t="s">
        <v>74</v>
      </c>
      <c r="Q349" t="s">
        <v>74</v>
      </c>
      <c r="R349" t="s">
        <v>74</v>
      </c>
      <c r="S349" t="s">
        <v>74</v>
      </c>
      <c r="T349" t="s">
        <v>74</v>
      </c>
      <c r="U349" t="s">
        <v>6686</v>
      </c>
      <c r="V349" t="s">
        <v>6687</v>
      </c>
      <c r="W349" t="s">
        <v>6688</v>
      </c>
      <c r="X349" t="s">
        <v>5675</v>
      </c>
      <c r="Y349" t="s">
        <v>6689</v>
      </c>
      <c r="Z349" t="s">
        <v>6690</v>
      </c>
      <c r="AA349" t="s">
        <v>6691</v>
      </c>
      <c r="AB349" t="s">
        <v>6692</v>
      </c>
      <c r="AC349" t="s">
        <v>6693</v>
      </c>
      <c r="AD349" t="s">
        <v>6694</v>
      </c>
      <c r="AE349" t="s">
        <v>6695</v>
      </c>
      <c r="AF349" t="s">
        <v>74</v>
      </c>
      <c r="AG349">
        <v>90</v>
      </c>
      <c r="AH349">
        <v>120</v>
      </c>
      <c r="AI349">
        <v>124</v>
      </c>
      <c r="AJ349">
        <v>0</v>
      </c>
      <c r="AK349">
        <v>26</v>
      </c>
      <c r="AL349" t="s">
        <v>4248</v>
      </c>
      <c r="AM349" t="s">
        <v>4249</v>
      </c>
      <c r="AN349" t="s">
        <v>4250</v>
      </c>
      <c r="AO349" t="s">
        <v>5521</v>
      </c>
      <c r="AP349" t="s">
        <v>5522</v>
      </c>
      <c r="AQ349" t="s">
        <v>74</v>
      </c>
      <c r="AR349" t="s">
        <v>5523</v>
      </c>
      <c r="AS349" t="s">
        <v>5524</v>
      </c>
      <c r="AT349" t="s">
        <v>74</v>
      </c>
      <c r="AU349">
        <v>2013</v>
      </c>
      <c r="AV349">
        <v>6</v>
      </c>
      <c r="AW349">
        <v>3</v>
      </c>
      <c r="AX349" t="s">
        <v>74</v>
      </c>
      <c r="AY349" t="s">
        <v>74</v>
      </c>
      <c r="AZ349" t="s">
        <v>74</v>
      </c>
      <c r="BA349" t="s">
        <v>74</v>
      </c>
      <c r="BB349">
        <v>591</v>
      </c>
      <c r="BC349">
        <v>615</v>
      </c>
      <c r="BD349" t="s">
        <v>74</v>
      </c>
      <c r="BE349" t="s">
        <v>6696</v>
      </c>
      <c r="BF349" t="str">
        <f>HYPERLINK("http://dx.doi.org/10.5194/gmd-6-591-2013","http://dx.doi.org/10.5194/gmd-6-591-2013")</f>
        <v>http://dx.doi.org/10.5194/gmd-6-591-2013</v>
      </c>
      <c r="BG349" t="s">
        <v>74</v>
      </c>
      <c r="BH349" t="s">
        <v>74</v>
      </c>
      <c r="BI349">
        <v>25</v>
      </c>
      <c r="BJ349" t="s">
        <v>1604</v>
      </c>
      <c r="BK349" t="s">
        <v>102</v>
      </c>
      <c r="BL349" t="s">
        <v>1605</v>
      </c>
      <c r="BM349" t="s">
        <v>6697</v>
      </c>
      <c r="BN349" t="s">
        <v>74</v>
      </c>
      <c r="BO349" t="s">
        <v>4132</v>
      </c>
      <c r="BP349" t="s">
        <v>74</v>
      </c>
      <c r="BQ349" t="s">
        <v>74</v>
      </c>
      <c r="BR349" t="s">
        <v>105</v>
      </c>
      <c r="BS349" t="s">
        <v>6698</v>
      </c>
      <c r="BT349" t="str">
        <f>HYPERLINK("https%3A%2F%2Fwww.webofscience.com%2Fwos%2Fwoscc%2Ffull-record%2FWOS:000321137700002","View Full Record in Web of Science")</f>
        <v>View Full Record in Web of Science</v>
      </c>
    </row>
    <row r="350" spans="1:72" x14ac:dyDescent="0.15">
      <c r="A350" t="s">
        <v>3224</v>
      </c>
      <c r="B350" t="s">
        <v>6699</v>
      </c>
      <c r="C350" t="s">
        <v>74</v>
      </c>
      <c r="D350" t="s">
        <v>6700</v>
      </c>
      <c r="E350" t="s">
        <v>74</v>
      </c>
      <c r="F350" t="s">
        <v>6701</v>
      </c>
      <c r="G350" t="s">
        <v>74</v>
      </c>
      <c r="H350" t="s">
        <v>74</v>
      </c>
      <c r="I350" t="s">
        <v>6702</v>
      </c>
      <c r="J350" t="s">
        <v>6703</v>
      </c>
      <c r="K350" t="s">
        <v>6704</v>
      </c>
      <c r="L350" t="s">
        <v>74</v>
      </c>
      <c r="M350" t="s">
        <v>78</v>
      </c>
      <c r="N350" t="s">
        <v>3231</v>
      </c>
      <c r="O350" t="s">
        <v>6705</v>
      </c>
      <c r="P350" t="s">
        <v>6706</v>
      </c>
      <c r="Q350" t="s">
        <v>6707</v>
      </c>
      <c r="R350" t="s">
        <v>74</v>
      </c>
      <c r="S350" t="s">
        <v>74</v>
      </c>
      <c r="T350" t="s">
        <v>74</v>
      </c>
      <c r="U350" t="s">
        <v>74</v>
      </c>
      <c r="V350" t="s">
        <v>6708</v>
      </c>
      <c r="W350" t="s">
        <v>6709</v>
      </c>
      <c r="X350" t="s">
        <v>74</v>
      </c>
      <c r="Y350" t="s">
        <v>6710</v>
      </c>
      <c r="Z350" t="s">
        <v>74</v>
      </c>
      <c r="AA350" t="s">
        <v>74</v>
      </c>
      <c r="AB350" t="s">
        <v>74</v>
      </c>
      <c r="AC350" t="s">
        <v>74</v>
      </c>
      <c r="AD350" t="s">
        <v>74</v>
      </c>
      <c r="AE350" t="s">
        <v>74</v>
      </c>
      <c r="AF350" t="s">
        <v>74</v>
      </c>
      <c r="AG350">
        <v>7</v>
      </c>
      <c r="AH350">
        <v>0</v>
      </c>
      <c r="AI350">
        <v>0</v>
      </c>
      <c r="AJ350">
        <v>0</v>
      </c>
      <c r="AK350">
        <v>2</v>
      </c>
      <c r="AL350" t="s">
        <v>6711</v>
      </c>
      <c r="AM350" t="s">
        <v>6712</v>
      </c>
      <c r="AN350" t="s">
        <v>6713</v>
      </c>
      <c r="AO350" t="s">
        <v>6714</v>
      </c>
      <c r="AP350" t="s">
        <v>74</v>
      </c>
      <c r="AQ350" t="s">
        <v>6715</v>
      </c>
      <c r="AR350" t="s">
        <v>6716</v>
      </c>
      <c r="AS350" t="s">
        <v>74</v>
      </c>
      <c r="AT350" t="s">
        <v>74</v>
      </c>
      <c r="AU350">
        <v>2013</v>
      </c>
      <c r="AV350">
        <v>39</v>
      </c>
      <c r="AW350" t="s">
        <v>74</v>
      </c>
      <c r="AX350" t="s">
        <v>74</v>
      </c>
      <c r="AY350" t="s">
        <v>74</v>
      </c>
      <c r="AZ350" t="s">
        <v>74</v>
      </c>
      <c r="BA350" t="s">
        <v>74</v>
      </c>
      <c r="BB350">
        <v>25</v>
      </c>
      <c r="BC350">
        <v>35</v>
      </c>
      <c r="BD350" t="s">
        <v>74</v>
      </c>
      <c r="BE350" t="s">
        <v>74</v>
      </c>
      <c r="BF350" t="s">
        <v>74</v>
      </c>
      <c r="BG350" t="s">
        <v>74</v>
      </c>
      <c r="BH350" t="s">
        <v>74</v>
      </c>
      <c r="BI350">
        <v>11</v>
      </c>
      <c r="BJ350" t="s">
        <v>6717</v>
      </c>
      <c r="BK350" t="s">
        <v>3247</v>
      </c>
      <c r="BL350" t="s">
        <v>3248</v>
      </c>
      <c r="BM350" t="s">
        <v>6718</v>
      </c>
      <c r="BN350" t="s">
        <v>74</v>
      </c>
      <c r="BO350" t="s">
        <v>74</v>
      </c>
      <c r="BP350" t="s">
        <v>74</v>
      </c>
      <c r="BQ350" t="s">
        <v>74</v>
      </c>
      <c r="BR350" t="s">
        <v>105</v>
      </c>
      <c r="BS350" t="s">
        <v>6719</v>
      </c>
      <c r="BT350" t="str">
        <f>HYPERLINK("https%3A%2F%2Fwww.webofscience.com%2Fwos%2Fwoscc%2Ffull-record%2FWOS:000321076100002","View Full Record in Web of Science")</f>
        <v>View Full Record in Web of Science</v>
      </c>
    </row>
    <row r="351" spans="1:72" x14ac:dyDescent="0.15">
      <c r="A351" t="s">
        <v>72</v>
      </c>
      <c r="B351" t="s">
        <v>6720</v>
      </c>
      <c r="C351" t="s">
        <v>74</v>
      </c>
      <c r="D351" t="s">
        <v>74</v>
      </c>
      <c r="E351" t="s">
        <v>74</v>
      </c>
      <c r="F351" t="s">
        <v>6721</v>
      </c>
      <c r="G351" t="s">
        <v>74</v>
      </c>
      <c r="H351" t="s">
        <v>74</v>
      </c>
      <c r="I351" t="s">
        <v>6722</v>
      </c>
      <c r="J351" t="s">
        <v>5060</v>
      </c>
      <c r="K351" t="s">
        <v>74</v>
      </c>
      <c r="L351" t="s">
        <v>74</v>
      </c>
      <c r="M351" t="s">
        <v>78</v>
      </c>
      <c r="N351" t="s">
        <v>79</v>
      </c>
      <c r="O351" t="s">
        <v>74</v>
      </c>
      <c r="P351" t="s">
        <v>74</v>
      </c>
      <c r="Q351" t="s">
        <v>74</v>
      </c>
      <c r="R351" t="s">
        <v>74</v>
      </c>
      <c r="S351" t="s">
        <v>74</v>
      </c>
      <c r="T351" t="s">
        <v>6723</v>
      </c>
      <c r="U351" t="s">
        <v>6724</v>
      </c>
      <c r="V351" t="s">
        <v>6725</v>
      </c>
      <c r="W351" t="s">
        <v>6726</v>
      </c>
      <c r="X351" t="s">
        <v>6727</v>
      </c>
      <c r="Y351" t="s">
        <v>6728</v>
      </c>
      <c r="Z351" t="s">
        <v>6729</v>
      </c>
      <c r="AA351" t="s">
        <v>6730</v>
      </c>
      <c r="AB351" t="s">
        <v>6731</v>
      </c>
      <c r="AC351" t="s">
        <v>6732</v>
      </c>
      <c r="AD351" t="s">
        <v>6732</v>
      </c>
      <c r="AE351" t="s">
        <v>6733</v>
      </c>
      <c r="AF351" t="s">
        <v>74</v>
      </c>
      <c r="AG351">
        <v>78</v>
      </c>
      <c r="AH351">
        <v>17</v>
      </c>
      <c r="AI351">
        <v>17</v>
      </c>
      <c r="AJ351">
        <v>0</v>
      </c>
      <c r="AK351">
        <v>29</v>
      </c>
      <c r="AL351" t="s">
        <v>4363</v>
      </c>
      <c r="AM351" t="s">
        <v>4364</v>
      </c>
      <c r="AN351" t="s">
        <v>4365</v>
      </c>
      <c r="AO351" t="s">
        <v>5073</v>
      </c>
      <c r="AP351" t="s">
        <v>5074</v>
      </c>
      <c r="AQ351" t="s">
        <v>74</v>
      </c>
      <c r="AR351" t="s">
        <v>5075</v>
      </c>
      <c r="AS351" t="s">
        <v>5076</v>
      </c>
      <c r="AT351" t="s">
        <v>74</v>
      </c>
      <c r="AU351">
        <v>2013</v>
      </c>
      <c r="AV351">
        <v>486</v>
      </c>
      <c r="AW351" t="s">
        <v>74</v>
      </c>
      <c r="AX351" t="s">
        <v>74</v>
      </c>
      <c r="AY351" t="s">
        <v>74</v>
      </c>
      <c r="AZ351" t="s">
        <v>74</v>
      </c>
      <c r="BA351" t="s">
        <v>74</v>
      </c>
      <c r="BB351">
        <v>203</v>
      </c>
      <c r="BC351">
        <v>212</v>
      </c>
      <c r="BD351" t="s">
        <v>74</v>
      </c>
      <c r="BE351" t="s">
        <v>6734</v>
      </c>
      <c r="BF351" t="str">
        <f>HYPERLINK("http://dx.doi.org/10.3354/meps10330","http://dx.doi.org/10.3354/meps10330")</f>
        <v>http://dx.doi.org/10.3354/meps10330</v>
      </c>
      <c r="BG351" t="s">
        <v>74</v>
      </c>
      <c r="BH351" t="s">
        <v>74</v>
      </c>
      <c r="BI351">
        <v>10</v>
      </c>
      <c r="BJ351" t="s">
        <v>5078</v>
      </c>
      <c r="BK351" t="s">
        <v>102</v>
      </c>
      <c r="BL351" t="s">
        <v>5079</v>
      </c>
      <c r="BM351" t="s">
        <v>6735</v>
      </c>
      <c r="BN351" t="s">
        <v>74</v>
      </c>
      <c r="BO351" t="s">
        <v>128</v>
      </c>
      <c r="BP351" t="s">
        <v>74</v>
      </c>
      <c r="BQ351" t="s">
        <v>74</v>
      </c>
      <c r="BR351" t="s">
        <v>105</v>
      </c>
      <c r="BS351" t="s">
        <v>6736</v>
      </c>
      <c r="BT351" t="str">
        <f>HYPERLINK("https%3A%2F%2Fwww.webofscience.com%2Fwos%2Fwoscc%2Ffull-record%2FWOS:000321776600017","View Full Record in Web of Science")</f>
        <v>View Full Record in Web of Science</v>
      </c>
    </row>
    <row r="352" spans="1:72" x14ac:dyDescent="0.15">
      <c r="A352" t="s">
        <v>3224</v>
      </c>
      <c r="B352" t="s">
        <v>6737</v>
      </c>
      <c r="C352" t="s">
        <v>74</v>
      </c>
      <c r="D352" t="s">
        <v>6738</v>
      </c>
      <c r="E352" t="s">
        <v>74</v>
      </c>
      <c r="F352" t="s">
        <v>6739</v>
      </c>
      <c r="G352" t="s">
        <v>74</v>
      </c>
      <c r="H352" t="s">
        <v>74</v>
      </c>
      <c r="I352" t="s">
        <v>6740</v>
      </c>
      <c r="J352" t="s">
        <v>6741</v>
      </c>
      <c r="K352" t="s">
        <v>3889</v>
      </c>
      <c r="L352" t="s">
        <v>74</v>
      </c>
      <c r="M352" t="s">
        <v>78</v>
      </c>
      <c r="N352" t="s">
        <v>3231</v>
      </c>
      <c r="O352" t="s">
        <v>6742</v>
      </c>
      <c r="P352" t="s">
        <v>6743</v>
      </c>
      <c r="Q352" t="s">
        <v>6744</v>
      </c>
      <c r="R352" t="s">
        <v>74</v>
      </c>
      <c r="S352" t="s">
        <v>74</v>
      </c>
      <c r="T352" t="s">
        <v>6745</v>
      </c>
      <c r="U352" t="s">
        <v>6746</v>
      </c>
      <c r="V352" t="s">
        <v>6747</v>
      </c>
      <c r="W352" t="s">
        <v>74</v>
      </c>
      <c r="X352" t="s">
        <v>74</v>
      </c>
      <c r="Y352" t="s">
        <v>74</v>
      </c>
      <c r="Z352" t="s">
        <v>6748</v>
      </c>
      <c r="AA352" t="s">
        <v>74</v>
      </c>
      <c r="AB352" t="s">
        <v>74</v>
      </c>
      <c r="AC352" t="s">
        <v>74</v>
      </c>
      <c r="AD352" t="s">
        <v>74</v>
      </c>
      <c r="AE352" t="s">
        <v>74</v>
      </c>
      <c r="AF352" t="s">
        <v>74</v>
      </c>
      <c r="AG352">
        <v>11</v>
      </c>
      <c r="AH352">
        <v>7</v>
      </c>
      <c r="AI352">
        <v>9</v>
      </c>
      <c r="AJ352">
        <v>0</v>
      </c>
      <c r="AK352">
        <v>3</v>
      </c>
      <c r="AL352" t="s">
        <v>3899</v>
      </c>
      <c r="AM352" t="s">
        <v>3900</v>
      </c>
      <c r="AN352" t="s">
        <v>3901</v>
      </c>
      <c r="AO352" t="s">
        <v>3902</v>
      </c>
      <c r="AP352" t="s">
        <v>74</v>
      </c>
      <c r="AQ352" t="s">
        <v>6749</v>
      </c>
      <c r="AR352" t="s">
        <v>3904</v>
      </c>
      <c r="AS352" t="s">
        <v>74</v>
      </c>
      <c r="AT352" t="s">
        <v>74</v>
      </c>
      <c r="AU352">
        <v>2013</v>
      </c>
      <c r="AV352" t="s">
        <v>6750</v>
      </c>
      <c r="AW352" t="s">
        <v>74</v>
      </c>
      <c r="AX352" t="s">
        <v>74</v>
      </c>
      <c r="AY352" t="s">
        <v>74</v>
      </c>
      <c r="AZ352" t="s">
        <v>74</v>
      </c>
      <c r="BA352" t="s">
        <v>74</v>
      </c>
      <c r="BB352">
        <v>173</v>
      </c>
      <c r="BC352">
        <v>177</v>
      </c>
      <c r="BD352" t="s">
        <v>74</v>
      </c>
      <c r="BE352" t="s">
        <v>6751</v>
      </c>
      <c r="BF352" t="str">
        <f>HYPERLINK("http://dx.doi.org/10.4028/www.scientific.net/AMM.295-298.173","http://dx.doi.org/10.4028/www.scientific.net/AMM.295-298.173")</f>
        <v>http://dx.doi.org/10.4028/www.scientific.net/AMM.295-298.173</v>
      </c>
      <c r="BG352" t="s">
        <v>74</v>
      </c>
      <c r="BH352" t="s">
        <v>74</v>
      </c>
      <c r="BI352">
        <v>5</v>
      </c>
      <c r="BJ352" t="s">
        <v>6752</v>
      </c>
      <c r="BK352" t="s">
        <v>3247</v>
      </c>
      <c r="BL352" t="s">
        <v>6753</v>
      </c>
      <c r="BM352" t="s">
        <v>6754</v>
      </c>
      <c r="BN352" t="s">
        <v>74</v>
      </c>
      <c r="BO352" t="s">
        <v>74</v>
      </c>
      <c r="BP352" t="s">
        <v>74</v>
      </c>
      <c r="BQ352" t="s">
        <v>74</v>
      </c>
      <c r="BR352" t="s">
        <v>105</v>
      </c>
      <c r="BS352" t="s">
        <v>6755</v>
      </c>
      <c r="BT352" t="str">
        <f>HYPERLINK("https%3A%2F%2Fwww.webofscience.com%2Fwos%2Fwoscc%2Ffull-record%2FWOS:000320828200036","View Full Record in Web of Science")</f>
        <v>View Full Record in Web of Science</v>
      </c>
    </row>
    <row r="353" spans="1:72" x14ac:dyDescent="0.15">
      <c r="A353" t="s">
        <v>3224</v>
      </c>
      <c r="B353" t="s">
        <v>6756</v>
      </c>
      <c r="C353" t="s">
        <v>74</v>
      </c>
      <c r="D353" t="s">
        <v>6757</v>
      </c>
      <c r="E353" t="s">
        <v>74</v>
      </c>
      <c r="F353" t="s">
        <v>6758</v>
      </c>
      <c r="G353" t="s">
        <v>74</v>
      </c>
      <c r="H353" t="s">
        <v>74</v>
      </c>
      <c r="I353" t="s">
        <v>6759</v>
      </c>
      <c r="J353" t="s">
        <v>6760</v>
      </c>
      <c r="K353" t="s">
        <v>4212</v>
      </c>
      <c r="L353" t="s">
        <v>74</v>
      </c>
      <c r="M353" t="s">
        <v>78</v>
      </c>
      <c r="N353" t="s">
        <v>3231</v>
      </c>
      <c r="O353" t="s">
        <v>6761</v>
      </c>
      <c r="P353" t="s">
        <v>6762</v>
      </c>
      <c r="Q353" t="s">
        <v>6763</v>
      </c>
      <c r="R353" t="s">
        <v>74</v>
      </c>
      <c r="S353" t="s">
        <v>6764</v>
      </c>
      <c r="T353" t="s">
        <v>6765</v>
      </c>
      <c r="U353" t="s">
        <v>6766</v>
      </c>
      <c r="V353" t="s">
        <v>6767</v>
      </c>
      <c r="W353" t="s">
        <v>6768</v>
      </c>
      <c r="X353" t="s">
        <v>6769</v>
      </c>
      <c r="Y353" t="s">
        <v>6770</v>
      </c>
      <c r="Z353" t="s">
        <v>74</v>
      </c>
      <c r="AA353" t="s">
        <v>6771</v>
      </c>
      <c r="AB353" t="s">
        <v>6772</v>
      </c>
      <c r="AC353" t="s">
        <v>74</v>
      </c>
      <c r="AD353" t="s">
        <v>74</v>
      </c>
      <c r="AE353" t="s">
        <v>74</v>
      </c>
      <c r="AF353" t="s">
        <v>74</v>
      </c>
      <c r="AG353">
        <v>9</v>
      </c>
      <c r="AH353">
        <v>0</v>
      </c>
      <c r="AI353">
        <v>0</v>
      </c>
      <c r="AJ353">
        <v>0</v>
      </c>
      <c r="AK353">
        <v>7</v>
      </c>
      <c r="AL353" t="s">
        <v>4224</v>
      </c>
      <c r="AM353" t="s">
        <v>4225</v>
      </c>
      <c r="AN353" t="s">
        <v>4226</v>
      </c>
      <c r="AO353" t="s">
        <v>4227</v>
      </c>
      <c r="AP353" t="s">
        <v>74</v>
      </c>
      <c r="AQ353" t="s">
        <v>6773</v>
      </c>
      <c r="AR353" t="s">
        <v>4229</v>
      </c>
      <c r="AS353" t="s">
        <v>74</v>
      </c>
      <c r="AT353" t="s">
        <v>74</v>
      </c>
      <c r="AU353">
        <v>2013</v>
      </c>
      <c r="AV353">
        <v>1531</v>
      </c>
      <c r="AW353" t="s">
        <v>74</v>
      </c>
      <c r="AX353" t="s">
        <v>74</v>
      </c>
      <c r="AY353" t="s">
        <v>74</v>
      </c>
      <c r="AZ353" t="s">
        <v>74</v>
      </c>
      <c r="BA353" t="s">
        <v>74</v>
      </c>
      <c r="BB353">
        <v>768</v>
      </c>
      <c r="BC353">
        <v>771</v>
      </c>
      <c r="BD353" t="s">
        <v>74</v>
      </c>
      <c r="BE353" t="s">
        <v>6774</v>
      </c>
      <c r="BF353" t="str">
        <f>HYPERLINK("http://dx.doi.org/10.1063/1.4804883","http://dx.doi.org/10.1063/1.4804883")</f>
        <v>http://dx.doi.org/10.1063/1.4804883</v>
      </c>
      <c r="BG353" t="s">
        <v>74</v>
      </c>
      <c r="BH353" t="s">
        <v>74</v>
      </c>
      <c r="BI353">
        <v>4</v>
      </c>
      <c r="BJ353" t="s">
        <v>6775</v>
      </c>
      <c r="BK353" t="s">
        <v>3247</v>
      </c>
      <c r="BL353" t="s">
        <v>6776</v>
      </c>
      <c r="BM353" t="s">
        <v>6777</v>
      </c>
      <c r="BN353" t="s">
        <v>74</v>
      </c>
      <c r="BO353" t="s">
        <v>128</v>
      </c>
      <c r="BP353" t="s">
        <v>74</v>
      </c>
      <c r="BQ353" t="s">
        <v>74</v>
      </c>
      <c r="BR353" t="s">
        <v>105</v>
      </c>
      <c r="BS353" t="s">
        <v>6778</v>
      </c>
      <c r="BT353" t="str">
        <f>HYPERLINK("https%3A%2F%2Fwww.webofscience.com%2Fwos%2Fwoscc%2Ffull-record%2FWOS:000320763100188","View Full Record in Web of Science")</f>
        <v>View Full Record in Web of Science</v>
      </c>
    </row>
    <row r="354" spans="1:72" x14ac:dyDescent="0.15">
      <c r="A354" t="s">
        <v>3224</v>
      </c>
      <c r="B354" t="s">
        <v>6779</v>
      </c>
      <c r="C354" t="s">
        <v>74</v>
      </c>
      <c r="D354" t="s">
        <v>6757</v>
      </c>
      <c r="E354" t="s">
        <v>74</v>
      </c>
      <c r="F354" t="s">
        <v>6780</v>
      </c>
      <c r="G354" t="s">
        <v>74</v>
      </c>
      <c r="H354" t="s">
        <v>74</v>
      </c>
      <c r="I354" t="s">
        <v>6781</v>
      </c>
      <c r="J354" t="s">
        <v>6760</v>
      </c>
      <c r="K354" t="s">
        <v>4212</v>
      </c>
      <c r="L354" t="s">
        <v>74</v>
      </c>
      <c r="M354" t="s">
        <v>78</v>
      </c>
      <c r="N354" t="s">
        <v>3231</v>
      </c>
      <c r="O354" t="s">
        <v>6761</v>
      </c>
      <c r="P354" t="s">
        <v>6762</v>
      </c>
      <c r="Q354" t="s">
        <v>6763</v>
      </c>
      <c r="R354" t="s">
        <v>74</v>
      </c>
      <c r="S354" t="s">
        <v>6764</v>
      </c>
      <c r="T354" t="s">
        <v>6782</v>
      </c>
      <c r="U354" t="s">
        <v>74</v>
      </c>
      <c r="V354" t="s">
        <v>6783</v>
      </c>
      <c r="W354" t="s">
        <v>6784</v>
      </c>
      <c r="X354" t="s">
        <v>74</v>
      </c>
      <c r="Y354" t="s">
        <v>6785</v>
      </c>
      <c r="Z354" t="s">
        <v>74</v>
      </c>
      <c r="AA354" t="s">
        <v>6786</v>
      </c>
      <c r="AB354" t="s">
        <v>6787</v>
      </c>
      <c r="AC354" t="s">
        <v>74</v>
      </c>
      <c r="AD354" t="s">
        <v>74</v>
      </c>
      <c r="AE354" t="s">
        <v>74</v>
      </c>
      <c r="AF354" t="s">
        <v>74</v>
      </c>
      <c r="AG354">
        <v>10</v>
      </c>
      <c r="AH354">
        <v>1</v>
      </c>
      <c r="AI354">
        <v>1</v>
      </c>
      <c r="AJ354">
        <v>1</v>
      </c>
      <c r="AK354">
        <v>4</v>
      </c>
      <c r="AL354" t="s">
        <v>4224</v>
      </c>
      <c r="AM354" t="s">
        <v>4225</v>
      </c>
      <c r="AN354" t="s">
        <v>4226</v>
      </c>
      <c r="AO354" t="s">
        <v>4227</v>
      </c>
      <c r="AP354" t="s">
        <v>74</v>
      </c>
      <c r="AQ354" t="s">
        <v>6773</v>
      </c>
      <c r="AR354" t="s">
        <v>4229</v>
      </c>
      <c r="AS354" t="s">
        <v>74</v>
      </c>
      <c r="AT354" t="s">
        <v>74</v>
      </c>
      <c r="AU354">
        <v>2013</v>
      </c>
      <c r="AV354">
        <v>1531</v>
      </c>
      <c r="AW354" t="s">
        <v>74</v>
      </c>
      <c r="AX354" t="s">
        <v>74</v>
      </c>
      <c r="AY354" t="s">
        <v>74</v>
      </c>
      <c r="AZ354" t="s">
        <v>74</v>
      </c>
      <c r="BA354" t="s">
        <v>74</v>
      </c>
      <c r="BB354">
        <v>907</v>
      </c>
      <c r="BC354">
        <v>910</v>
      </c>
      <c r="BD354" t="s">
        <v>74</v>
      </c>
      <c r="BE354" t="s">
        <v>6788</v>
      </c>
      <c r="BF354" t="str">
        <f>HYPERLINK("http://dx.doi.org/10.1063/1.4804918","http://dx.doi.org/10.1063/1.4804918")</f>
        <v>http://dx.doi.org/10.1063/1.4804918</v>
      </c>
      <c r="BG354" t="s">
        <v>74</v>
      </c>
      <c r="BH354" t="s">
        <v>74</v>
      </c>
      <c r="BI354">
        <v>4</v>
      </c>
      <c r="BJ354" t="s">
        <v>6775</v>
      </c>
      <c r="BK354" t="s">
        <v>3247</v>
      </c>
      <c r="BL354" t="s">
        <v>6776</v>
      </c>
      <c r="BM354" t="s">
        <v>6777</v>
      </c>
      <c r="BN354" t="s">
        <v>74</v>
      </c>
      <c r="BO354" t="s">
        <v>128</v>
      </c>
      <c r="BP354" t="s">
        <v>74</v>
      </c>
      <c r="BQ354" t="s">
        <v>74</v>
      </c>
      <c r="BR354" t="s">
        <v>105</v>
      </c>
      <c r="BS354" t="s">
        <v>6789</v>
      </c>
      <c r="BT354" t="str">
        <f>HYPERLINK("https%3A%2F%2Fwww.webofscience.com%2Fwos%2Fwoscc%2Ffull-record%2FWOS:000320763100223","View Full Record in Web of Science")</f>
        <v>View Full Record in Web of Science</v>
      </c>
    </row>
    <row r="355" spans="1:72" x14ac:dyDescent="0.15">
      <c r="A355" t="s">
        <v>72</v>
      </c>
      <c r="B355" t="s">
        <v>6790</v>
      </c>
      <c r="C355" t="s">
        <v>74</v>
      </c>
      <c r="D355" t="s">
        <v>74</v>
      </c>
      <c r="E355" t="s">
        <v>74</v>
      </c>
      <c r="F355" t="s">
        <v>6791</v>
      </c>
      <c r="G355" t="s">
        <v>74</v>
      </c>
      <c r="H355" t="s">
        <v>74</v>
      </c>
      <c r="I355" t="s">
        <v>6792</v>
      </c>
      <c r="J355" t="s">
        <v>6793</v>
      </c>
      <c r="K355" t="s">
        <v>74</v>
      </c>
      <c r="L355" t="s">
        <v>74</v>
      </c>
      <c r="M355" t="s">
        <v>78</v>
      </c>
      <c r="N355" t="s">
        <v>1120</v>
      </c>
      <c r="O355" t="s">
        <v>74</v>
      </c>
      <c r="P355" t="s">
        <v>74</v>
      </c>
      <c r="Q355" t="s">
        <v>74</v>
      </c>
      <c r="R355" t="s">
        <v>74</v>
      </c>
      <c r="S355" t="s">
        <v>74</v>
      </c>
      <c r="T355" t="s">
        <v>6794</v>
      </c>
      <c r="U355" t="s">
        <v>6795</v>
      </c>
      <c r="V355" t="s">
        <v>6796</v>
      </c>
      <c r="W355" t="s">
        <v>6797</v>
      </c>
      <c r="X355" t="s">
        <v>6798</v>
      </c>
      <c r="Y355" t="s">
        <v>6799</v>
      </c>
      <c r="Z355" t="s">
        <v>6800</v>
      </c>
      <c r="AA355" t="s">
        <v>74</v>
      </c>
      <c r="AB355" t="s">
        <v>74</v>
      </c>
      <c r="AC355" t="s">
        <v>6801</v>
      </c>
      <c r="AD355" t="s">
        <v>6802</v>
      </c>
      <c r="AE355" t="s">
        <v>6803</v>
      </c>
      <c r="AF355" t="s">
        <v>74</v>
      </c>
      <c r="AG355">
        <v>243</v>
      </c>
      <c r="AH355">
        <v>30</v>
      </c>
      <c r="AI355">
        <v>32</v>
      </c>
      <c r="AJ355">
        <v>3</v>
      </c>
      <c r="AK355">
        <v>15</v>
      </c>
      <c r="AL355" t="s">
        <v>6804</v>
      </c>
      <c r="AM355" t="s">
        <v>6805</v>
      </c>
      <c r="AN355" t="s">
        <v>6806</v>
      </c>
      <c r="AO355" t="s">
        <v>6807</v>
      </c>
      <c r="AP355" t="s">
        <v>6808</v>
      </c>
      <c r="AQ355" t="s">
        <v>74</v>
      </c>
      <c r="AR355" t="s">
        <v>6809</v>
      </c>
      <c r="AS355" t="s">
        <v>6810</v>
      </c>
      <c r="AT355" t="s">
        <v>74</v>
      </c>
      <c r="AU355">
        <v>2013</v>
      </c>
      <c r="AV355">
        <v>73</v>
      </c>
      <c r="AW355">
        <v>1</v>
      </c>
      <c r="AX355" t="s">
        <v>74</v>
      </c>
      <c r="AY355" t="s">
        <v>74</v>
      </c>
      <c r="AZ355" t="s">
        <v>74</v>
      </c>
      <c r="BA355" t="s">
        <v>74</v>
      </c>
      <c r="BB355">
        <v>1</v>
      </c>
      <c r="BC355">
        <v>37</v>
      </c>
      <c r="BD355" t="s">
        <v>74</v>
      </c>
      <c r="BE355" t="s">
        <v>6811</v>
      </c>
      <c r="BF355" t="str">
        <f>HYPERLINK("http://dx.doi.org/10.1016/j.chemer.2012.12.001","http://dx.doi.org/10.1016/j.chemer.2012.12.001")</f>
        <v>http://dx.doi.org/10.1016/j.chemer.2012.12.001</v>
      </c>
      <c r="BG355" t="s">
        <v>74</v>
      </c>
      <c r="BH355" t="s">
        <v>74</v>
      </c>
      <c r="BI355">
        <v>37</v>
      </c>
      <c r="BJ355" t="s">
        <v>263</v>
      </c>
      <c r="BK355" t="s">
        <v>102</v>
      </c>
      <c r="BL355" t="s">
        <v>263</v>
      </c>
      <c r="BM355" t="s">
        <v>6812</v>
      </c>
      <c r="BN355" t="s">
        <v>74</v>
      </c>
      <c r="BO355" t="s">
        <v>74</v>
      </c>
      <c r="BP355" t="s">
        <v>74</v>
      </c>
      <c r="BQ355" t="s">
        <v>74</v>
      </c>
      <c r="BR355" t="s">
        <v>105</v>
      </c>
      <c r="BS355" t="s">
        <v>6813</v>
      </c>
      <c r="BT355" t="str">
        <f>HYPERLINK("https%3A%2F%2Fwww.webofscience.com%2Fwos%2Fwoscc%2Ffull-record%2FWOS:000321083400001","View Full Record in Web of Science")</f>
        <v>View Full Record in Web of Science</v>
      </c>
    </row>
    <row r="356" spans="1:72" x14ac:dyDescent="0.15">
      <c r="A356" t="s">
        <v>72</v>
      </c>
      <c r="B356" t="s">
        <v>6814</v>
      </c>
      <c r="C356" t="s">
        <v>74</v>
      </c>
      <c r="D356" t="s">
        <v>74</v>
      </c>
      <c r="E356" t="s">
        <v>74</v>
      </c>
      <c r="F356" t="s">
        <v>6815</v>
      </c>
      <c r="G356" t="s">
        <v>74</v>
      </c>
      <c r="H356" t="s">
        <v>74</v>
      </c>
      <c r="I356" t="s">
        <v>6816</v>
      </c>
      <c r="J356" t="s">
        <v>4238</v>
      </c>
      <c r="K356" t="s">
        <v>74</v>
      </c>
      <c r="L356" t="s">
        <v>74</v>
      </c>
      <c r="M356" t="s">
        <v>78</v>
      </c>
      <c r="N356" t="s">
        <v>79</v>
      </c>
      <c r="O356" t="s">
        <v>74</v>
      </c>
      <c r="P356" t="s">
        <v>74</v>
      </c>
      <c r="Q356" t="s">
        <v>74</v>
      </c>
      <c r="R356" t="s">
        <v>74</v>
      </c>
      <c r="S356" t="s">
        <v>74</v>
      </c>
      <c r="T356" t="s">
        <v>74</v>
      </c>
      <c r="U356" t="s">
        <v>74</v>
      </c>
      <c r="V356" t="s">
        <v>6817</v>
      </c>
      <c r="W356" t="s">
        <v>6818</v>
      </c>
      <c r="X356" t="s">
        <v>1318</v>
      </c>
      <c r="Y356" t="s">
        <v>6819</v>
      </c>
      <c r="Z356" t="s">
        <v>6820</v>
      </c>
      <c r="AA356" t="s">
        <v>6821</v>
      </c>
      <c r="AB356" t="s">
        <v>6822</v>
      </c>
      <c r="AC356" t="s">
        <v>6823</v>
      </c>
      <c r="AD356" t="s">
        <v>74</v>
      </c>
      <c r="AE356" t="s">
        <v>6824</v>
      </c>
      <c r="AF356" t="s">
        <v>74</v>
      </c>
      <c r="AG356">
        <v>22</v>
      </c>
      <c r="AH356">
        <v>39</v>
      </c>
      <c r="AI356">
        <v>43</v>
      </c>
      <c r="AJ356">
        <v>0</v>
      </c>
      <c r="AK356">
        <v>16</v>
      </c>
      <c r="AL356" t="s">
        <v>4248</v>
      </c>
      <c r="AM356" t="s">
        <v>4249</v>
      </c>
      <c r="AN356" t="s">
        <v>4250</v>
      </c>
      <c r="AO356" t="s">
        <v>4251</v>
      </c>
      <c r="AP356" t="s">
        <v>4252</v>
      </c>
      <c r="AQ356" t="s">
        <v>74</v>
      </c>
      <c r="AR356" t="s">
        <v>4238</v>
      </c>
      <c r="AS356" t="s">
        <v>4253</v>
      </c>
      <c r="AT356" t="s">
        <v>74</v>
      </c>
      <c r="AU356">
        <v>2013</v>
      </c>
      <c r="AV356">
        <v>7</v>
      </c>
      <c r="AW356">
        <v>2</v>
      </c>
      <c r="AX356" t="s">
        <v>74</v>
      </c>
      <c r="AY356" t="s">
        <v>74</v>
      </c>
      <c r="AZ356" t="s">
        <v>74</v>
      </c>
      <c r="BA356" t="s">
        <v>74</v>
      </c>
      <c r="BB356">
        <v>699</v>
      </c>
      <c r="BC356">
        <v>705</v>
      </c>
      <c r="BD356" t="s">
        <v>74</v>
      </c>
      <c r="BE356" t="s">
        <v>6825</v>
      </c>
      <c r="BF356" t="str">
        <f>HYPERLINK("http://dx.doi.org/10.5194/tc-7-699-2013","http://dx.doi.org/10.5194/tc-7-699-2013")</f>
        <v>http://dx.doi.org/10.5194/tc-7-699-2013</v>
      </c>
      <c r="BG356" t="s">
        <v>74</v>
      </c>
      <c r="BH356" t="s">
        <v>74</v>
      </c>
      <c r="BI356">
        <v>7</v>
      </c>
      <c r="BJ356" t="s">
        <v>2261</v>
      </c>
      <c r="BK356" t="s">
        <v>102</v>
      </c>
      <c r="BL356" t="s">
        <v>2262</v>
      </c>
      <c r="BM356" t="s">
        <v>6826</v>
      </c>
      <c r="BN356" t="s">
        <v>74</v>
      </c>
      <c r="BO356" t="s">
        <v>4132</v>
      </c>
      <c r="BP356" t="s">
        <v>74</v>
      </c>
      <c r="BQ356" t="s">
        <v>74</v>
      </c>
      <c r="BR356" t="s">
        <v>105</v>
      </c>
      <c r="BS356" t="s">
        <v>6827</v>
      </c>
      <c r="BT356" t="str">
        <f>HYPERLINK("https%3A%2F%2Fwww.webofscience.com%2Fwos%2Fwoscc%2Ffull-record%2FWOS:000321181800006","View Full Record in Web of Science")</f>
        <v>View Full Record in Web of Science</v>
      </c>
    </row>
    <row r="357" spans="1:72" x14ac:dyDescent="0.15">
      <c r="A357" t="s">
        <v>72</v>
      </c>
      <c r="B357" t="s">
        <v>6828</v>
      </c>
      <c r="C357" t="s">
        <v>74</v>
      </c>
      <c r="D357" t="s">
        <v>74</v>
      </c>
      <c r="E357" t="s">
        <v>74</v>
      </c>
      <c r="F357" t="s">
        <v>6829</v>
      </c>
      <c r="G357" t="s">
        <v>74</v>
      </c>
      <c r="H357" t="s">
        <v>74</v>
      </c>
      <c r="I357" t="s">
        <v>6830</v>
      </c>
      <c r="J357" t="s">
        <v>5974</v>
      </c>
      <c r="K357" t="s">
        <v>74</v>
      </c>
      <c r="L357" t="s">
        <v>74</v>
      </c>
      <c r="M357" t="s">
        <v>78</v>
      </c>
      <c r="N357" t="s">
        <v>79</v>
      </c>
      <c r="O357" t="s">
        <v>74</v>
      </c>
      <c r="P357" t="s">
        <v>74</v>
      </c>
      <c r="Q357" t="s">
        <v>74</v>
      </c>
      <c r="R357" t="s">
        <v>74</v>
      </c>
      <c r="S357" t="s">
        <v>74</v>
      </c>
      <c r="T357" t="s">
        <v>6831</v>
      </c>
      <c r="U357" t="s">
        <v>6832</v>
      </c>
      <c r="V357" t="s">
        <v>6833</v>
      </c>
      <c r="W357" t="s">
        <v>6834</v>
      </c>
      <c r="X357" t="s">
        <v>6835</v>
      </c>
      <c r="Y357" t="s">
        <v>6836</v>
      </c>
      <c r="Z357" t="s">
        <v>6837</v>
      </c>
      <c r="AA357" t="s">
        <v>6838</v>
      </c>
      <c r="AB357" t="s">
        <v>6839</v>
      </c>
      <c r="AC357" t="s">
        <v>74</v>
      </c>
      <c r="AD357" t="s">
        <v>74</v>
      </c>
      <c r="AE357" t="s">
        <v>74</v>
      </c>
      <c r="AF357" t="s">
        <v>74</v>
      </c>
      <c r="AG357">
        <v>22</v>
      </c>
      <c r="AH357">
        <v>3</v>
      </c>
      <c r="AI357">
        <v>4</v>
      </c>
      <c r="AJ357">
        <v>0</v>
      </c>
      <c r="AK357">
        <v>33</v>
      </c>
      <c r="AL357" t="s">
        <v>5987</v>
      </c>
      <c r="AM357" t="s">
        <v>5988</v>
      </c>
      <c r="AN357" t="s">
        <v>5989</v>
      </c>
      <c r="AO357" t="s">
        <v>5990</v>
      </c>
      <c r="AP357" t="s">
        <v>5991</v>
      </c>
      <c r="AQ357" t="s">
        <v>74</v>
      </c>
      <c r="AR357" t="s">
        <v>5992</v>
      </c>
      <c r="AS357" t="s">
        <v>5993</v>
      </c>
      <c r="AT357" t="s">
        <v>74</v>
      </c>
      <c r="AU357">
        <v>2013</v>
      </c>
      <c r="AV357">
        <v>47</v>
      </c>
      <c r="AW357">
        <v>2</v>
      </c>
      <c r="AX357" t="s">
        <v>74</v>
      </c>
      <c r="AY357" t="s">
        <v>74</v>
      </c>
      <c r="AZ357" t="s">
        <v>221</v>
      </c>
      <c r="BA357" t="s">
        <v>74</v>
      </c>
      <c r="BB357">
        <v>137</v>
      </c>
      <c r="BC357">
        <v>147</v>
      </c>
      <c r="BD357" t="s">
        <v>74</v>
      </c>
      <c r="BE357" t="s">
        <v>6840</v>
      </c>
      <c r="BF357" t="str">
        <f>HYPERLINK("http://dx.doi.org/10.2343/geochemj.2.0257","http://dx.doi.org/10.2343/geochemj.2.0257")</f>
        <v>http://dx.doi.org/10.2343/geochemj.2.0257</v>
      </c>
      <c r="BG357" t="s">
        <v>74</v>
      </c>
      <c r="BH357" t="s">
        <v>74</v>
      </c>
      <c r="BI357">
        <v>11</v>
      </c>
      <c r="BJ357" t="s">
        <v>263</v>
      </c>
      <c r="BK357" t="s">
        <v>102</v>
      </c>
      <c r="BL357" t="s">
        <v>263</v>
      </c>
      <c r="BM357" t="s">
        <v>6841</v>
      </c>
      <c r="BN357" t="s">
        <v>74</v>
      </c>
      <c r="BO357" t="s">
        <v>2629</v>
      </c>
      <c r="BP357" t="s">
        <v>74</v>
      </c>
      <c r="BQ357" t="s">
        <v>74</v>
      </c>
      <c r="BR357" t="s">
        <v>105</v>
      </c>
      <c r="BS357" t="s">
        <v>6842</v>
      </c>
      <c r="BT357" t="str">
        <f>HYPERLINK("https%3A%2F%2Fwww.webofscience.com%2Fwos%2Fwoscc%2Ffull-record%2FWOS:000320427600005","View Full Record in Web of Science")</f>
        <v>View Full Record in Web of Science</v>
      </c>
    </row>
    <row r="358" spans="1:72" x14ac:dyDescent="0.15">
      <c r="A358" t="s">
        <v>72</v>
      </c>
      <c r="B358" t="s">
        <v>6843</v>
      </c>
      <c r="C358" t="s">
        <v>74</v>
      </c>
      <c r="D358" t="s">
        <v>74</v>
      </c>
      <c r="E358" t="s">
        <v>74</v>
      </c>
      <c r="F358" t="s">
        <v>6844</v>
      </c>
      <c r="G358" t="s">
        <v>74</v>
      </c>
      <c r="H358" t="s">
        <v>74</v>
      </c>
      <c r="I358" t="s">
        <v>6845</v>
      </c>
      <c r="J358" t="s">
        <v>5974</v>
      </c>
      <c r="K358" t="s">
        <v>74</v>
      </c>
      <c r="L358" t="s">
        <v>74</v>
      </c>
      <c r="M358" t="s">
        <v>78</v>
      </c>
      <c r="N358" t="s">
        <v>79</v>
      </c>
      <c r="O358" t="s">
        <v>74</v>
      </c>
      <c r="P358" t="s">
        <v>74</v>
      </c>
      <c r="Q358" t="s">
        <v>74</v>
      </c>
      <c r="R358" t="s">
        <v>74</v>
      </c>
      <c r="S358" t="s">
        <v>74</v>
      </c>
      <c r="T358" t="s">
        <v>6846</v>
      </c>
      <c r="U358" t="s">
        <v>6847</v>
      </c>
      <c r="V358" t="s">
        <v>6848</v>
      </c>
      <c r="W358" t="s">
        <v>6849</v>
      </c>
      <c r="X358" t="s">
        <v>6850</v>
      </c>
      <c r="Y358" t="s">
        <v>6851</v>
      </c>
      <c r="Z358" t="s">
        <v>6852</v>
      </c>
      <c r="AA358" t="s">
        <v>6853</v>
      </c>
      <c r="AB358" t="s">
        <v>6854</v>
      </c>
      <c r="AC358" t="s">
        <v>6855</v>
      </c>
      <c r="AD358" t="s">
        <v>6856</v>
      </c>
      <c r="AE358" t="s">
        <v>6857</v>
      </c>
      <c r="AF358" t="s">
        <v>74</v>
      </c>
      <c r="AG358">
        <v>62</v>
      </c>
      <c r="AH358">
        <v>8</v>
      </c>
      <c r="AI358">
        <v>8</v>
      </c>
      <c r="AJ358">
        <v>0</v>
      </c>
      <c r="AK358">
        <v>7</v>
      </c>
      <c r="AL358" t="s">
        <v>5987</v>
      </c>
      <c r="AM358" t="s">
        <v>5988</v>
      </c>
      <c r="AN358" t="s">
        <v>5989</v>
      </c>
      <c r="AO358" t="s">
        <v>5990</v>
      </c>
      <c r="AP358" t="s">
        <v>5991</v>
      </c>
      <c r="AQ358" t="s">
        <v>74</v>
      </c>
      <c r="AR358" t="s">
        <v>5992</v>
      </c>
      <c r="AS358" t="s">
        <v>5993</v>
      </c>
      <c r="AT358" t="s">
        <v>74</v>
      </c>
      <c r="AU358">
        <v>2013</v>
      </c>
      <c r="AV358">
        <v>47</v>
      </c>
      <c r="AW358">
        <v>2</v>
      </c>
      <c r="AX358" t="s">
        <v>74</v>
      </c>
      <c r="AY358" t="s">
        <v>74</v>
      </c>
      <c r="AZ358" t="s">
        <v>221</v>
      </c>
      <c r="BA358" t="s">
        <v>74</v>
      </c>
      <c r="BB358">
        <v>235</v>
      </c>
      <c r="BC358">
        <v>247</v>
      </c>
      <c r="BD358" t="s">
        <v>74</v>
      </c>
      <c r="BE358" t="s">
        <v>6858</v>
      </c>
      <c r="BF358" t="str">
        <f>HYPERLINK("http://dx.doi.org/10.2343/geochemj.2.0242","http://dx.doi.org/10.2343/geochemj.2.0242")</f>
        <v>http://dx.doi.org/10.2343/geochemj.2.0242</v>
      </c>
      <c r="BG358" t="s">
        <v>74</v>
      </c>
      <c r="BH358" t="s">
        <v>74</v>
      </c>
      <c r="BI358">
        <v>13</v>
      </c>
      <c r="BJ358" t="s">
        <v>263</v>
      </c>
      <c r="BK358" t="s">
        <v>102</v>
      </c>
      <c r="BL358" t="s">
        <v>263</v>
      </c>
      <c r="BM358" t="s">
        <v>6841</v>
      </c>
      <c r="BN358" t="s">
        <v>74</v>
      </c>
      <c r="BO358" t="s">
        <v>2815</v>
      </c>
      <c r="BP358" t="s">
        <v>74</v>
      </c>
      <c r="BQ358" t="s">
        <v>74</v>
      </c>
      <c r="BR358" t="s">
        <v>105</v>
      </c>
      <c r="BS358" t="s">
        <v>6859</v>
      </c>
      <c r="BT358" t="str">
        <f>HYPERLINK("https%3A%2F%2Fwww.webofscience.com%2Fwos%2Fwoscc%2Ffull-record%2FWOS:000320427600011","View Full Record in Web of Science")</f>
        <v>View Full Record in Web of Science</v>
      </c>
    </row>
    <row r="359" spans="1:72" x14ac:dyDescent="0.15">
      <c r="A359" t="s">
        <v>72</v>
      </c>
      <c r="B359" t="s">
        <v>6860</v>
      </c>
      <c r="C359" t="s">
        <v>74</v>
      </c>
      <c r="D359" t="s">
        <v>74</v>
      </c>
      <c r="E359" t="s">
        <v>74</v>
      </c>
      <c r="F359" t="s">
        <v>6861</v>
      </c>
      <c r="G359" t="s">
        <v>74</v>
      </c>
      <c r="H359" t="s">
        <v>74</v>
      </c>
      <c r="I359" t="s">
        <v>6862</v>
      </c>
      <c r="J359" t="s">
        <v>6863</v>
      </c>
      <c r="K359" t="s">
        <v>74</v>
      </c>
      <c r="L359" t="s">
        <v>74</v>
      </c>
      <c r="M359" t="s">
        <v>78</v>
      </c>
      <c r="N359" t="s">
        <v>79</v>
      </c>
      <c r="O359" t="s">
        <v>74</v>
      </c>
      <c r="P359" t="s">
        <v>74</v>
      </c>
      <c r="Q359" t="s">
        <v>74</v>
      </c>
      <c r="R359" t="s">
        <v>74</v>
      </c>
      <c r="S359" t="s">
        <v>74</v>
      </c>
      <c r="T359" t="s">
        <v>74</v>
      </c>
      <c r="U359" t="s">
        <v>6864</v>
      </c>
      <c r="V359" t="s">
        <v>6865</v>
      </c>
      <c r="W359" t="s">
        <v>6866</v>
      </c>
      <c r="X359" t="s">
        <v>3547</v>
      </c>
      <c r="Y359" t="s">
        <v>6867</v>
      </c>
      <c r="Z359" t="s">
        <v>6868</v>
      </c>
      <c r="AA359" t="s">
        <v>74</v>
      </c>
      <c r="AB359" t="s">
        <v>74</v>
      </c>
      <c r="AC359" t="s">
        <v>6869</v>
      </c>
      <c r="AD359" t="s">
        <v>6870</v>
      </c>
      <c r="AE359" t="s">
        <v>6871</v>
      </c>
      <c r="AF359" t="s">
        <v>74</v>
      </c>
      <c r="AG359">
        <v>69</v>
      </c>
      <c r="AH359">
        <v>5</v>
      </c>
      <c r="AI359">
        <v>5</v>
      </c>
      <c r="AJ359">
        <v>0</v>
      </c>
      <c r="AK359">
        <v>24</v>
      </c>
      <c r="AL359" t="s">
        <v>4248</v>
      </c>
      <c r="AM359" t="s">
        <v>4249</v>
      </c>
      <c r="AN359" t="s">
        <v>4250</v>
      </c>
      <c r="AO359" t="s">
        <v>6872</v>
      </c>
      <c r="AP359" t="s">
        <v>74</v>
      </c>
      <c r="AQ359" t="s">
        <v>74</v>
      </c>
      <c r="AR359" t="s">
        <v>6873</v>
      </c>
      <c r="AS359" t="s">
        <v>6874</v>
      </c>
      <c r="AT359" t="s">
        <v>74</v>
      </c>
      <c r="AU359">
        <v>2013</v>
      </c>
      <c r="AV359">
        <v>9</v>
      </c>
      <c r="AW359">
        <v>2</v>
      </c>
      <c r="AX359" t="s">
        <v>74</v>
      </c>
      <c r="AY359" t="s">
        <v>74</v>
      </c>
      <c r="AZ359" t="s">
        <v>74</v>
      </c>
      <c r="BA359" t="s">
        <v>74</v>
      </c>
      <c r="BB359">
        <v>461</v>
      </c>
      <c r="BC359">
        <v>476</v>
      </c>
      <c r="BD359" t="s">
        <v>74</v>
      </c>
      <c r="BE359" t="s">
        <v>6875</v>
      </c>
      <c r="BF359" t="str">
        <f>HYPERLINK("http://dx.doi.org/10.5194/os-9-461-2013","http://dx.doi.org/10.5194/os-9-461-2013")</f>
        <v>http://dx.doi.org/10.5194/os-9-461-2013</v>
      </c>
      <c r="BG359" t="s">
        <v>74</v>
      </c>
      <c r="BH359" t="s">
        <v>74</v>
      </c>
      <c r="BI359">
        <v>16</v>
      </c>
      <c r="BJ359" t="s">
        <v>617</v>
      </c>
      <c r="BK359" t="s">
        <v>102</v>
      </c>
      <c r="BL359" t="s">
        <v>617</v>
      </c>
      <c r="BM359" t="s">
        <v>6876</v>
      </c>
      <c r="BN359" t="s">
        <v>74</v>
      </c>
      <c r="BO359" t="s">
        <v>4621</v>
      </c>
      <c r="BP359" t="s">
        <v>74</v>
      </c>
      <c r="BQ359" t="s">
        <v>74</v>
      </c>
      <c r="BR359" t="s">
        <v>105</v>
      </c>
      <c r="BS359" t="s">
        <v>6877</v>
      </c>
      <c r="BT359" t="str">
        <f>HYPERLINK("https%3A%2F%2Fwww.webofscience.com%2Fwos%2Fwoscc%2Ffull-record%2FWOS:000320348700017","View Full Record in Web of Science")</f>
        <v>View Full Record in Web of Science</v>
      </c>
    </row>
    <row r="360" spans="1:72" x14ac:dyDescent="0.15">
      <c r="A360" t="s">
        <v>72</v>
      </c>
      <c r="B360" t="s">
        <v>6878</v>
      </c>
      <c r="C360" t="s">
        <v>74</v>
      </c>
      <c r="D360" t="s">
        <v>74</v>
      </c>
      <c r="E360" t="s">
        <v>74</v>
      </c>
      <c r="F360" t="s">
        <v>6879</v>
      </c>
      <c r="G360" t="s">
        <v>74</v>
      </c>
      <c r="H360" t="s">
        <v>74</v>
      </c>
      <c r="I360" t="s">
        <v>6880</v>
      </c>
      <c r="J360" t="s">
        <v>4814</v>
      </c>
      <c r="K360" t="s">
        <v>74</v>
      </c>
      <c r="L360" t="s">
        <v>74</v>
      </c>
      <c r="M360" t="s">
        <v>78</v>
      </c>
      <c r="N360" t="s">
        <v>79</v>
      </c>
      <c r="O360" t="s">
        <v>74</v>
      </c>
      <c r="P360" t="s">
        <v>74</v>
      </c>
      <c r="Q360" t="s">
        <v>74</v>
      </c>
      <c r="R360" t="s">
        <v>74</v>
      </c>
      <c r="S360" t="s">
        <v>74</v>
      </c>
      <c r="T360" t="s">
        <v>6881</v>
      </c>
      <c r="U360" t="s">
        <v>6882</v>
      </c>
      <c r="V360" t="s">
        <v>6883</v>
      </c>
      <c r="W360" t="s">
        <v>6884</v>
      </c>
      <c r="X360" t="s">
        <v>6885</v>
      </c>
      <c r="Y360" t="s">
        <v>6886</v>
      </c>
      <c r="Z360" t="s">
        <v>6887</v>
      </c>
      <c r="AA360" t="s">
        <v>6888</v>
      </c>
      <c r="AB360" t="s">
        <v>6889</v>
      </c>
      <c r="AC360" t="s">
        <v>6890</v>
      </c>
      <c r="AD360" t="s">
        <v>5448</v>
      </c>
      <c r="AE360" t="s">
        <v>6891</v>
      </c>
      <c r="AF360" t="s">
        <v>74</v>
      </c>
      <c r="AG360">
        <v>42</v>
      </c>
      <c r="AH360">
        <v>13</v>
      </c>
      <c r="AI360">
        <v>16</v>
      </c>
      <c r="AJ360">
        <v>0</v>
      </c>
      <c r="AK360">
        <v>3</v>
      </c>
      <c r="AL360" t="s">
        <v>4887</v>
      </c>
      <c r="AM360" t="s">
        <v>4317</v>
      </c>
      <c r="AN360" t="s">
        <v>4888</v>
      </c>
      <c r="AO360" t="s">
        <v>4830</v>
      </c>
      <c r="AP360" t="s">
        <v>74</v>
      </c>
      <c r="AQ360" t="s">
        <v>74</v>
      </c>
      <c r="AR360" t="s">
        <v>4832</v>
      </c>
      <c r="AS360" t="s">
        <v>4833</v>
      </c>
      <c r="AT360" t="s">
        <v>74</v>
      </c>
      <c r="AU360">
        <v>2013</v>
      </c>
      <c r="AV360">
        <v>34</v>
      </c>
      <c r="AW360">
        <v>2</v>
      </c>
      <c r="AX360" t="s">
        <v>74</v>
      </c>
      <c r="AY360" t="s">
        <v>74</v>
      </c>
      <c r="AZ360" t="s">
        <v>74</v>
      </c>
      <c r="BA360" t="s">
        <v>74</v>
      </c>
      <c r="BB360">
        <v>169</v>
      </c>
      <c r="BC360">
        <v>200</v>
      </c>
      <c r="BD360" t="s">
        <v>74</v>
      </c>
      <c r="BE360" t="s">
        <v>6892</v>
      </c>
      <c r="BF360" t="str">
        <f>HYPERLINK("http://dx.doi.org/10.2478/popore-2013-0012","http://dx.doi.org/10.2478/popore-2013-0012")</f>
        <v>http://dx.doi.org/10.2478/popore-2013-0012</v>
      </c>
      <c r="BG360" t="s">
        <v>74</v>
      </c>
      <c r="BH360" t="s">
        <v>74</v>
      </c>
      <c r="BI360">
        <v>32</v>
      </c>
      <c r="BJ360" t="s">
        <v>4835</v>
      </c>
      <c r="BK360" t="s">
        <v>102</v>
      </c>
      <c r="BL360" t="s">
        <v>4836</v>
      </c>
      <c r="BM360" t="s">
        <v>6893</v>
      </c>
      <c r="BN360" t="s">
        <v>74</v>
      </c>
      <c r="BO360" t="s">
        <v>74</v>
      </c>
      <c r="BP360" t="s">
        <v>74</v>
      </c>
      <c r="BQ360" t="s">
        <v>74</v>
      </c>
      <c r="BR360" t="s">
        <v>105</v>
      </c>
      <c r="BS360" t="s">
        <v>6894</v>
      </c>
      <c r="BT360" t="str">
        <f>HYPERLINK("https%3A%2F%2Fwww.webofscience.com%2Fwos%2Fwoscc%2Ffull-record%2FWOS:000320635500004","View Full Record in Web of Science")</f>
        <v>View Full Record in Web of Science</v>
      </c>
    </row>
    <row r="361" spans="1:72" x14ac:dyDescent="0.15">
      <c r="A361" t="s">
        <v>72</v>
      </c>
      <c r="B361" t="s">
        <v>6895</v>
      </c>
      <c r="C361" t="s">
        <v>74</v>
      </c>
      <c r="D361" t="s">
        <v>74</v>
      </c>
      <c r="E361" t="s">
        <v>74</v>
      </c>
      <c r="F361" t="s">
        <v>6896</v>
      </c>
      <c r="G361" t="s">
        <v>74</v>
      </c>
      <c r="H361" t="s">
        <v>74</v>
      </c>
      <c r="I361" t="s">
        <v>6897</v>
      </c>
      <c r="J361" t="s">
        <v>6898</v>
      </c>
      <c r="K361" t="s">
        <v>74</v>
      </c>
      <c r="L361" t="s">
        <v>74</v>
      </c>
      <c r="M361" t="s">
        <v>78</v>
      </c>
      <c r="N361" t="s">
        <v>79</v>
      </c>
      <c r="O361" t="s">
        <v>74</v>
      </c>
      <c r="P361" t="s">
        <v>74</v>
      </c>
      <c r="Q361" t="s">
        <v>74</v>
      </c>
      <c r="R361" t="s">
        <v>74</v>
      </c>
      <c r="S361" t="s">
        <v>74</v>
      </c>
      <c r="T361" t="s">
        <v>6899</v>
      </c>
      <c r="U361" t="s">
        <v>6900</v>
      </c>
      <c r="V361" t="s">
        <v>6901</v>
      </c>
      <c r="W361" t="s">
        <v>6902</v>
      </c>
      <c r="X361" t="s">
        <v>6903</v>
      </c>
      <c r="Y361" t="s">
        <v>6904</v>
      </c>
      <c r="Z361" t="s">
        <v>6905</v>
      </c>
      <c r="AA361" t="s">
        <v>6906</v>
      </c>
      <c r="AB361" t="s">
        <v>6907</v>
      </c>
      <c r="AC361" t="s">
        <v>6908</v>
      </c>
      <c r="AD361" t="s">
        <v>6908</v>
      </c>
      <c r="AE361" t="s">
        <v>6909</v>
      </c>
      <c r="AF361" t="s">
        <v>74</v>
      </c>
      <c r="AG361">
        <v>52</v>
      </c>
      <c r="AH361">
        <v>6</v>
      </c>
      <c r="AI361">
        <v>6</v>
      </c>
      <c r="AJ361">
        <v>0</v>
      </c>
      <c r="AK361">
        <v>46</v>
      </c>
      <c r="AL361" t="s">
        <v>5541</v>
      </c>
      <c r="AM361" t="s">
        <v>6910</v>
      </c>
      <c r="AN361" t="s">
        <v>6911</v>
      </c>
      <c r="AO361" t="s">
        <v>6912</v>
      </c>
      <c r="AP361" t="s">
        <v>6913</v>
      </c>
      <c r="AQ361" t="s">
        <v>74</v>
      </c>
      <c r="AR361" t="s">
        <v>6914</v>
      </c>
      <c r="AS361" t="s">
        <v>6915</v>
      </c>
      <c r="AT361" t="s">
        <v>74</v>
      </c>
      <c r="AU361">
        <v>2013</v>
      </c>
      <c r="AV361">
        <v>40</v>
      </c>
      <c r="AW361">
        <v>4</v>
      </c>
      <c r="AX361" t="s">
        <v>74</v>
      </c>
      <c r="AY361" t="s">
        <v>74</v>
      </c>
      <c r="AZ361" t="s">
        <v>74</v>
      </c>
      <c r="BA361" t="s">
        <v>74</v>
      </c>
      <c r="BB361">
        <v>303</v>
      </c>
      <c r="BC361">
        <v>311</v>
      </c>
      <c r="BD361" t="s">
        <v>74</v>
      </c>
      <c r="BE361" t="s">
        <v>6916</v>
      </c>
      <c r="BF361" t="str">
        <f>HYPERLINK("http://dx.doi.org/10.1071/WR12181","http://dx.doi.org/10.1071/WR12181")</f>
        <v>http://dx.doi.org/10.1071/WR12181</v>
      </c>
      <c r="BG361" t="s">
        <v>74</v>
      </c>
      <c r="BH361" t="s">
        <v>74</v>
      </c>
      <c r="BI361">
        <v>9</v>
      </c>
      <c r="BJ361" t="s">
        <v>6917</v>
      </c>
      <c r="BK361" t="s">
        <v>102</v>
      </c>
      <c r="BL361" t="s">
        <v>6918</v>
      </c>
      <c r="BM361" t="s">
        <v>6919</v>
      </c>
      <c r="BN361" t="s">
        <v>74</v>
      </c>
      <c r="BO361" t="s">
        <v>74</v>
      </c>
      <c r="BP361" t="s">
        <v>74</v>
      </c>
      <c r="BQ361" t="s">
        <v>74</v>
      </c>
      <c r="BR361" t="s">
        <v>105</v>
      </c>
      <c r="BS361" t="s">
        <v>6920</v>
      </c>
      <c r="BT361" t="str">
        <f>HYPERLINK("https%3A%2F%2Fwww.webofscience.com%2Fwos%2Fwoscc%2Ffull-record%2FWOS:000320930900006","View Full Record in Web of Science")</f>
        <v>View Full Record in Web of Science</v>
      </c>
    </row>
    <row r="362" spans="1:72" x14ac:dyDescent="0.15">
      <c r="A362" t="s">
        <v>72</v>
      </c>
      <c r="B362" t="s">
        <v>6921</v>
      </c>
      <c r="C362" t="s">
        <v>74</v>
      </c>
      <c r="D362" t="s">
        <v>74</v>
      </c>
      <c r="E362" t="s">
        <v>74</v>
      </c>
      <c r="F362" t="s">
        <v>6922</v>
      </c>
      <c r="G362" t="s">
        <v>74</v>
      </c>
      <c r="H362" t="s">
        <v>74</v>
      </c>
      <c r="I362" t="s">
        <v>6923</v>
      </c>
      <c r="J362" t="s">
        <v>6924</v>
      </c>
      <c r="K362" t="s">
        <v>74</v>
      </c>
      <c r="L362" t="s">
        <v>74</v>
      </c>
      <c r="M362" t="s">
        <v>78</v>
      </c>
      <c r="N362" t="s">
        <v>79</v>
      </c>
      <c r="O362" t="s">
        <v>74</v>
      </c>
      <c r="P362" t="s">
        <v>74</v>
      </c>
      <c r="Q362" t="s">
        <v>74</v>
      </c>
      <c r="R362" t="s">
        <v>74</v>
      </c>
      <c r="S362" t="s">
        <v>74</v>
      </c>
      <c r="T362" t="s">
        <v>74</v>
      </c>
      <c r="U362" t="s">
        <v>74</v>
      </c>
      <c r="V362" t="s">
        <v>6925</v>
      </c>
      <c r="W362" t="s">
        <v>6926</v>
      </c>
      <c r="X362" t="s">
        <v>6927</v>
      </c>
      <c r="Y362" t="s">
        <v>6928</v>
      </c>
      <c r="Z362" t="s">
        <v>74</v>
      </c>
      <c r="AA362" t="s">
        <v>74</v>
      </c>
      <c r="AB362" t="s">
        <v>74</v>
      </c>
      <c r="AC362" t="s">
        <v>6929</v>
      </c>
      <c r="AD362" t="s">
        <v>6930</v>
      </c>
      <c r="AE362" t="s">
        <v>6931</v>
      </c>
      <c r="AF362" t="s">
        <v>74</v>
      </c>
      <c r="AG362">
        <v>11</v>
      </c>
      <c r="AH362">
        <v>0</v>
      </c>
      <c r="AI362">
        <v>0</v>
      </c>
      <c r="AJ362">
        <v>1</v>
      </c>
      <c r="AK362">
        <v>14</v>
      </c>
      <c r="AL362" t="s">
        <v>6932</v>
      </c>
      <c r="AM362" t="s">
        <v>6805</v>
      </c>
      <c r="AN362" t="s">
        <v>6933</v>
      </c>
      <c r="AO362" t="s">
        <v>6934</v>
      </c>
      <c r="AP362" t="s">
        <v>74</v>
      </c>
      <c r="AQ362" t="s">
        <v>74</v>
      </c>
      <c r="AR362" t="s">
        <v>6935</v>
      </c>
      <c r="AS362" t="s">
        <v>6936</v>
      </c>
      <c r="AT362" t="s">
        <v>74</v>
      </c>
      <c r="AU362">
        <v>2013</v>
      </c>
      <c r="AV362">
        <v>55</v>
      </c>
      <c r="AW362">
        <v>6</v>
      </c>
      <c r="AX362" t="s">
        <v>74</v>
      </c>
      <c r="AY362" t="s">
        <v>74</v>
      </c>
      <c r="AZ362" t="s">
        <v>74</v>
      </c>
      <c r="BA362" t="s">
        <v>74</v>
      </c>
      <c r="BB362">
        <v>478</v>
      </c>
      <c r="BC362">
        <v>482</v>
      </c>
      <c r="BD362" t="s">
        <v>74</v>
      </c>
      <c r="BE362" t="s">
        <v>74</v>
      </c>
      <c r="BF362" t="s">
        <v>74</v>
      </c>
      <c r="BG362" t="s">
        <v>74</v>
      </c>
      <c r="BH362" t="s">
        <v>74</v>
      </c>
      <c r="BI362">
        <v>5</v>
      </c>
      <c r="BJ362" t="s">
        <v>6937</v>
      </c>
      <c r="BK362" t="s">
        <v>102</v>
      </c>
      <c r="BL362" t="s">
        <v>6938</v>
      </c>
      <c r="BM362" t="s">
        <v>6939</v>
      </c>
      <c r="BN362" t="s">
        <v>74</v>
      </c>
      <c r="BO362" t="s">
        <v>74</v>
      </c>
      <c r="BP362" t="s">
        <v>74</v>
      </c>
      <c r="BQ362" t="s">
        <v>74</v>
      </c>
      <c r="BR362" t="s">
        <v>105</v>
      </c>
      <c r="BS362" t="s">
        <v>6940</v>
      </c>
      <c r="BT362" t="str">
        <f>HYPERLINK("https%3A%2F%2Fwww.webofscience.com%2Fwos%2Fwoscc%2Ffull-record%2FWOS:000320151700009","View Full Record in Web of Science")</f>
        <v>View Full Record in Web of Science</v>
      </c>
    </row>
    <row r="363" spans="1:72" x14ac:dyDescent="0.15">
      <c r="A363" t="s">
        <v>72</v>
      </c>
      <c r="B363" t="s">
        <v>6941</v>
      </c>
      <c r="C363" t="s">
        <v>74</v>
      </c>
      <c r="D363" t="s">
        <v>74</v>
      </c>
      <c r="E363" t="s">
        <v>74</v>
      </c>
      <c r="F363" t="s">
        <v>6942</v>
      </c>
      <c r="G363" t="s">
        <v>74</v>
      </c>
      <c r="H363" t="s">
        <v>74</v>
      </c>
      <c r="I363" t="s">
        <v>6943</v>
      </c>
      <c r="J363" t="s">
        <v>4521</v>
      </c>
      <c r="K363" t="s">
        <v>74</v>
      </c>
      <c r="L363" t="s">
        <v>74</v>
      </c>
      <c r="M363" t="s">
        <v>78</v>
      </c>
      <c r="N363" t="s">
        <v>79</v>
      </c>
      <c r="O363" t="s">
        <v>74</v>
      </c>
      <c r="P363" t="s">
        <v>74</v>
      </c>
      <c r="Q363" t="s">
        <v>74</v>
      </c>
      <c r="R363" t="s">
        <v>74</v>
      </c>
      <c r="S363" t="s">
        <v>74</v>
      </c>
      <c r="T363" t="s">
        <v>74</v>
      </c>
      <c r="U363" t="s">
        <v>6944</v>
      </c>
      <c r="V363" t="s">
        <v>6945</v>
      </c>
      <c r="W363" t="s">
        <v>6946</v>
      </c>
      <c r="X363" t="s">
        <v>6947</v>
      </c>
      <c r="Y363" t="s">
        <v>6948</v>
      </c>
      <c r="Z363" t="s">
        <v>6949</v>
      </c>
      <c r="AA363" t="s">
        <v>6950</v>
      </c>
      <c r="AB363" t="s">
        <v>6951</v>
      </c>
      <c r="AC363" t="s">
        <v>6952</v>
      </c>
      <c r="AD363" t="s">
        <v>6953</v>
      </c>
      <c r="AE363" t="s">
        <v>6954</v>
      </c>
      <c r="AF363" t="s">
        <v>74</v>
      </c>
      <c r="AG363">
        <v>31</v>
      </c>
      <c r="AH363">
        <v>31</v>
      </c>
      <c r="AI363">
        <v>33</v>
      </c>
      <c r="AJ363">
        <v>1</v>
      </c>
      <c r="AK363">
        <v>30</v>
      </c>
      <c r="AL363" t="s">
        <v>4248</v>
      </c>
      <c r="AM363" t="s">
        <v>4249</v>
      </c>
      <c r="AN363" t="s">
        <v>4250</v>
      </c>
      <c r="AO363" t="s">
        <v>4533</v>
      </c>
      <c r="AP363" t="s">
        <v>4534</v>
      </c>
      <c r="AQ363" t="s">
        <v>74</v>
      </c>
      <c r="AR363" t="s">
        <v>4535</v>
      </c>
      <c r="AS363" t="s">
        <v>4536</v>
      </c>
      <c r="AT363" t="s">
        <v>74</v>
      </c>
      <c r="AU363">
        <v>2013</v>
      </c>
      <c r="AV363">
        <v>13</v>
      </c>
      <c r="AW363">
        <v>10</v>
      </c>
      <c r="AX363" t="s">
        <v>74</v>
      </c>
      <c r="AY363" t="s">
        <v>74</v>
      </c>
      <c r="AZ363" t="s">
        <v>74</v>
      </c>
      <c r="BA363" t="s">
        <v>74</v>
      </c>
      <c r="BB363">
        <v>5299</v>
      </c>
      <c r="BC363">
        <v>5308</v>
      </c>
      <c r="BD363" t="s">
        <v>74</v>
      </c>
      <c r="BE363" t="s">
        <v>6955</v>
      </c>
      <c r="BF363" t="str">
        <f>HYPERLINK("http://dx.doi.org/10.5194/acp-13-5299-2013","http://dx.doi.org/10.5194/acp-13-5299-2013")</f>
        <v>http://dx.doi.org/10.5194/acp-13-5299-2013</v>
      </c>
      <c r="BG363" t="s">
        <v>74</v>
      </c>
      <c r="BH363" t="s">
        <v>74</v>
      </c>
      <c r="BI363">
        <v>10</v>
      </c>
      <c r="BJ363" t="s">
        <v>1627</v>
      </c>
      <c r="BK363" t="s">
        <v>102</v>
      </c>
      <c r="BL363" t="s">
        <v>1628</v>
      </c>
      <c r="BM363" t="s">
        <v>6956</v>
      </c>
      <c r="BN363" t="s">
        <v>74</v>
      </c>
      <c r="BO363" t="s">
        <v>5017</v>
      </c>
      <c r="BP363" t="s">
        <v>74</v>
      </c>
      <c r="BQ363" t="s">
        <v>74</v>
      </c>
      <c r="BR363" t="s">
        <v>105</v>
      </c>
      <c r="BS363" t="s">
        <v>6957</v>
      </c>
      <c r="BT363" t="str">
        <f>HYPERLINK("https%3A%2F%2Fwww.webofscience.com%2Fwos%2Fwoscc%2Ffull-record%2FWOS:000319749400015","View Full Record in Web of Science")</f>
        <v>View Full Record in Web of Science</v>
      </c>
    </row>
    <row r="364" spans="1:72" x14ac:dyDescent="0.15">
      <c r="A364" t="s">
        <v>72</v>
      </c>
      <c r="B364" t="s">
        <v>6958</v>
      </c>
      <c r="C364" t="s">
        <v>74</v>
      </c>
      <c r="D364" t="s">
        <v>74</v>
      </c>
      <c r="E364" t="s">
        <v>74</v>
      </c>
      <c r="F364" t="s">
        <v>6959</v>
      </c>
      <c r="G364" t="s">
        <v>74</v>
      </c>
      <c r="H364" t="s">
        <v>74</v>
      </c>
      <c r="I364" t="s">
        <v>6960</v>
      </c>
      <c r="J364" t="s">
        <v>4472</v>
      </c>
      <c r="K364" t="s">
        <v>74</v>
      </c>
      <c r="L364" t="s">
        <v>74</v>
      </c>
      <c r="M364" t="s">
        <v>78</v>
      </c>
      <c r="N364" t="s">
        <v>79</v>
      </c>
      <c r="O364" t="s">
        <v>74</v>
      </c>
      <c r="P364" t="s">
        <v>74</v>
      </c>
      <c r="Q364" t="s">
        <v>74</v>
      </c>
      <c r="R364" t="s">
        <v>74</v>
      </c>
      <c r="S364" t="s">
        <v>74</v>
      </c>
      <c r="T364" t="s">
        <v>74</v>
      </c>
      <c r="U364" t="s">
        <v>6961</v>
      </c>
      <c r="V364" t="s">
        <v>6962</v>
      </c>
      <c r="W364" t="s">
        <v>6963</v>
      </c>
      <c r="X364" t="s">
        <v>6964</v>
      </c>
      <c r="Y364" t="s">
        <v>6965</v>
      </c>
      <c r="Z364" t="s">
        <v>6966</v>
      </c>
      <c r="AA364" t="s">
        <v>6967</v>
      </c>
      <c r="AB364" t="s">
        <v>6968</v>
      </c>
      <c r="AC364" t="s">
        <v>6969</v>
      </c>
      <c r="AD364" t="s">
        <v>6970</v>
      </c>
      <c r="AE364" t="s">
        <v>6971</v>
      </c>
      <c r="AF364" t="s">
        <v>74</v>
      </c>
      <c r="AG364">
        <v>22</v>
      </c>
      <c r="AH364">
        <v>3</v>
      </c>
      <c r="AI364">
        <v>6</v>
      </c>
      <c r="AJ364">
        <v>0</v>
      </c>
      <c r="AK364">
        <v>51</v>
      </c>
      <c r="AL364" t="s">
        <v>816</v>
      </c>
      <c r="AM364" t="s">
        <v>2038</v>
      </c>
      <c r="AN364" t="s">
        <v>4484</v>
      </c>
      <c r="AO364" t="s">
        <v>4485</v>
      </c>
      <c r="AP364" t="s">
        <v>4486</v>
      </c>
      <c r="AQ364" t="s">
        <v>74</v>
      </c>
      <c r="AR364" t="s">
        <v>4487</v>
      </c>
      <c r="AS364" t="s">
        <v>4488</v>
      </c>
      <c r="AT364" t="s">
        <v>74</v>
      </c>
      <c r="AU364">
        <v>2013</v>
      </c>
      <c r="AV364">
        <v>59</v>
      </c>
      <c r="AW364">
        <v>214</v>
      </c>
      <c r="AX364" t="s">
        <v>74</v>
      </c>
      <c r="AY364" t="s">
        <v>74</v>
      </c>
      <c r="AZ364" t="s">
        <v>74</v>
      </c>
      <c r="BA364" t="s">
        <v>74</v>
      </c>
      <c r="BB364">
        <v>225</v>
      </c>
      <c r="BC364">
        <v>232</v>
      </c>
      <c r="BD364" t="s">
        <v>74</v>
      </c>
      <c r="BE364" t="s">
        <v>6972</v>
      </c>
      <c r="BF364" t="str">
        <f>HYPERLINK("http://dx.doi.org/10.3189/2013JoG12J061","http://dx.doi.org/10.3189/2013JoG12J061")</f>
        <v>http://dx.doi.org/10.3189/2013JoG12J061</v>
      </c>
      <c r="BG364" t="s">
        <v>74</v>
      </c>
      <c r="BH364" t="s">
        <v>74</v>
      </c>
      <c r="BI364">
        <v>8</v>
      </c>
      <c r="BJ364" t="s">
        <v>2261</v>
      </c>
      <c r="BK364" t="s">
        <v>102</v>
      </c>
      <c r="BL364" t="s">
        <v>2262</v>
      </c>
      <c r="BM364" t="s">
        <v>6973</v>
      </c>
      <c r="BN364" t="s">
        <v>74</v>
      </c>
      <c r="BO364" t="s">
        <v>128</v>
      </c>
      <c r="BP364" t="s">
        <v>74</v>
      </c>
      <c r="BQ364" t="s">
        <v>74</v>
      </c>
      <c r="BR364" t="s">
        <v>105</v>
      </c>
      <c r="BS364" t="s">
        <v>6974</v>
      </c>
      <c r="BT364" t="str">
        <f>HYPERLINK("https%3A%2F%2Fwww.webofscience.com%2Fwos%2Fwoscc%2Ffull-record%2FWOS:000319716100002","View Full Record in Web of Science")</f>
        <v>View Full Record in Web of Science</v>
      </c>
    </row>
    <row r="365" spans="1:72" x14ac:dyDescent="0.15">
      <c r="A365" t="s">
        <v>72</v>
      </c>
      <c r="B365" t="s">
        <v>6975</v>
      </c>
      <c r="C365" t="s">
        <v>74</v>
      </c>
      <c r="D365" t="s">
        <v>74</v>
      </c>
      <c r="E365" t="s">
        <v>74</v>
      </c>
      <c r="F365" t="s">
        <v>6976</v>
      </c>
      <c r="G365" t="s">
        <v>74</v>
      </c>
      <c r="H365" t="s">
        <v>74</v>
      </c>
      <c r="I365" t="s">
        <v>6977</v>
      </c>
      <c r="J365" t="s">
        <v>4472</v>
      </c>
      <c r="K365" t="s">
        <v>74</v>
      </c>
      <c r="L365" t="s">
        <v>74</v>
      </c>
      <c r="M365" t="s">
        <v>78</v>
      </c>
      <c r="N365" t="s">
        <v>79</v>
      </c>
      <c r="O365" t="s">
        <v>74</v>
      </c>
      <c r="P365" t="s">
        <v>74</v>
      </c>
      <c r="Q365" t="s">
        <v>74</v>
      </c>
      <c r="R365" t="s">
        <v>74</v>
      </c>
      <c r="S365" t="s">
        <v>74</v>
      </c>
      <c r="T365" t="s">
        <v>74</v>
      </c>
      <c r="U365" t="s">
        <v>6978</v>
      </c>
      <c r="V365" t="s">
        <v>6979</v>
      </c>
      <c r="W365" t="s">
        <v>6980</v>
      </c>
      <c r="X365" t="s">
        <v>6981</v>
      </c>
      <c r="Y365" t="s">
        <v>6982</v>
      </c>
      <c r="Z365" t="s">
        <v>6983</v>
      </c>
      <c r="AA365" t="s">
        <v>74</v>
      </c>
      <c r="AB365" t="s">
        <v>699</v>
      </c>
      <c r="AC365" t="s">
        <v>6984</v>
      </c>
      <c r="AD365" t="s">
        <v>6985</v>
      </c>
      <c r="AE365" t="s">
        <v>6986</v>
      </c>
      <c r="AF365" t="s">
        <v>74</v>
      </c>
      <c r="AG365">
        <v>47</v>
      </c>
      <c r="AH365">
        <v>82</v>
      </c>
      <c r="AI365">
        <v>101</v>
      </c>
      <c r="AJ365">
        <v>1</v>
      </c>
      <c r="AK365">
        <v>30</v>
      </c>
      <c r="AL365" t="s">
        <v>816</v>
      </c>
      <c r="AM365" t="s">
        <v>2038</v>
      </c>
      <c r="AN365" t="s">
        <v>4484</v>
      </c>
      <c r="AO365" t="s">
        <v>4485</v>
      </c>
      <c r="AP365" t="s">
        <v>4486</v>
      </c>
      <c r="AQ365" t="s">
        <v>74</v>
      </c>
      <c r="AR365" t="s">
        <v>4487</v>
      </c>
      <c r="AS365" t="s">
        <v>4488</v>
      </c>
      <c r="AT365" t="s">
        <v>74</v>
      </c>
      <c r="AU365">
        <v>2013</v>
      </c>
      <c r="AV365">
        <v>59</v>
      </c>
      <c r="AW365">
        <v>214</v>
      </c>
      <c r="AX365" t="s">
        <v>74</v>
      </c>
      <c r="AY365" t="s">
        <v>74</v>
      </c>
      <c r="AZ365" t="s">
        <v>74</v>
      </c>
      <c r="BA365" t="s">
        <v>74</v>
      </c>
      <c r="BB365">
        <v>244</v>
      </c>
      <c r="BC365">
        <v>254</v>
      </c>
      <c r="BD365" t="s">
        <v>74</v>
      </c>
      <c r="BE365" t="s">
        <v>6987</v>
      </c>
      <c r="BF365" t="str">
        <f>HYPERLINK("http://dx.doi.org/10.3189/2013JoG12J128","http://dx.doi.org/10.3189/2013JoG12J128")</f>
        <v>http://dx.doi.org/10.3189/2013JoG12J128</v>
      </c>
      <c r="BG365" t="s">
        <v>74</v>
      </c>
      <c r="BH365" t="s">
        <v>74</v>
      </c>
      <c r="BI365">
        <v>11</v>
      </c>
      <c r="BJ365" t="s">
        <v>2261</v>
      </c>
      <c r="BK365" t="s">
        <v>102</v>
      </c>
      <c r="BL365" t="s">
        <v>2262</v>
      </c>
      <c r="BM365" t="s">
        <v>6973</v>
      </c>
      <c r="BN365" t="s">
        <v>74</v>
      </c>
      <c r="BO365" t="s">
        <v>1427</v>
      </c>
      <c r="BP365" t="s">
        <v>74</v>
      </c>
      <c r="BQ365" t="s">
        <v>74</v>
      </c>
      <c r="BR365" t="s">
        <v>105</v>
      </c>
      <c r="BS365" t="s">
        <v>6988</v>
      </c>
      <c r="BT365" t="str">
        <f>HYPERLINK("https%3A%2F%2Fwww.webofscience.com%2Fwos%2Fwoscc%2Ffull-record%2FWOS:000319716100004","View Full Record in Web of Science")</f>
        <v>View Full Record in Web of Science</v>
      </c>
    </row>
    <row r="366" spans="1:72" x14ac:dyDescent="0.15">
      <c r="A366" t="s">
        <v>72</v>
      </c>
      <c r="B366" t="s">
        <v>6989</v>
      </c>
      <c r="C366" t="s">
        <v>74</v>
      </c>
      <c r="D366" t="s">
        <v>74</v>
      </c>
      <c r="E366" t="s">
        <v>74</v>
      </c>
      <c r="F366" t="s">
        <v>6990</v>
      </c>
      <c r="G366" t="s">
        <v>74</v>
      </c>
      <c r="H366" t="s">
        <v>74</v>
      </c>
      <c r="I366" t="s">
        <v>6991</v>
      </c>
      <c r="J366" t="s">
        <v>4472</v>
      </c>
      <c r="K366" t="s">
        <v>74</v>
      </c>
      <c r="L366" t="s">
        <v>74</v>
      </c>
      <c r="M366" t="s">
        <v>78</v>
      </c>
      <c r="N366" t="s">
        <v>79</v>
      </c>
      <c r="O366" t="s">
        <v>74</v>
      </c>
      <c r="P366" t="s">
        <v>74</v>
      </c>
      <c r="Q366" t="s">
        <v>74</v>
      </c>
      <c r="R366" t="s">
        <v>74</v>
      </c>
      <c r="S366" t="s">
        <v>74</v>
      </c>
      <c r="T366" t="s">
        <v>74</v>
      </c>
      <c r="U366" t="s">
        <v>6992</v>
      </c>
      <c r="V366" t="s">
        <v>6993</v>
      </c>
      <c r="W366" t="s">
        <v>6994</v>
      </c>
      <c r="X366" t="s">
        <v>6995</v>
      </c>
      <c r="Y366" t="s">
        <v>6996</v>
      </c>
      <c r="Z366" t="s">
        <v>6997</v>
      </c>
      <c r="AA366" t="s">
        <v>6998</v>
      </c>
      <c r="AB366" t="s">
        <v>6999</v>
      </c>
      <c r="AC366" t="s">
        <v>7000</v>
      </c>
      <c r="AD366" t="s">
        <v>7001</v>
      </c>
      <c r="AE366" t="s">
        <v>7002</v>
      </c>
      <c r="AF366" t="s">
        <v>74</v>
      </c>
      <c r="AG366">
        <v>50</v>
      </c>
      <c r="AH366">
        <v>36</v>
      </c>
      <c r="AI366">
        <v>38</v>
      </c>
      <c r="AJ366">
        <v>0</v>
      </c>
      <c r="AK366">
        <v>17</v>
      </c>
      <c r="AL366" t="s">
        <v>816</v>
      </c>
      <c r="AM366" t="s">
        <v>2038</v>
      </c>
      <c r="AN366" t="s">
        <v>4484</v>
      </c>
      <c r="AO366" t="s">
        <v>4485</v>
      </c>
      <c r="AP366" t="s">
        <v>4486</v>
      </c>
      <c r="AQ366" t="s">
        <v>74</v>
      </c>
      <c r="AR366" t="s">
        <v>4487</v>
      </c>
      <c r="AS366" t="s">
        <v>4488</v>
      </c>
      <c r="AT366" t="s">
        <v>74</v>
      </c>
      <c r="AU366">
        <v>2013</v>
      </c>
      <c r="AV366">
        <v>59</v>
      </c>
      <c r="AW366">
        <v>214</v>
      </c>
      <c r="AX366" t="s">
        <v>74</v>
      </c>
      <c r="AY366" t="s">
        <v>74</v>
      </c>
      <c r="AZ366" t="s">
        <v>74</v>
      </c>
      <c r="BA366" t="s">
        <v>74</v>
      </c>
      <c r="BB366">
        <v>374</v>
      </c>
      <c r="BC366">
        <v>392</v>
      </c>
      <c r="BD366" t="s">
        <v>74</v>
      </c>
      <c r="BE366" t="s">
        <v>7003</v>
      </c>
      <c r="BF366" t="str">
        <f>HYPERLINK("http://dx.doi.org/10.3189/2013JoG12J106","http://dx.doi.org/10.3189/2013JoG12J106")</f>
        <v>http://dx.doi.org/10.3189/2013JoG12J106</v>
      </c>
      <c r="BG366" t="s">
        <v>74</v>
      </c>
      <c r="BH366" t="s">
        <v>74</v>
      </c>
      <c r="BI366">
        <v>19</v>
      </c>
      <c r="BJ366" t="s">
        <v>2261</v>
      </c>
      <c r="BK366" t="s">
        <v>102</v>
      </c>
      <c r="BL366" t="s">
        <v>2262</v>
      </c>
      <c r="BM366" t="s">
        <v>6973</v>
      </c>
      <c r="BN366" t="s">
        <v>74</v>
      </c>
      <c r="BO366" t="s">
        <v>128</v>
      </c>
      <c r="BP366" t="s">
        <v>74</v>
      </c>
      <c r="BQ366" t="s">
        <v>74</v>
      </c>
      <c r="BR366" t="s">
        <v>105</v>
      </c>
      <c r="BS366" t="s">
        <v>7004</v>
      </c>
      <c r="BT366" t="str">
        <f>HYPERLINK("https%3A%2F%2Fwww.webofscience.com%2Fwos%2Fwoscc%2Ffull-record%2FWOS:000319716100014","View Full Record in Web of Science")</f>
        <v>View Full Record in Web of Science</v>
      </c>
    </row>
    <row r="367" spans="1:72" x14ac:dyDescent="0.15">
      <c r="A367" t="s">
        <v>72</v>
      </c>
      <c r="B367" t="s">
        <v>7005</v>
      </c>
      <c r="C367" t="s">
        <v>74</v>
      </c>
      <c r="D367" t="s">
        <v>74</v>
      </c>
      <c r="E367" t="s">
        <v>74</v>
      </c>
      <c r="F367" t="s">
        <v>7006</v>
      </c>
      <c r="G367" t="s">
        <v>74</v>
      </c>
      <c r="H367" t="s">
        <v>74</v>
      </c>
      <c r="I367" t="s">
        <v>7007</v>
      </c>
      <c r="J367" t="s">
        <v>7008</v>
      </c>
      <c r="K367" t="s">
        <v>74</v>
      </c>
      <c r="L367" t="s">
        <v>74</v>
      </c>
      <c r="M367" t="s">
        <v>78</v>
      </c>
      <c r="N367" t="s">
        <v>79</v>
      </c>
      <c r="O367" t="s">
        <v>74</v>
      </c>
      <c r="P367" t="s">
        <v>74</v>
      </c>
      <c r="Q367" t="s">
        <v>74</v>
      </c>
      <c r="R367" t="s">
        <v>74</v>
      </c>
      <c r="S367" t="s">
        <v>74</v>
      </c>
      <c r="T367" t="s">
        <v>74</v>
      </c>
      <c r="U367" t="s">
        <v>7009</v>
      </c>
      <c r="V367" t="s">
        <v>7010</v>
      </c>
      <c r="W367" t="s">
        <v>7011</v>
      </c>
      <c r="X367" t="s">
        <v>7012</v>
      </c>
      <c r="Y367" t="s">
        <v>7013</v>
      </c>
      <c r="Z367" t="s">
        <v>7014</v>
      </c>
      <c r="AA367" t="s">
        <v>7015</v>
      </c>
      <c r="AB367" t="s">
        <v>7016</v>
      </c>
      <c r="AC367" t="s">
        <v>7017</v>
      </c>
      <c r="AD367" t="s">
        <v>7018</v>
      </c>
      <c r="AE367" t="s">
        <v>7019</v>
      </c>
      <c r="AF367" t="s">
        <v>74</v>
      </c>
      <c r="AG367">
        <v>90</v>
      </c>
      <c r="AH367">
        <v>38</v>
      </c>
      <c r="AI367">
        <v>40</v>
      </c>
      <c r="AJ367">
        <v>0</v>
      </c>
      <c r="AK367">
        <v>8</v>
      </c>
      <c r="AL367" t="s">
        <v>7020</v>
      </c>
      <c r="AM367" t="s">
        <v>7021</v>
      </c>
      <c r="AN367" t="s">
        <v>7022</v>
      </c>
      <c r="AO367" t="s">
        <v>7023</v>
      </c>
      <c r="AP367" t="s">
        <v>7024</v>
      </c>
      <c r="AQ367" t="s">
        <v>74</v>
      </c>
      <c r="AR367" t="s">
        <v>7025</v>
      </c>
      <c r="AS367" t="s">
        <v>7026</v>
      </c>
      <c r="AT367" t="s">
        <v>74</v>
      </c>
      <c r="AU367">
        <v>2013</v>
      </c>
      <c r="AV367">
        <v>33</v>
      </c>
      <c r="AW367">
        <v>3</v>
      </c>
      <c r="AX367" t="s">
        <v>74</v>
      </c>
      <c r="AY367" t="s">
        <v>74</v>
      </c>
      <c r="AZ367" t="s">
        <v>74</v>
      </c>
      <c r="BA367" t="s">
        <v>74</v>
      </c>
      <c r="BB367">
        <v>655</v>
      </c>
      <c r="BC367">
        <v>676</v>
      </c>
      <c r="BD367" t="s">
        <v>74</v>
      </c>
      <c r="BE367" t="s">
        <v>7027</v>
      </c>
      <c r="BF367" t="str">
        <f>HYPERLINK("http://dx.doi.org/10.1080/02724634.2013.723551","http://dx.doi.org/10.1080/02724634.2013.723551")</f>
        <v>http://dx.doi.org/10.1080/02724634.2013.723551</v>
      </c>
      <c r="BG367" t="s">
        <v>74</v>
      </c>
      <c r="BH367" t="s">
        <v>74</v>
      </c>
      <c r="BI367">
        <v>22</v>
      </c>
      <c r="BJ367" t="s">
        <v>4346</v>
      </c>
      <c r="BK367" t="s">
        <v>102</v>
      </c>
      <c r="BL367" t="s">
        <v>4346</v>
      </c>
      <c r="BM367" t="s">
        <v>7028</v>
      </c>
      <c r="BN367" t="s">
        <v>74</v>
      </c>
      <c r="BO367" t="s">
        <v>74</v>
      </c>
      <c r="BP367" t="s">
        <v>74</v>
      </c>
      <c r="BQ367" t="s">
        <v>74</v>
      </c>
      <c r="BR367" t="s">
        <v>105</v>
      </c>
      <c r="BS367" t="s">
        <v>7029</v>
      </c>
      <c r="BT367" t="str">
        <f>HYPERLINK("https%3A%2F%2Fwww.webofscience.com%2Fwos%2Fwoscc%2Ffull-record%2FWOS:000319564800012","View Full Record in Web of Science")</f>
        <v>View Full Record in Web of Science</v>
      </c>
    </row>
    <row r="368" spans="1:72" x14ac:dyDescent="0.15">
      <c r="A368" t="s">
        <v>3224</v>
      </c>
      <c r="B368" t="s">
        <v>7030</v>
      </c>
      <c r="C368" t="s">
        <v>74</v>
      </c>
      <c r="D368" t="s">
        <v>7031</v>
      </c>
      <c r="E368" t="s">
        <v>74</v>
      </c>
      <c r="F368" t="s">
        <v>7032</v>
      </c>
      <c r="G368" t="s">
        <v>74</v>
      </c>
      <c r="H368" t="s">
        <v>74</v>
      </c>
      <c r="I368" t="s">
        <v>7033</v>
      </c>
      <c r="J368" t="s">
        <v>7034</v>
      </c>
      <c r="K368" t="s">
        <v>4212</v>
      </c>
      <c r="L368" t="s">
        <v>74</v>
      </c>
      <c r="M368" t="s">
        <v>78</v>
      </c>
      <c r="N368" t="s">
        <v>3231</v>
      </c>
      <c r="O368" t="s">
        <v>7035</v>
      </c>
      <c r="P368" t="s">
        <v>7036</v>
      </c>
      <c r="Q368" t="s">
        <v>7037</v>
      </c>
      <c r="R368" t="s">
        <v>74</v>
      </c>
      <c r="S368" t="s">
        <v>7038</v>
      </c>
      <c r="T368" t="s">
        <v>7039</v>
      </c>
      <c r="U368" t="s">
        <v>7040</v>
      </c>
      <c r="V368" t="s">
        <v>7041</v>
      </c>
      <c r="W368" t="s">
        <v>7042</v>
      </c>
      <c r="X368" t="s">
        <v>7043</v>
      </c>
      <c r="Y368" t="s">
        <v>7044</v>
      </c>
      <c r="Z368" t="s">
        <v>74</v>
      </c>
      <c r="AA368" t="s">
        <v>7045</v>
      </c>
      <c r="AB368" t="s">
        <v>7046</v>
      </c>
      <c r="AC368" t="s">
        <v>74</v>
      </c>
      <c r="AD368" t="s">
        <v>74</v>
      </c>
      <c r="AE368" t="s">
        <v>74</v>
      </c>
      <c r="AF368" t="s">
        <v>74</v>
      </c>
      <c r="AG368">
        <v>16</v>
      </c>
      <c r="AH368">
        <v>1</v>
      </c>
      <c r="AI368">
        <v>1</v>
      </c>
      <c r="AJ368">
        <v>0</v>
      </c>
      <c r="AK368">
        <v>4</v>
      </c>
      <c r="AL368" t="s">
        <v>4224</v>
      </c>
      <c r="AM368" t="s">
        <v>4225</v>
      </c>
      <c r="AN368" t="s">
        <v>4226</v>
      </c>
      <c r="AO368" t="s">
        <v>4227</v>
      </c>
      <c r="AP368" t="s">
        <v>74</v>
      </c>
      <c r="AQ368" t="s">
        <v>7047</v>
      </c>
      <c r="AR368" t="s">
        <v>4229</v>
      </c>
      <c r="AS368" t="s">
        <v>74</v>
      </c>
      <c r="AT368" t="s">
        <v>74</v>
      </c>
      <c r="AU368">
        <v>2013</v>
      </c>
      <c r="AV368">
        <v>1527</v>
      </c>
      <c r="AW368" t="s">
        <v>74</v>
      </c>
      <c r="AX368" t="s">
        <v>74</v>
      </c>
      <c r="AY368" t="s">
        <v>74</v>
      </c>
      <c r="AZ368" t="s">
        <v>74</v>
      </c>
      <c r="BA368" t="s">
        <v>74</v>
      </c>
      <c r="BB368">
        <v>536</v>
      </c>
      <c r="BC368">
        <v>538</v>
      </c>
      <c r="BD368" t="s">
        <v>74</v>
      </c>
      <c r="BE368" t="s">
        <v>7048</v>
      </c>
      <c r="BF368" t="str">
        <f>HYPERLINK("http://dx.doi.org/10.1063/1.4803326","http://dx.doi.org/10.1063/1.4803326")</f>
        <v>http://dx.doi.org/10.1063/1.4803326</v>
      </c>
      <c r="BG368" t="s">
        <v>74</v>
      </c>
      <c r="BH368" t="s">
        <v>74</v>
      </c>
      <c r="BI368">
        <v>3</v>
      </c>
      <c r="BJ368" t="s">
        <v>7049</v>
      </c>
      <c r="BK368" t="s">
        <v>3247</v>
      </c>
      <c r="BL368" t="s">
        <v>3834</v>
      </c>
      <c r="BM368" t="s">
        <v>7050</v>
      </c>
      <c r="BN368" t="s">
        <v>74</v>
      </c>
      <c r="BO368" t="s">
        <v>74</v>
      </c>
      <c r="BP368" t="s">
        <v>74</v>
      </c>
      <c r="BQ368" t="s">
        <v>74</v>
      </c>
      <c r="BR368" t="s">
        <v>105</v>
      </c>
      <c r="BS368" t="s">
        <v>7051</v>
      </c>
      <c r="BT368" t="str">
        <f>HYPERLINK("https%3A%2F%2Fwww.webofscience.com%2Fwos%2Fwoscc%2Ffull-record%2FWOS:000319766400134","View Full Record in Web of Science")</f>
        <v>View Full Record in Web of Science</v>
      </c>
    </row>
    <row r="369" spans="1:72" x14ac:dyDescent="0.15">
      <c r="A369" t="s">
        <v>3224</v>
      </c>
      <c r="B369" t="s">
        <v>7052</v>
      </c>
      <c r="C369" t="s">
        <v>74</v>
      </c>
      <c r="D369" t="s">
        <v>7053</v>
      </c>
      <c r="E369" t="s">
        <v>74</v>
      </c>
      <c r="F369" t="s">
        <v>7054</v>
      </c>
      <c r="G369" t="s">
        <v>74</v>
      </c>
      <c r="H369" t="s">
        <v>74</v>
      </c>
      <c r="I369" t="s">
        <v>7055</v>
      </c>
      <c r="J369" t="s">
        <v>7056</v>
      </c>
      <c r="K369" t="s">
        <v>4088</v>
      </c>
      <c r="L369" t="s">
        <v>74</v>
      </c>
      <c r="M369" t="s">
        <v>78</v>
      </c>
      <c r="N369" t="s">
        <v>3231</v>
      </c>
      <c r="O369" t="s">
        <v>7057</v>
      </c>
      <c r="P369" t="s">
        <v>7058</v>
      </c>
      <c r="Q369" t="s">
        <v>7059</v>
      </c>
      <c r="R369" t="s">
        <v>74</v>
      </c>
      <c r="S369" t="s">
        <v>74</v>
      </c>
      <c r="T369" t="s">
        <v>7060</v>
      </c>
      <c r="U369" t="s">
        <v>74</v>
      </c>
      <c r="V369" t="s">
        <v>7061</v>
      </c>
      <c r="W369" t="s">
        <v>7062</v>
      </c>
      <c r="X369" t="s">
        <v>7063</v>
      </c>
      <c r="Y369" t="s">
        <v>7064</v>
      </c>
      <c r="Z369" t="s">
        <v>7065</v>
      </c>
      <c r="AA369" t="s">
        <v>74</v>
      </c>
      <c r="AB369" t="s">
        <v>74</v>
      </c>
      <c r="AC369" t="s">
        <v>74</v>
      </c>
      <c r="AD369" t="s">
        <v>74</v>
      </c>
      <c r="AE369" t="s">
        <v>74</v>
      </c>
      <c r="AF369" t="s">
        <v>74</v>
      </c>
      <c r="AG369">
        <v>11</v>
      </c>
      <c r="AH369">
        <v>0</v>
      </c>
      <c r="AI369">
        <v>0</v>
      </c>
      <c r="AJ369">
        <v>0</v>
      </c>
      <c r="AK369">
        <v>9</v>
      </c>
      <c r="AL369" t="s">
        <v>3899</v>
      </c>
      <c r="AM369" t="s">
        <v>7066</v>
      </c>
      <c r="AN369" t="s">
        <v>7067</v>
      </c>
      <c r="AO369" t="s">
        <v>4101</v>
      </c>
      <c r="AP369" t="s">
        <v>74</v>
      </c>
      <c r="AQ369" t="s">
        <v>7068</v>
      </c>
      <c r="AR369" t="s">
        <v>4103</v>
      </c>
      <c r="AS369" t="s">
        <v>74</v>
      </c>
      <c r="AT369" t="s">
        <v>74</v>
      </c>
      <c r="AU369">
        <v>2013</v>
      </c>
      <c r="AV369" t="s">
        <v>7069</v>
      </c>
      <c r="AW369" t="s">
        <v>74</v>
      </c>
      <c r="AX369" t="s">
        <v>7070</v>
      </c>
      <c r="AY369" t="s">
        <v>74</v>
      </c>
      <c r="AZ369" t="s">
        <v>74</v>
      </c>
      <c r="BA369" t="s">
        <v>74</v>
      </c>
      <c r="BB369">
        <v>3715</v>
      </c>
      <c r="BC369">
        <v>3719</v>
      </c>
      <c r="BD369" t="s">
        <v>74</v>
      </c>
      <c r="BE369" t="s">
        <v>7071</v>
      </c>
      <c r="BF369" t="str">
        <f>HYPERLINK("http://dx.doi.org/10.4028/www.scientific.net/AMR.610-613.3715","http://dx.doi.org/10.4028/www.scientific.net/AMR.610-613.3715")</f>
        <v>http://dx.doi.org/10.4028/www.scientific.net/AMR.610-613.3715</v>
      </c>
      <c r="BG369" t="s">
        <v>74</v>
      </c>
      <c r="BH369" t="s">
        <v>74</v>
      </c>
      <c r="BI369">
        <v>5</v>
      </c>
      <c r="BJ369" t="s">
        <v>7072</v>
      </c>
      <c r="BK369" t="s">
        <v>3247</v>
      </c>
      <c r="BL369" t="s">
        <v>7073</v>
      </c>
      <c r="BM369" t="s">
        <v>7074</v>
      </c>
      <c r="BN369" t="s">
        <v>74</v>
      </c>
      <c r="BO369" t="s">
        <v>74</v>
      </c>
      <c r="BP369" t="s">
        <v>74</v>
      </c>
      <c r="BQ369" t="s">
        <v>74</v>
      </c>
      <c r="BR369" t="s">
        <v>105</v>
      </c>
      <c r="BS369" t="s">
        <v>7075</v>
      </c>
      <c r="BT369" t="str">
        <f>HYPERLINK("https%3A%2F%2Fwww.webofscience.com%2Fwos%2Fwoscc%2Ffull-record%2FWOS:000319792101348","View Full Record in Web of Science")</f>
        <v>View Full Record in Web of Science</v>
      </c>
    </row>
    <row r="370" spans="1:72" x14ac:dyDescent="0.15">
      <c r="A370" t="s">
        <v>3224</v>
      </c>
      <c r="B370" t="s">
        <v>7076</v>
      </c>
      <c r="C370" t="s">
        <v>7077</v>
      </c>
      <c r="D370" t="s">
        <v>74</v>
      </c>
      <c r="E370" t="s">
        <v>74</v>
      </c>
      <c r="F370" t="s">
        <v>7078</v>
      </c>
      <c r="G370" t="s">
        <v>7077</v>
      </c>
      <c r="H370" t="s">
        <v>74</v>
      </c>
      <c r="I370" t="s">
        <v>7079</v>
      </c>
      <c r="J370" t="s">
        <v>7080</v>
      </c>
      <c r="K370" t="s">
        <v>4088</v>
      </c>
      <c r="L370" t="s">
        <v>74</v>
      </c>
      <c r="M370" t="s">
        <v>78</v>
      </c>
      <c r="N370" t="s">
        <v>3231</v>
      </c>
      <c r="O370" t="s">
        <v>7057</v>
      </c>
      <c r="P370" t="s">
        <v>7058</v>
      </c>
      <c r="Q370" t="s">
        <v>7059</v>
      </c>
      <c r="R370" t="s">
        <v>74</v>
      </c>
      <c r="S370" t="s">
        <v>74</v>
      </c>
      <c r="T370" t="s">
        <v>7081</v>
      </c>
      <c r="U370" t="s">
        <v>7082</v>
      </c>
      <c r="V370" t="s">
        <v>7083</v>
      </c>
      <c r="W370" t="s">
        <v>7084</v>
      </c>
      <c r="X370" t="s">
        <v>74</v>
      </c>
      <c r="Y370" t="s">
        <v>7085</v>
      </c>
      <c r="Z370" t="s">
        <v>7086</v>
      </c>
      <c r="AA370" t="s">
        <v>74</v>
      </c>
      <c r="AB370" t="s">
        <v>74</v>
      </c>
      <c r="AC370" t="s">
        <v>7087</v>
      </c>
      <c r="AD370" t="s">
        <v>7087</v>
      </c>
      <c r="AE370" t="s">
        <v>7088</v>
      </c>
      <c r="AF370" t="s">
        <v>74</v>
      </c>
      <c r="AG370">
        <v>36</v>
      </c>
      <c r="AH370">
        <v>0</v>
      </c>
      <c r="AI370">
        <v>0</v>
      </c>
      <c r="AJ370">
        <v>2</v>
      </c>
      <c r="AK370">
        <v>9</v>
      </c>
      <c r="AL370" t="s">
        <v>3899</v>
      </c>
      <c r="AM370" t="s">
        <v>3900</v>
      </c>
      <c r="AN370" t="s">
        <v>3901</v>
      </c>
      <c r="AO370" t="s">
        <v>4101</v>
      </c>
      <c r="AP370" t="s">
        <v>74</v>
      </c>
      <c r="AQ370" t="s">
        <v>7089</v>
      </c>
      <c r="AR370" t="s">
        <v>4103</v>
      </c>
      <c r="AS370" t="s">
        <v>74</v>
      </c>
      <c r="AT370" t="s">
        <v>74</v>
      </c>
      <c r="AU370">
        <v>2013</v>
      </c>
      <c r="AV370" t="s">
        <v>7090</v>
      </c>
      <c r="AW370" t="s">
        <v>74</v>
      </c>
      <c r="AX370" t="s">
        <v>74</v>
      </c>
      <c r="AY370" t="s">
        <v>74</v>
      </c>
      <c r="AZ370" t="s">
        <v>74</v>
      </c>
      <c r="BA370" t="s">
        <v>74</v>
      </c>
      <c r="BB370">
        <v>52</v>
      </c>
      <c r="BC370" t="s">
        <v>99</v>
      </c>
      <c r="BD370" t="s">
        <v>74</v>
      </c>
      <c r="BE370" t="s">
        <v>7091</v>
      </c>
      <c r="BF370" t="str">
        <f>HYPERLINK("http://dx.doi.org/10.4028/www.scientific.net/AMR.616-618.52","http://dx.doi.org/10.4028/www.scientific.net/AMR.616-618.52")</f>
        <v>http://dx.doi.org/10.4028/www.scientific.net/AMR.616-618.52</v>
      </c>
      <c r="BG370" t="s">
        <v>74</v>
      </c>
      <c r="BH370" t="s">
        <v>74</v>
      </c>
      <c r="BI370">
        <v>3</v>
      </c>
      <c r="BJ370" t="s">
        <v>7092</v>
      </c>
      <c r="BK370" t="s">
        <v>3247</v>
      </c>
      <c r="BL370" t="s">
        <v>7093</v>
      </c>
      <c r="BM370" t="s">
        <v>7094</v>
      </c>
      <c r="BN370" t="s">
        <v>74</v>
      </c>
      <c r="BO370" t="s">
        <v>74</v>
      </c>
      <c r="BP370" t="s">
        <v>74</v>
      </c>
      <c r="BQ370" t="s">
        <v>74</v>
      </c>
      <c r="BR370" t="s">
        <v>105</v>
      </c>
      <c r="BS370" t="s">
        <v>7095</v>
      </c>
      <c r="BT370" t="str">
        <f>HYPERLINK("https%3A%2F%2Fwww.webofscience.com%2Fwos%2Fwoscc%2Ffull-record%2FWOS:000319230900008","View Full Record in Web of Science")</f>
        <v>View Full Record in Web of Science</v>
      </c>
    </row>
    <row r="371" spans="1:72" x14ac:dyDescent="0.15">
      <c r="A371" t="s">
        <v>72</v>
      </c>
      <c r="B371" t="s">
        <v>7096</v>
      </c>
      <c r="C371" t="s">
        <v>74</v>
      </c>
      <c r="D371" t="s">
        <v>74</v>
      </c>
      <c r="E371" t="s">
        <v>74</v>
      </c>
      <c r="F371" t="s">
        <v>7097</v>
      </c>
      <c r="G371" t="s">
        <v>74</v>
      </c>
      <c r="H371" t="s">
        <v>74</v>
      </c>
      <c r="I371" t="s">
        <v>7098</v>
      </c>
      <c r="J371" t="s">
        <v>4521</v>
      </c>
      <c r="K371" t="s">
        <v>74</v>
      </c>
      <c r="L371" t="s">
        <v>74</v>
      </c>
      <c r="M371" t="s">
        <v>78</v>
      </c>
      <c r="N371" t="s">
        <v>79</v>
      </c>
      <c r="O371" t="s">
        <v>74</v>
      </c>
      <c r="P371" t="s">
        <v>74</v>
      </c>
      <c r="Q371" t="s">
        <v>74</v>
      </c>
      <c r="R371" t="s">
        <v>74</v>
      </c>
      <c r="S371" t="s">
        <v>74</v>
      </c>
      <c r="T371" t="s">
        <v>74</v>
      </c>
      <c r="U371" t="s">
        <v>7099</v>
      </c>
      <c r="V371" t="s">
        <v>7100</v>
      </c>
      <c r="W371" t="s">
        <v>7101</v>
      </c>
      <c r="X371" t="s">
        <v>7102</v>
      </c>
      <c r="Y371" t="s">
        <v>7103</v>
      </c>
      <c r="Z371" t="s">
        <v>7104</v>
      </c>
      <c r="AA371" t="s">
        <v>7105</v>
      </c>
      <c r="AB371" t="s">
        <v>7106</v>
      </c>
      <c r="AC371" t="s">
        <v>7107</v>
      </c>
      <c r="AD371" t="s">
        <v>7108</v>
      </c>
      <c r="AE371" t="s">
        <v>7109</v>
      </c>
      <c r="AF371" t="s">
        <v>74</v>
      </c>
      <c r="AG371">
        <v>45</v>
      </c>
      <c r="AH371">
        <v>1</v>
      </c>
      <c r="AI371">
        <v>1</v>
      </c>
      <c r="AJ371">
        <v>1</v>
      </c>
      <c r="AK371">
        <v>18</v>
      </c>
      <c r="AL371" t="s">
        <v>4248</v>
      </c>
      <c r="AM371" t="s">
        <v>4249</v>
      </c>
      <c r="AN371" t="s">
        <v>4250</v>
      </c>
      <c r="AO371" t="s">
        <v>4533</v>
      </c>
      <c r="AP371" t="s">
        <v>4534</v>
      </c>
      <c r="AQ371" t="s">
        <v>74</v>
      </c>
      <c r="AR371" t="s">
        <v>4535</v>
      </c>
      <c r="AS371" t="s">
        <v>4536</v>
      </c>
      <c r="AT371" t="s">
        <v>74</v>
      </c>
      <c r="AU371">
        <v>2013</v>
      </c>
      <c r="AV371">
        <v>13</v>
      </c>
      <c r="AW371">
        <v>8</v>
      </c>
      <c r="AX371" t="s">
        <v>74</v>
      </c>
      <c r="AY371" t="s">
        <v>74</v>
      </c>
      <c r="AZ371" t="s">
        <v>74</v>
      </c>
      <c r="BA371" t="s">
        <v>74</v>
      </c>
      <c r="BB371">
        <v>4413</v>
      </c>
      <c r="BC371">
        <v>4427</v>
      </c>
      <c r="BD371" t="s">
        <v>74</v>
      </c>
      <c r="BE371" t="s">
        <v>7110</v>
      </c>
      <c r="BF371" t="str">
        <f>HYPERLINK("http://dx.doi.org/10.5194/acp-13-4413-2013","http://dx.doi.org/10.5194/acp-13-4413-2013")</f>
        <v>http://dx.doi.org/10.5194/acp-13-4413-2013</v>
      </c>
      <c r="BG371" t="s">
        <v>74</v>
      </c>
      <c r="BH371" t="s">
        <v>74</v>
      </c>
      <c r="BI371">
        <v>15</v>
      </c>
      <c r="BJ371" t="s">
        <v>1627</v>
      </c>
      <c r="BK371" t="s">
        <v>102</v>
      </c>
      <c r="BL371" t="s">
        <v>1628</v>
      </c>
      <c r="BM371" t="s">
        <v>7111</v>
      </c>
      <c r="BN371" t="s">
        <v>74</v>
      </c>
      <c r="BO371" t="s">
        <v>4132</v>
      </c>
      <c r="BP371" t="s">
        <v>74</v>
      </c>
      <c r="BQ371" t="s">
        <v>74</v>
      </c>
      <c r="BR371" t="s">
        <v>105</v>
      </c>
      <c r="BS371" t="s">
        <v>7112</v>
      </c>
      <c r="BT371" t="str">
        <f>HYPERLINK("https%3A%2F%2Fwww.webofscience.com%2Fwos%2Fwoscc%2Ffull-record%2FWOS:000318428300031","View Full Record in Web of Science")</f>
        <v>View Full Record in Web of Science</v>
      </c>
    </row>
    <row r="372" spans="1:72" x14ac:dyDescent="0.15">
      <c r="A372" t="s">
        <v>72</v>
      </c>
      <c r="B372" t="s">
        <v>7113</v>
      </c>
      <c r="C372" t="s">
        <v>74</v>
      </c>
      <c r="D372" t="s">
        <v>74</v>
      </c>
      <c r="E372" t="s">
        <v>74</v>
      </c>
      <c r="F372" t="s">
        <v>7114</v>
      </c>
      <c r="G372" t="s">
        <v>74</v>
      </c>
      <c r="H372" t="s">
        <v>74</v>
      </c>
      <c r="I372" t="s">
        <v>7115</v>
      </c>
      <c r="J372" t="s">
        <v>7116</v>
      </c>
      <c r="K372" t="s">
        <v>74</v>
      </c>
      <c r="L372" t="s">
        <v>74</v>
      </c>
      <c r="M372" t="s">
        <v>78</v>
      </c>
      <c r="N372" t="s">
        <v>79</v>
      </c>
      <c r="O372" t="s">
        <v>74</v>
      </c>
      <c r="P372" t="s">
        <v>74</v>
      </c>
      <c r="Q372" t="s">
        <v>74</v>
      </c>
      <c r="R372" t="s">
        <v>74</v>
      </c>
      <c r="S372" t="s">
        <v>74</v>
      </c>
      <c r="T372" t="s">
        <v>7117</v>
      </c>
      <c r="U372" t="s">
        <v>7118</v>
      </c>
      <c r="V372" t="s">
        <v>7119</v>
      </c>
      <c r="W372" t="s">
        <v>7120</v>
      </c>
      <c r="X372" t="s">
        <v>7121</v>
      </c>
      <c r="Y372" t="s">
        <v>7122</v>
      </c>
      <c r="Z372" t="s">
        <v>7123</v>
      </c>
      <c r="AA372" t="s">
        <v>74</v>
      </c>
      <c r="AB372" t="s">
        <v>7124</v>
      </c>
      <c r="AC372" t="s">
        <v>7125</v>
      </c>
      <c r="AD372" t="s">
        <v>7125</v>
      </c>
      <c r="AE372" t="s">
        <v>7126</v>
      </c>
      <c r="AF372" t="s">
        <v>74</v>
      </c>
      <c r="AG372">
        <v>69</v>
      </c>
      <c r="AH372">
        <v>16</v>
      </c>
      <c r="AI372">
        <v>19</v>
      </c>
      <c r="AJ372">
        <v>2</v>
      </c>
      <c r="AK372">
        <v>81</v>
      </c>
      <c r="AL372" t="s">
        <v>5541</v>
      </c>
      <c r="AM372" t="s">
        <v>6910</v>
      </c>
      <c r="AN372" t="s">
        <v>6911</v>
      </c>
      <c r="AO372" t="s">
        <v>7127</v>
      </c>
      <c r="AP372" t="s">
        <v>74</v>
      </c>
      <c r="AQ372" t="s">
        <v>74</v>
      </c>
      <c r="AR372" t="s">
        <v>7116</v>
      </c>
      <c r="AS372" t="s">
        <v>7128</v>
      </c>
      <c r="AT372" t="s">
        <v>74</v>
      </c>
      <c r="AU372">
        <v>2013</v>
      </c>
      <c r="AV372">
        <v>113</v>
      </c>
      <c r="AW372">
        <v>2</v>
      </c>
      <c r="AX372" t="s">
        <v>74</v>
      </c>
      <c r="AY372" t="s">
        <v>74</v>
      </c>
      <c r="AZ372" t="s">
        <v>74</v>
      </c>
      <c r="BA372" t="s">
        <v>74</v>
      </c>
      <c r="BB372">
        <v>145</v>
      </c>
      <c r="BC372">
        <v>153</v>
      </c>
      <c r="BD372" t="s">
        <v>74</v>
      </c>
      <c r="BE372" t="s">
        <v>7129</v>
      </c>
      <c r="BF372" t="str">
        <f>HYPERLINK("http://dx.doi.org/10.1071/MU12040","http://dx.doi.org/10.1071/MU12040")</f>
        <v>http://dx.doi.org/10.1071/MU12040</v>
      </c>
      <c r="BG372" t="s">
        <v>74</v>
      </c>
      <c r="BH372" t="s">
        <v>74</v>
      </c>
      <c r="BI372">
        <v>9</v>
      </c>
      <c r="BJ372" t="s">
        <v>7130</v>
      </c>
      <c r="BK372" t="s">
        <v>102</v>
      </c>
      <c r="BL372" t="s">
        <v>3023</v>
      </c>
      <c r="BM372" t="s">
        <v>7131</v>
      </c>
      <c r="BN372" t="s">
        <v>74</v>
      </c>
      <c r="BO372" t="s">
        <v>429</v>
      </c>
      <c r="BP372" t="s">
        <v>74</v>
      </c>
      <c r="BQ372" t="s">
        <v>74</v>
      </c>
      <c r="BR372" t="s">
        <v>105</v>
      </c>
      <c r="BS372" t="s">
        <v>7132</v>
      </c>
      <c r="BT372" t="str">
        <f>HYPERLINK("https%3A%2F%2Fwww.webofscience.com%2Fwos%2Fwoscc%2Ffull-record%2FWOS:000319470100008","View Full Record in Web of Science")</f>
        <v>View Full Record in Web of Science</v>
      </c>
    </row>
    <row r="373" spans="1:72" x14ac:dyDescent="0.15">
      <c r="A373" t="s">
        <v>72</v>
      </c>
      <c r="B373" t="s">
        <v>7133</v>
      </c>
      <c r="C373" t="s">
        <v>74</v>
      </c>
      <c r="D373" t="s">
        <v>74</v>
      </c>
      <c r="E373" t="s">
        <v>74</v>
      </c>
      <c r="F373" t="s">
        <v>7134</v>
      </c>
      <c r="G373" t="s">
        <v>74</v>
      </c>
      <c r="H373" t="s">
        <v>74</v>
      </c>
      <c r="I373" t="s">
        <v>7135</v>
      </c>
      <c r="J373" t="s">
        <v>7136</v>
      </c>
      <c r="K373" t="s">
        <v>74</v>
      </c>
      <c r="L373" t="s">
        <v>74</v>
      </c>
      <c r="M373" t="s">
        <v>78</v>
      </c>
      <c r="N373" t="s">
        <v>79</v>
      </c>
      <c r="O373" t="s">
        <v>74</v>
      </c>
      <c r="P373" t="s">
        <v>74</v>
      </c>
      <c r="Q373" t="s">
        <v>74</v>
      </c>
      <c r="R373" t="s">
        <v>74</v>
      </c>
      <c r="S373" t="s">
        <v>74</v>
      </c>
      <c r="T373" t="s">
        <v>7137</v>
      </c>
      <c r="U373" t="s">
        <v>7138</v>
      </c>
      <c r="V373" t="s">
        <v>7139</v>
      </c>
      <c r="W373" t="s">
        <v>7140</v>
      </c>
      <c r="X373" t="s">
        <v>7141</v>
      </c>
      <c r="Y373" t="s">
        <v>7142</v>
      </c>
      <c r="Z373" t="s">
        <v>7143</v>
      </c>
      <c r="AA373" t="s">
        <v>74</v>
      </c>
      <c r="AB373" t="s">
        <v>74</v>
      </c>
      <c r="AC373" t="s">
        <v>7144</v>
      </c>
      <c r="AD373" t="s">
        <v>7145</v>
      </c>
      <c r="AE373" t="s">
        <v>7146</v>
      </c>
      <c r="AF373" t="s">
        <v>74</v>
      </c>
      <c r="AG373">
        <v>23</v>
      </c>
      <c r="AH373">
        <v>16</v>
      </c>
      <c r="AI373">
        <v>24</v>
      </c>
      <c r="AJ373">
        <v>0</v>
      </c>
      <c r="AK373">
        <v>19</v>
      </c>
      <c r="AL373" t="s">
        <v>1343</v>
      </c>
      <c r="AM373" t="s">
        <v>1344</v>
      </c>
      <c r="AN373" t="s">
        <v>1345</v>
      </c>
      <c r="AO373" t="s">
        <v>7147</v>
      </c>
      <c r="AP373" t="s">
        <v>7148</v>
      </c>
      <c r="AQ373" t="s">
        <v>74</v>
      </c>
      <c r="AR373" t="s">
        <v>7149</v>
      </c>
      <c r="AS373" t="s">
        <v>7150</v>
      </c>
      <c r="AT373" t="s">
        <v>7151</v>
      </c>
      <c r="AU373">
        <v>2013</v>
      </c>
      <c r="AV373">
        <v>27</v>
      </c>
      <c r="AW373">
        <v>2</v>
      </c>
      <c r="AX373" t="s">
        <v>74</v>
      </c>
      <c r="AY373" t="s">
        <v>74</v>
      </c>
      <c r="AZ373" t="s">
        <v>74</v>
      </c>
      <c r="BA373" t="s">
        <v>74</v>
      </c>
      <c r="BB373">
        <v>164</v>
      </c>
      <c r="BC373">
        <v>170</v>
      </c>
      <c r="BD373" t="s">
        <v>74</v>
      </c>
      <c r="BE373" t="s">
        <v>7152</v>
      </c>
      <c r="BF373" t="str">
        <f>HYPERLINK("http://dx.doi.org/10.1080/14786419.2012.665911","http://dx.doi.org/10.1080/14786419.2012.665911")</f>
        <v>http://dx.doi.org/10.1080/14786419.2012.665911</v>
      </c>
      <c r="BG373" t="s">
        <v>74</v>
      </c>
      <c r="BH373" t="s">
        <v>74</v>
      </c>
      <c r="BI373">
        <v>7</v>
      </c>
      <c r="BJ373" t="s">
        <v>7153</v>
      </c>
      <c r="BK373" t="s">
        <v>102</v>
      </c>
      <c r="BL373" t="s">
        <v>7154</v>
      </c>
      <c r="BM373" t="s">
        <v>7155</v>
      </c>
      <c r="BN373">
        <v>22420410</v>
      </c>
      <c r="BO373" t="s">
        <v>74</v>
      </c>
      <c r="BP373" t="s">
        <v>74</v>
      </c>
      <c r="BQ373" t="s">
        <v>74</v>
      </c>
      <c r="BR373" t="s">
        <v>105</v>
      </c>
      <c r="BS373" t="s">
        <v>7156</v>
      </c>
      <c r="BT373" t="str">
        <f>HYPERLINK("https%3A%2F%2Fwww.webofscience.com%2Fwos%2Fwoscc%2Ffull-record%2FWOS:000319171100011","View Full Record in Web of Science")</f>
        <v>View Full Record in Web of Science</v>
      </c>
    </row>
    <row r="374" spans="1:72" x14ac:dyDescent="0.15">
      <c r="A374" t="s">
        <v>72</v>
      </c>
      <c r="B374" t="s">
        <v>7157</v>
      </c>
      <c r="C374" t="s">
        <v>74</v>
      </c>
      <c r="D374" t="s">
        <v>74</v>
      </c>
      <c r="E374" t="s">
        <v>74</v>
      </c>
      <c r="F374" t="s">
        <v>7158</v>
      </c>
      <c r="G374" t="s">
        <v>74</v>
      </c>
      <c r="H374" t="s">
        <v>74</v>
      </c>
      <c r="I374" t="s">
        <v>7159</v>
      </c>
      <c r="J374" t="s">
        <v>7160</v>
      </c>
      <c r="K374" t="s">
        <v>74</v>
      </c>
      <c r="L374" t="s">
        <v>74</v>
      </c>
      <c r="M374" t="s">
        <v>78</v>
      </c>
      <c r="N374" t="s">
        <v>79</v>
      </c>
      <c r="O374" t="s">
        <v>74</v>
      </c>
      <c r="P374" t="s">
        <v>74</v>
      </c>
      <c r="Q374" t="s">
        <v>74</v>
      </c>
      <c r="R374" t="s">
        <v>74</v>
      </c>
      <c r="S374" t="s">
        <v>74</v>
      </c>
      <c r="T374" t="s">
        <v>7161</v>
      </c>
      <c r="U374" t="s">
        <v>7162</v>
      </c>
      <c r="V374" t="s">
        <v>7163</v>
      </c>
      <c r="W374" t="s">
        <v>7164</v>
      </c>
      <c r="X374" t="s">
        <v>7165</v>
      </c>
      <c r="Y374" t="s">
        <v>7166</v>
      </c>
      <c r="Z374" t="s">
        <v>7167</v>
      </c>
      <c r="AA374" t="s">
        <v>7168</v>
      </c>
      <c r="AB374" t="s">
        <v>74</v>
      </c>
      <c r="AC374" t="s">
        <v>7169</v>
      </c>
      <c r="AD374" t="s">
        <v>7169</v>
      </c>
      <c r="AE374" t="s">
        <v>7170</v>
      </c>
      <c r="AF374" t="s">
        <v>74</v>
      </c>
      <c r="AG374">
        <v>112</v>
      </c>
      <c r="AH374">
        <v>0</v>
      </c>
      <c r="AI374">
        <v>0</v>
      </c>
      <c r="AJ374">
        <v>0</v>
      </c>
      <c r="AK374">
        <v>1</v>
      </c>
      <c r="AL374" t="s">
        <v>7171</v>
      </c>
      <c r="AM374" t="s">
        <v>7172</v>
      </c>
      <c r="AN374" t="s">
        <v>7173</v>
      </c>
      <c r="AO374" t="s">
        <v>7174</v>
      </c>
      <c r="AP374" t="s">
        <v>7175</v>
      </c>
      <c r="AQ374" t="s">
        <v>74</v>
      </c>
      <c r="AR374" t="s">
        <v>7176</v>
      </c>
      <c r="AS374" t="s">
        <v>7177</v>
      </c>
      <c r="AT374" t="s">
        <v>74</v>
      </c>
      <c r="AU374">
        <v>2013</v>
      </c>
      <c r="AV374">
        <v>16</v>
      </c>
      <c r="AW374">
        <v>1</v>
      </c>
      <c r="AX374" t="s">
        <v>74</v>
      </c>
      <c r="AY374" t="s">
        <v>74</v>
      </c>
      <c r="AZ374" t="s">
        <v>74</v>
      </c>
      <c r="BA374" t="s">
        <v>74</v>
      </c>
      <c r="BB374" t="s">
        <v>74</v>
      </c>
      <c r="BC374" t="s">
        <v>74</v>
      </c>
      <c r="BD374" t="s">
        <v>7178</v>
      </c>
      <c r="BE374" t="s">
        <v>74</v>
      </c>
      <c r="BF374" t="s">
        <v>74</v>
      </c>
      <c r="BG374" t="s">
        <v>74</v>
      </c>
      <c r="BH374" t="s">
        <v>74</v>
      </c>
      <c r="BI374">
        <v>24</v>
      </c>
      <c r="BJ374" t="s">
        <v>4346</v>
      </c>
      <c r="BK374" t="s">
        <v>102</v>
      </c>
      <c r="BL374" t="s">
        <v>4346</v>
      </c>
      <c r="BM374" t="s">
        <v>7179</v>
      </c>
      <c r="BN374" t="s">
        <v>74</v>
      </c>
      <c r="BO374" t="s">
        <v>74</v>
      </c>
      <c r="BP374" t="s">
        <v>74</v>
      </c>
      <c r="BQ374" t="s">
        <v>74</v>
      </c>
      <c r="BR374" t="s">
        <v>105</v>
      </c>
      <c r="BS374" t="s">
        <v>7180</v>
      </c>
      <c r="BT374" t="str">
        <f>HYPERLINK("https%3A%2F%2Fwww.webofscience.com%2Fwos%2Fwoscc%2Ffull-record%2FWOS:000319437100006","View Full Record in Web of Science")</f>
        <v>View Full Record in Web of Science</v>
      </c>
    </row>
    <row r="375" spans="1:72" x14ac:dyDescent="0.15">
      <c r="A375" t="s">
        <v>72</v>
      </c>
      <c r="B375" t="s">
        <v>7181</v>
      </c>
      <c r="C375" t="s">
        <v>74</v>
      </c>
      <c r="D375" t="s">
        <v>74</v>
      </c>
      <c r="E375" t="s">
        <v>74</v>
      </c>
      <c r="F375" t="s">
        <v>7182</v>
      </c>
      <c r="G375" t="s">
        <v>74</v>
      </c>
      <c r="H375" t="s">
        <v>74</v>
      </c>
      <c r="I375" t="s">
        <v>7183</v>
      </c>
      <c r="J375" t="s">
        <v>4495</v>
      </c>
      <c r="K375" t="s">
        <v>74</v>
      </c>
      <c r="L375" t="s">
        <v>74</v>
      </c>
      <c r="M375" t="s">
        <v>78</v>
      </c>
      <c r="N375" t="s">
        <v>79</v>
      </c>
      <c r="O375" t="s">
        <v>74</v>
      </c>
      <c r="P375" t="s">
        <v>74</v>
      </c>
      <c r="Q375" t="s">
        <v>74</v>
      </c>
      <c r="R375" t="s">
        <v>74</v>
      </c>
      <c r="S375" t="s">
        <v>74</v>
      </c>
      <c r="T375" t="s">
        <v>7184</v>
      </c>
      <c r="U375" t="s">
        <v>7185</v>
      </c>
      <c r="V375" t="s">
        <v>7186</v>
      </c>
      <c r="W375" t="s">
        <v>7187</v>
      </c>
      <c r="X375" t="s">
        <v>7188</v>
      </c>
      <c r="Y375" t="s">
        <v>7189</v>
      </c>
      <c r="Z375" t="s">
        <v>7190</v>
      </c>
      <c r="AA375" t="s">
        <v>7191</v>
      </c>
      <c r="AB375" t="s">
        <v>7192</v>
      </c>
      <c r="AC375" t="s">
        <v>7193</v>
      </c>
      <c r="AD375" t="s">
        <v>7194</v>
      </c>
      <c r="AE375" t="s">
        <v>7195</v>
      </c>
      <c r="AF375" t="s">
        <v>74</v>
      </c>
      <c r="AG375">
        <v>51</v>
      </c>
      <c r="AH375">
        <v>33</v>
      </c>
      <c r="AI375">
        <v>35</v>
      </c>
      <c r="AJ375">
        <v>0</v>
      </c>
      <c r="AK375">
        <v>23</v>
      </c>
      <c r="AL375" t="s">
        <v>4506</v>
      </c>
      <c r="AM375" t="s">
        <v>4507</v>
      </c>
      <c r="AN375" t="s">
        <v>4508</v>
      </c>
      <c r="AO375" t="s">
        <v>4509</v>
      </c>
      <c r="AP375" t="s">
        <v>4510</v>
      </c>
      <c r="AQ375" t="s">
        <v>74</v>
      </c>
      <c r="AR375" t="s">
        <v>4511</v>
      </c>
      <c r="AS375" t="s">
        <v>4512</v>
      </c>
      <c r="AT375" t="s">
        <v>74</v>
      </c>
      <c r="AU375">
        <v>2013</v>
      </c>
      <c r="AV375">
        <v>32</v>
      </c>
      <c r="AW375" t="s">
        <v>74</v>
      </c>
      <c r="AX375" t="s">
        <v>74</v>
      </c>
      <c r="AY375" t="s">
        <v>74</v>
      </c>
      <c r="AZ375" t="s">
        <v>74</v>
      </c>
      <c r="BA375" t="s">
        <v>74</v>
      </c>
      <c r="BB375" t="s">
        <v>74</v>
      </c>
      <c r="BC375" t="s">
        <v>74</v>
      </c>
      <c r="BD375">
        <v>19784</v>
      </c>
      <c r="BE375" t="s">
        <v>7196</v>
      </c>
      <c r="BF375" t="str">
        <f>HYPERLINK("http://dx.doi.org/10.3402/polar.v32i0.19784","http://dx.doi.org/10.3402/polar.v32i0.19784")</f>
        <v>http://dx.doi.org/10.3402/polar.v32i0.19784</v>
      </c>
      <c r="BG375" t="s">
        <v>74</v>
      </c>
      <c r="BH375" t="s">
        <v>74</v>
      </c>
      <c r="BI375">
        <v>12</v>
      </c>
      <c r="BJ375" t="s">
        <v>4514</v>
      </c>
      <c r="BK375" t="s">
        <v>102</v>
      </c>
      <c r="BL375" t="s">
        <v>4515</v>
      </c>
      <c r="BM375" t="s">
        <v>7197</v>
      </c>
      <c r="BN375" t="s">
        <v>74</v>
      </c>
      <c r="BO375" t="s">
        <v>2629</v>
      </c>
      <c r="BP375" t="s">
        <v>74</v>
      </c>
      <c r="BQ375" t="s">
        <v>74</v>
      </c>
      <c r="BR375" t="s">
        <v>105</v>
      </c>
      <c r="BS375" t="s">
        <v>7198</v>
      </c>
      <c r="BT375" t="str">
        <f>HYPERLINK("https%3A%2F%2Fwww.webofscience.com%2Fwos%2Fwoscc%2Ffull-record%2FWOS:000319511800001","View Full Record in Web of Science")</f>
        <v>View Full Record in Web of Science</v>
      </c>
    </row>
    <row r="376" spans="1:72" x14ac:dyDescent="0.15">
      <c r="A376" t="s">
        <v>72</v>
      </c>
      <c r="B376" t="s">
        <v>7199</v>
      </c>
      <c r="C376" t="s">
        <v>74</v>
      </c>
      <c r="D376" t="s">
        <v>74</v>
      </c>
      <c r="E376" t="s">
        <v>74</v>
      </c>
      <c r="F376" t="s">
        <v>7200</v>
      </c>
      <c r="G376" t="s">
        <v>74</v>
      </c>
      <c r="H376" t="s">
        <v>74</v>
      </c>
      <c r="I376" t="s">
        <v>7201</v>
      </c>
      <c r="J376" t="s">
        <v>4495</v>
      </c>
      <c r="K376" t="s">
        <v>74</v>
      </c>
      <c r="L376" t="s">
        <v>74</v>
      </c>
      <c r="M376" t="s">
        <v>78</v>
      </c>
      <c r="N376" t="s">
        <v>79</v>
      </c>
      <c r="O376" t="s">
        <v>74</v>
      </c>
      <c r="P376" t="s">
        <v>74</v>
      </c>
      <c r="Q376" t="s">
        <v>74</v>
      </c>
      <c r="R376" t="s">
        <v>74</v>
      </c>
      <c r="S376" t="s">
        <v>74</v>
      </c>
      <c r="T376" t="s">
        <v>7202</v>
      </c>
      <c r="U376" t="s">
        <v>74</v>
      </c>
      <c r="V376" t="s">
        <v>7203</v>
      </c>
      <c r="W376" t="s">
        <v>7204</v>
      </c>
      <c r="X376" t="s">
        <v>7205</v>
      </c>
      <c r="Y376" t="s">
        <v>7206</v>
      </c>
      <c r="Z376" t="s">
        <v>7207</v>
      </c>
      <c r="AA376" t="s">
        <v>74</v>
      </c>
      <c r="AB376" t="s">
        <v>74</v>
      </c>
      <c r="AC376" t="s">
        <v>7208</v>
      </c>
      <c r="AD376" t="s">
        <v>7208</v>
      </c>
      <c r="AE376" t="s">
        <v>7209</v>
      </c>
      <c r="AF376" t="s">
        <v>74</v>
      </c>
      <c r="AG376">
        <v>17</v>
      </c>
      <c r="AH376">
        <v>3</v>
      </c>
      <c r="AI376">
        <v>4</v>
      </c>
      <c r="AJ376">
        <v>1</v>
      </c>
      <c r="AK376">
        <v>15</v>
      </c>
      <c r="AL376" t="s">
        <v>4506</v>
      </c>
      <c r="AM376" t="s">
        <v>4507</v>
      </c>
      <c r="AN376" t="s">
        <v>4508</v>
      </c>
      <c r="AO376" t="s">
        <v>4509</v>
      </c>
      <c r="AP376" t="s">
        <v>4510</v>
      </c>
      <c r="AQ376" t="s">
        <v>74</v>
      </c>
      <c r="AR376" t="s">
        <v>4511</v>
      </c>
      <c r="AS376" t="s">
        <v>4512</v>
      </c>
      <c r="AT376" t="s">
        <v>74</v>
      </c>
      <c r="AU376">
        <v>2013</v>
      </c>
      <c r="AV376">
        <v>32</v>
      </c>
      <c r="AW376" t="s">
        <v>74</v>
      </c>
      <c r="AX376" t="s">
        <v>74</v>
      </c>
      <c r="AY376" t="s">
        <v>74</v>
      </c>
      <c r="AZ376" t="s">
        <v>74</v>
      </c>
      <c r="BA376" t="s">
        <v>74</v>
      </c>
      <c r="BB376" t="s">
        <v>74</v>
      </c>
      <c r="BC376" t="s">
        <v>74</v>
      </c>
      <c r="BD376">
        <v>18972</v>
      </c>
      <c r="BE376" t="s">
        <v>7210</v>
      </c>
      <c r="BF376" t="str">
        <f>HYPERLINK("http://dx.doi.org/10.3402/polar.v32i0.18972","http://dx.doi.org/10.3402/polar.v32i0.18972")</f>
        <v>http://dx.doi.org/10.3402/polar.v32i0.18972</v>
      </c>
      <c r="BG376" t="s">
        <v>74</v>
      </c>
      <c r="BH376" t="s">
        <v>74</v>
      </c>
      <c r="BI376">
        <v>5</v>
      </c>
      <c r="BJ376" t="s">
        <v>4514</v>
      </c>
      <c r="BK376" t="s">
        <v>102</v>
      </c>
      <c r="BL376" t="s">
        <v>4515</v>
      </c>
      <c r="BM376" t="s">
        <v>7211</v>
      </c>
      <c r="BN376" t="s">
        <v>74</v>
      </c>
      <c r="BO376" t="s">
        <v>2629</v>
      </c>
      <c r="BP376" t="s">
        <v>74</v>
      </c>
      <c r="BQ376" t="s">
        <v>74</v>
      </c>
      <c r="BR376" t="s">
        <v>105</v>
      </c>
      <c r="BS376" t="s">
        <v>7212</v>
      </c>
      <c r="BT376" t="str">
        <f>HYPERLINK("https%3A%2F%2Fwww.webofscience.com%2Fwos%2Fwoscc%2Ffull-record%2FWOS:000319511500001","View Full Record in Web of Science")</f>
        <v>View Full Record in Web of Science</v>
      </c>
    </row>
    <row r="377" spans="1:72" x14ac:dyDescent="0.15">
      <c r="A377" t="s">
        <v>72</v>
      </c>
      <c r="B377" t="s">
        <v>7213</v>
      </c>
      <c r="C377" t="s">
        <v>74</v>
      </c>
      <c r="D377" t="s">
        <v>74</v>
      </c>
      <c r="E377" t="s">
        <v>74</v>
      </c>
      <c r="F377" t="s">
        <v>7214</v>
      </c>
      <c r="G377" t="s">
        <v>74</v>
      </c>
      <c r="H377" t="s">
        <v>74</v>
      </c>
      <c r="I377" t="s">
        <v>7215</v>
      </c>
      <c r="J377" t="s">
        <v>4789</v>
      </c>
      <c r="K377" t="s">
        <v>74</v>
      </c>
      <c r="L377" t="s">
        <v>74</v>
      </c>
      <c r="M377" t="s">
        <v>78</v>
      </c>
      <c r="N377" t="s">
        <v>79</v>
      </c>
      <c r="O377" t="s">
        <v>74</v>
      </c>
      <c r="P377" t="s">
        <v>74</v>
      </c>
      <c r="Q377" t="s">
        <v>74</v>
      </c>
      <c r="R377" t="s">
        <v>74</v>
      </c>
      <c r="S377" t="s">
        <v>74</v>
      </c>
      <c r="T377" t="s">
        <v>74</v>
      </c>
      <c r="U377" t="s">
        <v>7216</v>
      </c>
      <c r="V377" t="s">
        <v>7217</v>
      </c>
      <c r="W377" t="s">
        <v>7218</v>
      </c>
      <c r="X377" t="s">
        <v>7219</v>
      </c>
      <c r="Y377" t="s">
        <v>7220</v>
      </c>
      <c r="Z377" t="s">
        <v>7221</v>
      </c>
      <c r="AA377" t="s">
        <v>7222</v>
      </c>
      <c r="AB377" t="s">
        <v>7223</v>
      </c>
      <c r="AC377" t="s">
        <v>7224</v>
      </c>
      <c r="AD377" t="s">
        <v>7225</v>
      </c>
      <c r="AE377" t="s">
        <v>7226</v>
      </c>
      <c r="AF377" t="s">
        <v>74</v>
      </c>
      <c r="AG377">
        <v>31</v>
      </c>
      <c r="AH377">
        <v>32</v>
      </c>
      <c r="AI377">
        <v>37</v>
      </c>
      <c r="AJ377">
        <v>0</v>
      </c>
      <c r="AK377">
        <v>18</v>
      </c>
      <c r="AL377" t="s">
        <v>4800</v>
      </c>
      <c r="AM377" t="s">
        <v>474</v>
      </c>
      <c r="AN377" t="s">
        <v>4801</v>
      </c>
      <c r="AO377" t="s">
        <v>4802</v>
      </c>
      <c r="AP377" t="s">
        <v>4803</v>
      </c>
      <c r="AQ377" t="s">
        <v>74</v>
      </c>
      <c r="AR377" t="s">
        <v>4804</v>
      </c>
      <c r="AS377" t="s">
        <v>4805</v>
      </c>
      <c r="AT377" t="s">
        <v>74</v>
      </c>
      <c r="AU377">
        <v>2013</v>
      </c>
      <c r="AV377">
        <v>2013</v>
      </c>
      <c r="AW377" t="s">
        <v>74</v>
      </c>
      <c r="AX377" t="s">
        <v>74</v>
      </c>
      <c r="AY377" t="s">
        <v>74</v>
      </c>
      <c r="AZ377" t="s">
        <v>74</v>
      </c>
      <c r="BA377" t="s">
        <v>74</v>
      </c>
      <c r="BB377" t="s">
        <v>74</v>
      </c>
      <c r="BC377" t="s">
        <v>74</v>
      </c>
      <c r="BD377">
        <v>925373</v>
      </c>
      <c r="BE377" t="s">
        <v>7227</v>
      </c>
      <c r="BF377" t="str">
        <f>HYPERLINK("http://dx.doi.org/10.1155/2013/925373","http://dx.doi.org/10.1155/2013/925373")</f>
        <v>http://dx.doi.org/10.1155/2013/925373</v>
      </c>
      <c r="BG377" t="s">
        <v>74</v>
      </c>
      <c r="BH377" t="s">
        <v>74</v>
      </c>
      <c r="BI377">
        <v>9</v>
      </c>
      <c r="BJ377" t="s">
        <v>4807</v>
      </c>
      <c r="BK377" t="s">
        <v>102</v>
      </c>
      <c r="BL377" t="s">
        <v>4808</v>
      </c>
      <c r="BM377" t="s">
        <v>7228</v>
      </c>
      <c r="BN377">
        <v>23738333</v>
      </c>
      <c r="BO377" t="s">
        <v>5316</v>
      </c>
      <c r="BP377" t="s">
        <v>74</v>
      </c>
      <c r="BQ377" t="s">
        <v>74</v>
      </c>
      <c r="BR377" t="s">
        <v>105</v>
      </c>
      <c r="BS377" t="s">
        <v>7229</v>
      </c>
      <c r="BT377" t="str">
        <f>HYPERLINK("https%3A%2F%2Fwww.webofscience.com%2Fwos%2Fwoscc%2Ffull-record%2FWOS:000319143500001","View Full Record in Web of Science")</f>
        <v>View Full Record in Web of Science</v>
      </c>
    </row>
    <row r="378" spans="1:72" x14ac:dyDescent="0.15">
      <c r="A378" t="s">
        <v>72</v>
      </c>
      <c r="B378" t="s">
        <v>7230</v>
      </c>
      <c r="C378" t="s">
        <v>74</v>
      </c>
      <c r="D378" t="s">
        <v>74</v>
      </c>
      <c r="E378" t="s">
        <v>74</v>
      </c>
      <c r="F378" t="s">
        <v>7231</v>
      </c>
      <c r="G378" t="s">
        <v>74</v>
      </c>
      <c r="H378" t="s">
        <v>74</v>
      </c>
      <c r="I378" t="s">
        <v>7232</v>
      </c>
      <c r="J378" t="s">
        <v>4495</v>
      </c>
      <c r="K378" t="s">
        <v>74</v>
      </c>
      <c r="L378" t="s">
        <v>74</v>
      </c>
      <c r="M378" t="s">
        <v>78</v>
      </c>
      <c r="N378" t="s">
        <v>1120</v>
      </c>
      <c r="O378" t="s">
        <v>74</v>
      </c>
      <c r="P378" t="s">
        <v>74</v>
      </c>
      <c r="Q378" t="s">
        <v>74</v>
      </c>
      <c r="R378" t="s">
        <v>74</v>
      </c>
      <c r="S378" t="s">
        <v>74</v>
      </c>
      <c r="T378" t="s">
        <v>7233</v>
      </c>
      <c r="U378" t="s">
        <v>7234</v>
      </c>
      <c r="V378" t="s">
        <v>7235</v>
      </c>
      <c r="W378" t="s">
        <v>7236</v>
      </c>
      <c r="X378" t="s">
        <v>7237</v>
      </c>
      <c r="Y378" t="s">
        <v>7238</v>
      </c>
      <c r="Z378" t="s">
        <v>7239</v>
      </c>
      <c r="AA378" t="s">
        <v>7240</v>
      </c>
      <c r="AB378" t="s">
        <v>7241</v>
      </c>
      <c r="AC378" t="s">
        <v>7205</v>
      </c>
      <c r="AD378" t="s">
        <v>7205</v>
      </c>
      <c r="AE378" t="s">
        <v>7242</v>
      </c>
      <c r="AF378" t="s">
        <v>74</v>
      </c>
      <c r="AG378">
        <v>62</v>
      </c>
      <c r="AH378">
        <v>12</v>
      </c>
      <c r="AI378">
        <v>12</v>
      </c>
      <c r="AJ378">
        <v>2</v>
      </c>
      <c r="AK378">
        <v>53</v>
      </c>
      <c r="AL378" t="s">
        <v>4506</v>
      </c>
      <c r="AM378" t="s">
        <v>4507</v>
      </c>
      <c r="AN378" t="s">
        <v>4508</v>
      </c>
      <c r="AO378" t="s">
        <v>4509</v>
      </c>
      <c r="AP378" t="s">
        <v>4510</v>
      </c>
      <c r="AQ378" t="s">
        <v>74</v>
      </c>
      <c r="AR378" t="s">
        <v>4511</v>
      </c>
      <c r="AS378" t="s">
        <v>4512</v>
      </c>
      <c r="AT378" t="s">
        <v>74</v>
      </c>
      <c r="AU378">
        <v>2013</v>
      </c>
      <c r="AV378">
        <v>32</v>
      </c>
      <c r="AW378" t="s">
        <v>74</v>
      </c>
      <c r="AX378" t="s">
        <v>74</v>
      </c>
      <c r="AY378" t="s">
        <v>74</v>
      </c>
      <c r="AZ378" t="s">
        <v>74</v>
      </c>
      <c r="BA378" t="s">
        <v>74</v>
      </c>
      <c r="BB378" t="s">
        <v>74</v>
      </c>
      <c r="BC378" t="s">
        <v>74</v>
      </c>
      <c r="BD378">
        <v>18448</v>
      </c>
      <c r="BE378" t="s">
        <v>7243</v>
      </c>
      <c r="BF378" t="str">
        <f>HYPERLINK("http://dx.doi.org/10.3402/polar.v32i0.18448","http://dx.doi.org/10.3402/polar.v32i0.18448")</f>
        <v>http://dx.doi.org/10.3402/polar.v32i0.18448</v>
      </c>
      <c r="BG378" t="s">
        <v>74</v>
      </c>
      <c r="BH378" t="s">
        <v>74</v>
      </c>
      <c r="BI378">
        <v>11</v>
      </c>
      <c r="BJ378" t="s">
        <v>4514</v>
      </c>
      <c r="BK378" t="s">
        <v>102</v>
      </c>
      <c r="BL378" t="s">
        <v>4515</v>
      </c>
      <c r="BM378" t="s">
        <v>7244</v>
      </c>
      <c r="BN378" t="s">
        <v>74</v>
      </c>
      <c r="BO378" t="s">
        <v>2815</v>
      </c>
      <c r="BP378" t="s">
        <v>74</v>
      </c>
      <c r="BQ378" t="s">
        <v>74</v>
      </c>
      <c r="BR378" t="s">
        <v>105</v>
      </c>
      <c r="BS378" t="s">
        <v>7245</v>
      </c>
      <c r="BT378" t="str">
        <f>HYPERLINK("https%3A%2F%2Fwww.webofscience.com%2Fwos%2Fwoscc%2Ffull-record%2FWOS:000318781300001","View Full Record in Web of Science")</f>
        <v>View Full Record in Web of Science</v>
      </c>
    </row>
    <row r="379" spans="1:72" x14ac:dyDescent="0.15">
      <c r="A379" t="s">
        <v>72</v>
      </c>
      <c r="B379" t="s">
        <v>7246</v>
      </c>
      <c r="C379" t="s">
        <v>74</v>
      </c>
      <c r="D379" t="s">
        <v>74</v>
      </c>
      <c r="E379" t="s">
        <v>74</v>
      </c>
      <c r="F379" t="s">
        <v>7247</v>
      </c>
      <c r="G379" t="s">
        <v>74</v>
      </c>
      <c r="H379" t="s">
        <v>74</v>
      </c>
      <c r="I379" t="s">
        <v>7248</v>
      </c>
      <c r="J379" t="s">
        <v>7249</v>
      </c>
      <c r="K379" t="s">
        <v>74</v>
      </c>
      <c r="L379" t="s">
        <v>74</v>
      </c>
      <c r="M379" t="s">
        <v>78</v>
      </c>
      <c r="N379" t="s">
        <v>79</v>
      </c>
      <c r="O379" t="s">
        <v>74</v>
      </c>
      <c r="P379" t="s">
        <v>74</v>
      </c>
      <c r="Q379" t="s">
        <v>74</v>
      </c>
      <c r="R379" t="s">
        <v>74</v>
      </c>
      <c r="S379" t="s">
        <v>74</v>
      </c>
      <c r="T379" t="s">
        <v>7250</v>
      </c>
      <c r="U379" t="s">
        <v>7251</v>
      </c>
      <c r="V379" t="s">
        <v>7252</v>
      </c>
      <c r="W379" t="s">
        <v>7253</v>
      </c>
      <c r="X379" t="s">
        <v>7254</v>
      </c>
      <c r="Y379" t="s">
        <v>7255</v>
      </c>
      <c r="Z379" t="s">
        <v>7256</v>
      </c>
      <c r="AA379" t="s">
        <v>7257</v>
      </c>
      <c r="AB379" t="s">
        <v>7258</v>
      </c>
      <c r="AC379" t="s">
        <v>7259</v>
      </c>
      <c r="AD379" t="s">
        <v>7260</v>
      </c>
      <c r="AE379" t="s">
        <v>7261</v>
      </c>
      <c r="AF379" t="s">
        <v>74</v>
      </c>
      <c r="AG379">
        <v>60</v>
      </c>
      <c r="AH379">
        <v>16</v>
      </c>
      <c r="AI379">
        <v>16</v>
      </c>
      <c r="AJ379">
        <v>0</v>
      </c>
      <c r="AK379">
        <v>34</v>
      </c>
      <c r="AL379" t="s">
        <v>7020</v>
      </c>
      <c r="AM379" t="s">
        <v>7021</v>
      </c>
      <c r="AN379" t="s">
        <v>7262</v>
      </c>
      <c r="AO379" t="s">
        <v>7263</v>
      </c>
      <c r="AP379" t="s">
        <v>74</v>
      </c>
      <c r="AQ379" t="s">
        <v>74</v>
      </c>
      <c r="AR379" t="s">
        <v>7264</v>
      </c>
      <c r="AS379" t="s">
        <v>7265</v>
      </c>
      <c r="AT379" t="s">
        <v>74</v>
      </c>
      <c r="AU379">
        <v>2013</v>
      </c>
      <c r="AV379">
        <v>21</v>
      </c>
      <c r="AW379">
        <v>2</v>
      </c>
      <c r="AX379" t="s">
        <v>74</v>
      </c>
      <c r="AY379" t="s">
        <v>74</v>
      </c>
      <c r="AZ379" t="s">
        <v>74</v>
      </c>
      <c r="BA379" t="s">
        <v>74</v>
      </c>
      <c r="BB379">
        <v>157</v>
      </c>
      <c r="BC379">
        <v>180</v>
      </c>
      <c r="BD379" t="s">
        <v>74</v>
      </c>
      <c r="BE379" t="s">
        <v>7266</v>
      </c>
      <c r="BF379" t="str">
        <f>HYPERLINK("http://dx.doi.org/10.1080/10641262.2013.785475","http://dx.doi.org/10.1080/10641262.2013.785475")</f>
        <v>http://dx.doi.org/10.1080/10641262.2013.785475</v>
      </c>
      <c r="BG379" t="s">
        <v>74</v>
      </c>
      <c r="BH379" t="s">
        <v>74</v>
      </c>
      <c r="BI379">
        <v>24</v>
      </c>
      <c r="BJ379" t="s">
        <v>5387</v>
      </c>
      <c r="BK379" t="s">
        <v>102</v>
      </c>
      <c r="BL379" t="s">
        <v>5387</v>
      </c>
      <c r="BM379" t="s">
        <v>7267</v>
      </c>
      <c r="BN379" t="s">
        <v>74</v>
      </c>
      <c r="BO379" t="s">
        <v>155</v>
      </c>
      <c r="BP379" t="s">
        <v>74</v>
      </c>
      <c r="BQ379" t="s">
        <v>74</v>
      </c>
      <c r="BR379" t="s">
        <v>105</v>
      </c>
      <c r="BS379" t="s">
        <v>7268</v>
      </c>
      <c r="BT379" t="str">
        <f>HYPERLINK("https%3A%2F%2Fwww.webofscience.com%2Fwos%2Fwoscc%2Ffull-record%2FWOS:000318979900004","View Full Record in Web of Science")</f>
        <v>View Full Record in Web of Science</v>
      </c>
    </row>
    <row r="380" spans="1:72" x14ac:dyDescent="0.15">
      <c r="A380" t="s">
        <v>72</v>
      </c>
      <c r="B380" t="s">
        <v>7269</v>
      </c>
      <c r="C380" t="s">
        <v>74</v>
      </c>
      <c r="D380" t="s">
        <v>74</v>
      </c>
      <c r="E380" t="s">
        <v>74</v>
      </c>
      <c r="F380" t="s">
        <v>7270</v>
      </c>
      <c r="G380" t="s">
        <v>74</v>
      </c>
      <c r="H380" t="s">
        <v>74</v>
      </c>
      <c r="I380" t="s">
        <v>7271</v>
      </c>
      <c r="J380" t="s">
        <v>7272</v>
      </c>
      <c r="K380" t="s">
        <v>74</v>
      </c>
      <c r="L380" t="s">
        <v>74</v>
      </c>
      <c r="M380" t="s">
        <v>78</v>
      </c>
      <c r="N380" t="s">
        <v>79</v>
      </c>
      <c r="O380" t="s">
        <v>74</v>
      </c>
      <c r="P380" t="s">
        <v>74</v>
      </c>
      <c r="Q380" t="s">
        <v>74</v>
      </c>
      <c r="R380" t="s">
        <v>74</v>
      </c>
      <c r="S380" t="s">
        <v>74</v>
      </c>
      <c r="T380" t="s">
        <v>7273</v>
      </c>
      <c r="U380" t="s">
        <v>7274</v>
      </c>
      <c r="V380" t="s">
        <v>7275</v>
      </c>
      <c r="W380" t="s">
        <v>7276</v>
      </c>
      <c r="X380" t="s">
        <v>7277</v>
      </c>
      <c r="Y380" t="s">
        <v>7278</v>
      </c>
      <c r="Z380" t="s">
        <v>7279</v>
      </c>
      <c r="AA380" t="s">
        <v>7280</v>
      </c>
      <c r="AB380" t="s">
        <v>7281</v>
      </c>
      <c r="AC380" t="s">
        <v>7282</v>
      </c>
      <c r="AD380" t="s">
        <v>7283</v>
      </c>
      <c r="AE380" t="s">
        <v>7284</v>
      </c>
      <c r="AF380" t="s">
        <v>74</v>
      </c>
      <c r="AG380">
        <v>28</v>
      </c>
      <c r="AH380">
        <v>2</v>
      </c>
      <c r="AI380">
        <v>2</v>
      </c>
      <c r="AJ380">
        <v>1</v>
      </c>
      <c r="AK380">
        <v>12</v>
      </c>
      <c r="AL380" t="s">
        <v>703</v>
      </c>
      <c r="AM380" t="s">
        <v>704</v>
      </c>
      <c r="AN380" t="s">
        <v>705</v>
      </c>
      <c r="AO380" t="s">
        <v>7285</v>
      </c>
      <c r="AP380" t="s">
        <v>74</v>
      </c>
      <c r="AQ380" t="s">
        <v>74</v>
      </c>
      <c r="AR380" t="s">
        <v>7286</v>
      </c>
      <c r="AS380" t="s">
        <v>7287</v>
      </c>
      <c r="AT380" t="s">
        <v>5170</v>
      </c>
      <c r="AU380">
        <v>2013</v>
      </c>
      <c r="AV380">
        <v>3</v>
      </c>
      <c r="AW380">
        <v>1</v>
      </c>
      <c r="AX380" t="s">
        <v>74</v>
      </c>
      <c r="AY380" t="s">
        <v>74</v>
      </c>
      <c r="AZ380" t="s">
        <v>74</v>
      </c>
      <c r="BA380" t="s">
        <v>74</v>
      </c>
      <c r="BB380">
        <v>15</v>
      </c>
      <c r="BC380">
        <v>24</v>
      </c>
      <c r="BD380" t="s">
        <v>74</v>
      </c>
      <c r="BE380" t="s">
        <v>7288</v>
      </c>
      <c r="BF380" t="str">
        <f>HYPERLINK("http://dx.doi.org/10.1109/TTHZ.2012.2235912","http://dx.doi.org/10.1109/TTHZ.2012.2235912")</f>
        <v>http://dx.doi.org/10.1109/TTHZ.2012.2235912</v>
      </c>
      <c r="BG380" t="s">
        <v>74</v>
      </c>
      <c r="BH380" t="s">
        <v>74</v>
      </c>
      <c r="BI380">
        <v>10</v>
      </c>
      <c r="BJ380" t="s">
        <v>7289</v>
      </c>
      <c r="BK380" t="s">
        <v>102</v>
      </c>
      <c r="BL380" t="s">
        <v>7290</v>
      </c>
      <c r="BM380" t="s">
        <v>7291</v>
      </c>
      <c r="BN380" t="s">
        <v>74</v>
      </c>
      <c r="BO380" t="s">
        <v>74</v>
      </c>
      <c r="BP380" t="s">
        <v>74</v>
      </c>
      <c r="BQ380" t="s">
        <v>74</v>
      </c>
      <c r="BR380" t="s">
        <v>105</v>
      </c>
      <c r="BS380" t="s">
        <v>7292</v>
      </c>
      <c r="BT380" t="str">
        <f>HYPERLINK("https%3A%2F%2Fwww.webofscience.com%2Fwos%2Fwoscc%2Ffull-record%2FWOS:000318770000005","View Full Record in Web of Science")</f>
        <v>View Full Record in Web of Science</v>
      </c>
    </row>
    <row r="381" spans="1:72" x14ac:dyDescent="0.15">
      <c r="A381" t="s">
        <v>72</v>
      </c>
      <c r="B381" t="s">
        <v>7293</v>
      </c>
      <c r="C381" t="s">
        <v>74</v>
      </c>
      <c r="D381" t="s">
        <v>74</v>
      </c>
      <c r="E381" t="s">
        <v>74</v>
      </c>
      <c r="F381" t="s">
        <v>7294</v>
      </c>
      <c r="G381" t="s">
        <v>74</v>
      </c>
      <c r="H381" t="s">
        <v>74</v>
      </c>
      <c r="I381" t="s">
        <v>7295</v>
      </c>
      <c r="J381" t="s">
        <v>5060</v>
      </c>
      <c r="K381" t="s">
        <v>74</v>
      </c>
      <c r="L381" t="s">
        <v>74</v>
      </c>
      <c r="M381" t="s">
        <v>78</v>
      </c>
      <c r="N381" t="s">
        <v>79</v>
      </c>
      <c r="O381" t="s">
        <v>74</v>
      </c>
      <c r="P381" t="s">
        <v>74</v>
      </c>
      <c r="Q381" t="s">
        <v>74</v>
      </c>
      <c r="R381" t="s">
        <v>74</v>
      </c>
      <c r="S381" t="s">
        <v>74</v>
      </c>
      <c r="T381" t="s">
        <v>7296</v>
      </c>
      <c r="U381" t="s">
        <v>7297</v>
      </c>
      <c r="V381" t="s">
        <v>7298</v>
      </c>
      <c r="W381" t="s">
        <v>7299</v>
      </c>
      <c r="X381" t="s">
        <v>7300</v>
      </c>
      <c r="Y381" t="s">
        <v>7301</v>
      </c>
      <c r="Z381" t="s">
        <v>7302</v>
      </c>
      <c r="AA381" t="s">
        <v>7303</v>
      </c>
      <c r="AB381" t="s">
        <v>7304</v>
      </c>
      <c r="AC381" t="s">
        <v>7305</v>
      </c>
      <c r="AD381" t="s">
        <v>7306</v>
      </c>
      <c r="AE381" t="s">
        <v>7307</v>
      </c>
      <c r="AF381" t="s">
        <v>74</v>
      </c>
      <c r="AG381">
        <v>61</v>
      </c>
      <c r="AH381">
        <v>11</v>
      </c>
      <c r="AI381">
        <v>12</v>
      </c>
      <c r="AJ381">
        <v>0</v>
      </c>
      <c r="AK381">
        <v>30</v>
      </c>
      <c r="AL381" t="s">
        <v>4363</v>
      </c>
      <c r="AM381" t="s">
        <v>4364</v>
      </c>
      <c r="AN381" t="s">
        <v>4365</v>
      </c>
      <c r="AO381" t="s">
        <v>5073</v>
      </c>
      <c r="AP381" t="s">
        <v>5074</v>
      </c>
      <c r="AQ381" t="s">
        <v>74</v>
      </c>
      <c r="AR381" t="s">
        <v>5075</v>
      </c>
      <c r="AS381" t="s">
        <v>5076</v>
      </c>
      <c r="AT381" t="s">
        <v>74</v>
      </c>
      <c r="AU381">
        <v>2013</v>
      </c>
      <c r="AV381">
        <v>481</v>
      </c>
      <c r="AW381" t="s">
        <v>74</v>
      </c>
      <c r="AX381" t="s">
        <v>74</v>
      </c>
      <c r="AY381" t="s">
        <v>74</v>
      </c>
      <c r="AZ381" t="s">
        <v>74</v>
      </c>
      <c r="BA381" t="s">
        <v>74</v>
      </c>
      <c r="BB381">
        <v>53</v>
      </c>
      <c r="BC381">
        <v>67</v>
      </c>
      <c r="BD381" t="s">
        <v>74</v>
      </c>
      <c r="BE381" t="s">
        <v>7308</v>
      </c>
      <c r="BF381" t="str">
        <f>HYPERLINK("http://dx.doi.org/10.3354/meps10245","http://dx.doi.org/10.3354/meps10245")</f>
        <v>http://dx.doi.org/10.3354/meps10245</v>
      </c>
      <c r="BG381" t="s">
        <v>74</v>
      </c>
      <c r="BH381" t="s">
        <v>74</v>
      </c>
      <c r="BI381">
        <v>15</v>
      </c>
      <c r="BJ381" t="s">
        <v>5078</v>
      </c>
      <c r="BK381" t="s">
        <v>102</v>
      </c>
      <c r="BL381" t="s">
        <v>5079</v>
      </c>
      <c r="BM381" t="s">
        <v>7309</v>
      </c>
      <c r="BN381" t="s">
        <v>74</v>
      </c>
      <c r="BO381" t="s">
        <v>128</v>
      </c>
      <c r="BP381" t="s">
        <v>74</v>
      </c>
      <c r="BQ381" t="s">
        <v>74</v>
      </c>
      <c r="BR381" t="s">
        <v>105</v>
      </c>
      <c r="BS381" t="s">
        <v>7310</v>
      </c>
      <c r="BT381" t="str">
        <f>HYPERLINK("https%3A%2F%2Fwww.webofscience.com%2Fwos%2Fwoscc%2Ffull-record%2FWOS:000318566400005","View Full Record in Web of Science")</f>
        <v>View Full Record in Web of Science</v>
      </c>
    </row>
    <row r="382" spans="1:72" x14ac:dyDescent="0.15">
      <c r="A382" t="s">
        <v>72</v>
      </c>
      <c r="B382" t="s">
        <v>7311</v>
      </c>
      <c r="C382" t="s">
        <v>74</v>
      </c>
      <c r="D382" t="s">
        <v>74</v>
      </c>
      <c r="E382" t="s">
        <v>74</v>
      </c>
      <c r="F382" t="s">
        <v>7312</v>
      </c>
      <c r="G382" t="s">
        <v>74</v>
      </c>
      <c r="H382" t="s">
        <v>74</v>
      </c>
      <c r="I382" t="s">
        <v>7313</v>
      </c>
      <c r="J382" t="s">
        <v>5060</v>
      </c>
      <c r="K382" t="s">
        <v>74</v>
      </c>
      <c r="L382" t="s">
        <v>74</v>
      </c>
      <c r="M382" t="s">
        <v>78</v>
      </c>
      <c r="N382" t="s">
        <v>79</v>
      </c>
      <c r="O382" t="s">
        <v>74</v>
      </c>
      <c r="P382" t="s">
        <v>74</v>
      </c>
      <c r="Q382" t="s">
        <v>74</v>
      </c>
      <c r="R382" t="s">
        <v>74</v>
      </c>
      <c r="S382" t="s">
        <v>74</v>
      </c>
      <c r="T382" t="s">
        <v>7314</v>
      </c>
      <c r="U382" t="s">
        <v>7315</v>
      </c>
      <c r="V382" t="s">
        <v>7316</v>
      </c>
      <c r="W382" t="s">
        <v>7317</v>
      </c>
      <c r="X382" t="s">
        <v>7318</v>
      </c>
      <c r="Y382" t="s">
        <v>7319</v>
      </c>
      <c r="Z382" t="s">
        <v>7320</v>
      </c>
      <c r="AA382" t="s">
        <v>74</v>
      </c>
      <c r="AB382" t="s">
        <v>7321</v>
      </c>
      <c r="AC382" t="s">
        <v>7322</v>
      </c>
      <c r="AD382" t="s">
        <v>7323</v>
      </c>
      <c r="AE382" t="s">
        <v>7324</v>
      </c>
      <c r="AF382" t="s">
        <v>74</v>
      </c>
      <c r="AG382">
        <v>92</v>
      </c>
      <c r="AH382">
        <v>55</v>
      </c>
      <c r="AI382">
        <v>58</v>
      </c>
      <c r="AJ382">
        <v>2</v>
      </c>
      <c r="AK382">
        <v>29</v>
      </c>
      <c r="AL382" t="s">
        <v>4363</v>
      </c>
      <c r="AM382" t="s">
        <v>4364</v>
      </c>
      <c r="AN382" t="s">
        <v>4365</v>
      </c>
      <c r="AO382" t="s">
        <v>5073</v>
      </c>
      <c r="AP382" t="s">
        <v>74</v>
      </c>
      <c r="AQ382" t="s">
        <v>74</v>
      </c>
      <c r="AR382" t="s">
        <v>5075</v>
      </c>
      <c r="AS382" t="s">
        <v>5076</v>
      </c>
      <c r="AT382" t="s">
        <v>74</v>
      </c>
      <c r="AU382">
        <v>2013</v>
      </c>
      <c r="AV382">
        <v>481</v>
      </c>
      <c r="AW382" t="s">
        <v>74</v>
      </c>
      <c r="AX382" t="s">
        <v>74</v>
      </c>
      <c r="AY382" t="s">
        <v>74</v>
      </c>
      <c r="AZ382" t="s">
        <v>74</v>
      </c>
      <c r="BA382" t="s">
        <v>74</v>
      </c>
      <c r="BB382">
        <v>69</v>
      </c>
      <c r="BC382">
        <v>92</v>
      </c>
      <c r="BD382" t="s">
        <v>74</v>
      </c>
      <c r="BE382" t="s">
        <v>7325</v>
      </c>
      <c r="BF382" t="str">
        <f>HYPERLINK("http://dx.doi.org/10.3354/meps10256","http://dx.doi.org/10.3354/meps10256")</f>
        <v>http://dx.doi.org/10.3354/meps10256</v>
      </c>
      <c r="BG382" t="s">
        <v>74</v>
      </c>
      <c r="BH382" t="s">
        <v>74</v>
      </c>
      <c r="BI382">
        <v>24</v>
      </c>
      <c r="BJ382" t="s">
        <v>5078</v>
      </c>
      <c r="BK382" t="s">
        <v>102</v>
      </c>
      <c r="BL382" t="s">
        <v>5079</v>
      </c>
      <c r="BM382" t="s">
        <v>7309</v>
      </c>
      <c r="BN382" t="s">
        <v>74</v>
      </c>
      <c r="BO382" t="s">
        <v>128</v>
      </c>
      <c r="BP382" t="s">
        <v>74</v>
      </c>
      <c r="BQ382" t="s">
        <v>74</v>
      </c>
      <c r="BR382" t="s">
        <v>105</v>
      </c>
      <c r="BS382" t="s">
        <v>7326</v>
      </c>
      <c r="BT382" t="str">
        <f>HYPERLINK("https%3A%2F%2Fwww.webofscience.com%2Fwos%2Fwoscc%2Ffull-record%2FWOS:000318566400006","View Full Record in Web of Science")</f>
        <v>View Full Record in Web of Science</v>
      </c>
    </row>
    <row r="383" spans="1:72" x14ac:dyDescent="0.15">
      <c r="A383" t="s">
        <v>72</v>
      </c>
      <c r="B383" t="s">
        <v>7327</v>
      </c>
      <c r="C383" t="s">
        <v>74</v>
      </c>
      <c r="D383" t="s">
        <v>74</v>
      </c>
      <c r="E383" t="s">
        <v>74</v>
      </c>
      <c r="F383" t="s">
        <v>7328</v>
      </c>
      <c r="G383" t="s">
        <v>74</v>
      </c>
      <c r="H383" t="s">
        <v>74</v>
      </c>
      <c r="I383" t="s">
        <v>7329</v>
      </c>
      <c r="J383" t="s">
        <v>5060</v>
      </c>
      <c r="K383" t="s">
        <v>74</v>
      </c>
      <c r="L383" t="s">
        <v>74</v>
      </c>
      <c r="M383" t="s">
        <v>78</v>
      </c>
      <c r="N383" t="s">
        <v>79</v>
      </c>
      <c r="O383" t="s">
        <v>74</v>
      </c>
      <c r="P383" t="s">
        <v>74</v>
      </c>
      <c r="Q383" t="s">
        <v>74</v>
      </c>
      <c r="R383" t="s">
        <v>74</v>
      </c>
      <c r="S383" t="s">
        <v>74</v>
      </c>
      <c r="T383" t="s">
        <v>7330</v>
      </c>
      <c r="U383" t="s">
        <v>7331</v>
      </c>
      <c r="V383" t="s">
        <v>7332</v>
      </c>
      <c r="W383" t="s">
        <v>7333</v>
      </c>
      <c r="X383" t="s">
        <v>946</v>
      </c>
      <c r="Y383" t="s">
        <v>7334</v>
      </c>
      <c r="Z383" t="s">
        <v>7335</v>
      </c>
      <c r="AA383" t="s">
        <v>74</v>
      </c>
      <c r="AB383" t="s">
        <v>74</v>
      </c>
      <c r="AC383" t="s">
        <v>7336</v>
      </c>
      <c r="AD383" t="s">
        <v>7337</v>
      </c>
      <c r="AE383" t="s">
        <v>7338</v>
      </c>
      <c r="AF383" t="s">
        <v>74</v>
      </c>
      <c r="AG383">
        <v>62</v>
      </c>
      <c r="AH383">
        <v>11</v>
      </c>
      <c r="AI383">
        <v>11</v>
      </c>
      <c r="AJ383">
        <v>0</v>
      </c>
      <c r="AK383">
        <v>43</v>
      </c>
      <c r="AL383" t="s">
        <v>4363</v>
      </c>
      <c r="AM383" t="s">
        <v>4364</v>
      </c>
      <c r="AN383" t="s">
        <v>4365</v>
      </c>
      <c r="AO383" t="s">
        <v>5073</v>
      </c>
      <c r="AP383" t="s">
        <v>74</v>
      </c>
      <c r="AQ383" t="s">
        <v>74</v>
      </c>
      <c r="AR383" t="s">
        <v>5075</v>
      </c>
      <c r="AS383" t="s">
        <v>5076</v>
      </c>
      <c r="AT383" t="s">
        <v>74</v>
      </c>
      <c r="AU383">
        <v>2013</v>
      </c>
      <c r="AV383">
        <v>481</v>
      </c>
      <c r="AW383" t="s">
        <v>74</v>
      </c>
      <c r="AX383" t="s">
        <v>74</v>
      </c>
      <c r="AY383" t="s">
        <v>74</v>
      </c>
      <c r="AZ383" t="s">
        <v>74</v>
      </c>
      <c r="BA383" t="s">
        <v>74</v>
      </c>
      <c r="BB383">
        <v>93</v>
      </c>
      <c r="BC383">
        <v>104</v>
      </c>
      <c r="BD383" t="s">
        <v>74</v>
      </c>
      <c r="BE383" t="s">
        <v>7339</v>
      </c>
      <c r="BF383" t="str">
        <f>HYPERLINK("http://dx.doi.org/10.3354/meps10263","http://dx.doi.org/10.3354/meps10263")</f>
        <v>http://dx.doi.org/10.3354/meps10263</v>
      </c>
      <c r="BG383" t="s">
        <v>74</v>
      </c>
      <c r="BH383" t="s">
        <v>74</v>
      </c>
      <c r="BI383">
        <v>12</v>
      </c>
      <c r="BJ383" t="s">
        <v>5078</v>
      </c>
      <c r="BK383" t="s">
        <v>102</v>
      </c>
      <c r="BL383" t="s">
        <v>5079</v>
      </c>
      <c r="BM383" t="s">
        <v>7309</v>
      </c>
      <c r="BN383" t="s">
        <v>74</v>
      </c>
      <c r="BO383" t="s">
        <v>1379</v>
      </c>
      <c r="BP383" t="s">
        <v>74</v>
      </c>
      <c r="BQ383" t="s">
        <v>74</v>
      </c>
      <c r="BR383" t="s">
        <v>105</v>
      </c>
      <c r="BS383" t="s">
        <v>7340</v>
      </c>
      <c r="BT383" t="str">
        <f>HYPERLINK("https%3A%2F%2Fwww.webofscience.com%2Fwos%2Fwoscc%2Ffull-record%2FWOS:000318566400007","View Full Record in Web of Science")</f>
        <v>View Full Record in Web of Science</v>
      </c>
    </row>
    <row r="384" spans="1:72" x14ac:dyDescent="0.15">
      <c r="A384" t="s">
        <v>72</v>
      </c>
      <c r="B384" t="s">
        <v>7341</v>
      </c>
      <c r="C384" t="s">
        <v>74</v>
      </c>
      <c r="D384" t="s">
        <v>74</v>
      </c>
      <c r="E384" t="s">
        <v>74</v>
      </c>
      <c r="F384" t="s">
        <v>7342</v>
      </c>
      <c r="G384" t="s">
        <v>74</v>
      </c>
      <c r="H384" t="s">
        <v>74</v>
      </c>
      <c r="I384" t="s">
        <v>7343</v>
      </c>
      <c r="J384" t="s">
        <v>4495</v>
      </c>
      <c r="K384" t="s">
        <v>74</v>
      </c>
      <c r="L384" t="s">
        <v>74</v>
      </c>
      <c r="M384" t="s">
        <v>78</v>
      </c>
      <c r="N384" t="s">
        <v>79</v>
      </c>
      <c r="O384" t="s">
        <v>74</v>
      </c>
      <c r="P384" t="s">
        <v>74</v>
      </c>
      <c r="Q384" t="s">
        <v>74</v>
      </c>
      <c r="R384" t="s">
        <v>74</v>
      </c>
      <c r="S384" t="s">
        <v>74</v>
      </c>
      <c r="T384" t="s">
        <v>7344</v>
      </c>
      <c r="U384" t="s">
        <v>7345</v>
      </c>
      <c r="V384" t="s">
        <v>7346</v>
      </c>
      <c r="W384" t="s">
        <v>7347</v>
      </c>
      <c r="X384" t="s">
        <v>7348</v>
      </c>
      <c r="Y384" t="s">
        <v>7349</v>
      </c>
      <c r="Z384" t="s">
        <v>7350</v>
      </c>
      <c r="AA384" t="s">
        <v>7351</v>
      </c>
      <c r="AB384" t="s">
        <v>74</v>
      </c>
      <c r="AC384" t="s">
        <v>74</v>
      </c>
      <c r="AD384" t="s">
        <v>74</v>
      </c>
      <c r="AE384" t="s">
        <v>74</v>
      </c>
      <c r="AF384" t="s">
        <v>74</v>
      </c>
      <c r="AG384">
        <v>52</v>
      </c>
      <c r="AH384">
        <v>6</v>
      </c>
      <c r="AI384">
        <v>6</v>
      </c>
      <c r="AJ384">
        <v>0</v>
      </c>
      <c r="AK384">
        <v>97</v>
      </c>
      <c r="AL384" t="s">
        <v>1343</v>
      </c>
      <c r="AM384" t="s">
        <v>1344</v>
      </c>
      <c r="AN384" t="s">
        <v>1345</v>
      </c>
      <c r="AO384" t="s">
        <v>4509</v>
      </c>
      <c r="AP384" t="s">
        <v>4510</v>
      </c>
      <c r="AQ384" t="s">
        <v>74</v>
      </c>
      <c r="AR384" t="s">
        <v>4511</v>
      </c>
      <c r="AS384" t="s">
        <v>4512</v>
      </c>
      <c r="AT384" t="s">
        <v>74</v>
      </c>
      <c r="AU384">
        <v>2013</v>
      </c>
      <c r="AV384">
        <v>32</v>
      </c>
      <c r="AW384" t="s">
        <v>74</v>
      </c>
      <c r="AX384" t="s">
        <v>74</v>
      </c>
      <c r="AY384" t="s">
        <v>74</v>
      </c>
      <c r="AZ384" t="s">
        <v>74</v>
      </c>
      <c r="BA384" t="s">
        <v>74</v>
      </c>
      <c r="BB384" t="s">
        <v>74</v>
      </c>
      <c r="BC384" t="s">
        <v>74</v>
      </c>
      <c r="BD384">
        <v>18521</v>
      </c>
      <c r="BE384" t="s">
        <v>7352</v>
      </c>
      <c r="BF384" t="str">
        <f>HYPERLINK("http://dx.doi.org/10.3402/polar.v32i0.18521","http://dx.doi.org/10.3402/polar.v32i0.18521")</f>
        <v>http://dx.doi.org/10.3402/polar.v32i0.18521</v>
      </c>
      <c r="BG384" t="s">
        <v>74</v>
      </c>
      <c r="BH384" t="s">
        <v>74</v>
      </c>
      <c r="BI384">
        <v>11</v>
      </c>
      <c r="BJ384" t="s">
        <v>4514</v>
      </c>
      <c r="BK384" t="s">
        <v>102</v>
      </c>
      <c r="BL384" t="s">
        <v>4515</v>
      </c>
      <c r="BM384" t="s">
        <v>7353</v>
      </c>
      <c r="BN384" t="s">
        <v>74</v>
      </c>
      <c r="BO384" t="s">
        <v>2629</v>
      </c>
      <c r="BP384" t="s">
        <v>74</v>
      </c>
      <c r="BQ384" t="s">
        <v>74</v>
      </c>
      <c r="BR384" t="s">
        <v>105</v>
      </c>
      <c r="BS384" t="s">
        <v>7354</v>
      </c>
      <c r="BT384" t="str">
        <f>HYPERLINK("https%3A%2F%2Fwww.webofscience.com%2Fwos%2Fwoscc%2Ffull-record%2FWOS:000318781500001","View Full Record in Web of Science")</f>
        <v>View Full Record in Web of Science</v>
      </c>
    </row>
    <row r="385" spans="1:72" x14ac:dyDescent="0.15">
      <c r="A385" t="s">
        <v>72</v>
      </c>
      <c r="B385" t="s">
        <v>7355</v>
      </c>
      <c r="C385" t="s">
        <v>74</v>
      </c>
      <c r="D385" t="s">
        <v>74</v>
      </c>
      <c r="E385" t="s">
        <v>74</v>
      </c>
      <c r="F385" t="s">
        <v>7356</v>
      </c>
      <c r="G385" t="s">
        <v>74</v>
      </c>
      <c r="H385" t="s">
        <v>74</v>
      </c>
      <c r="I385" t="s">
        <v>7357</v>
      </c>
      <c r="J385" t="s">
        <v>6427</v>
      </c>
      <c r="K385" t="s">
        <v>74</v>
      </c>
      <c r="L385" t="s">
        <v>74</v>
      </c>
      <c r="M385" t="s">
        <v>78</v>
      </c>
      <c r="N385" t="s">
        <v>79</v>
      </c>
      <c r="O385" t="s">
        <v>74</v>
      </c>
      <c r="P385" t="s">
        <v>74</v>
      </c>
      <c r="Q385" t="s">
        <v>74</v>
      </c>
      <c r="R385" t="s">
        <v>74</v>
      </c>
      <c r="S385" t="s">
        <v>74</v>
      </c>
      <c r="T385" t="s">
        <v>7358</v>
      </c>
      <c r="U385" t="s">
        <v>7359</v>
      </c>
      <c r="V385" t="s">
        <v>7360</v>
      </c>
      <c r="W385" t="s">
        <v>7361</v>
      </c>
      <c r="X385" t="s">
        <v>1037</v>
      </c>
      <c r="Y385" t="s">
        <v>1038</v>
      </c>
      <c r="Z385" t="s">
        <v>1039</v>
      </c>
      <c r="AA385" t="s">
        <v>74</v>
      </c>
      <c r="AB385" t="s">
        <v>74</v>
      </c>
      <c r="AC385" t="s">
        <v>74</v>
      </c>
      <c r="AD385" t="s">
        <v>74</v>
      </c>
      <c r="AE385" t="s">
        <v>74</v>
      </c>
      <c r="AF385" t="s">
        <v>74</v>
      </c>
      <c r="AG385">
        <v>19</v>
      </c>
      <c r="AH385">
        <v>9</v>
      </c>
      <c r="AI385">
        <v>12</v>
      </c>
      <c r="AJ385">
        <v>0</v>
      </c>
      <c r="AK385">
        <v>9</v>
      </c>
      <c r="AL385" t="s">
        <v>6459</v>
      </c>
      <c r="AM385" t="s">
        <v>4076</v>
      </c>
      <c r="AN385" t="s">
        <v>7362</v>
      </c>
      <c r="AO385" t="s">
        <v>6441</v>
      </c>
      <c r="AP385" t="s">
        <v>74</v>
      </c>
      <c r="AQ385" t="s">
        <v>74</v>
      </c>
      <c r="AR385" t="s">
        <v>6427</v>
      </c>
      <c r="AS385" t="s">
        <v>6443</v>
      </c>
      <c r="AT385" t="s">
        <v>74</v>
      </c>
      <c r="AU385">
        <v>2013</v>
      </c>
      <c r="AV385" t="s">
        <v>74</v>
      </c>
      <c r="AW385">
        <v>296</v>
      </c>
      <c r="AX385" t="s">
        <v>74</v>
      </c>
      <c r="AY385" t="s">
        <v>74</v>
      </c>
      <c r="AZ385" t="s">
        <v>74</v>
      </c>
      <c r="BA385" t="s">
        <v>74</v>
      </c>
      <c r="BB385">
        <v>59</v>
      </c>
      <c r="BC385">
        <v>77</v>
      </c>
      <c r="BD385" t="s">
        <v>74</v>
      </c>
      <c r="BE385" t="s">
        <v>7363</v>
      </c>
      <c r="BF385" t="str">
        <f>HYPERLINK("http://dx.doi.org/10.3897/zookeys.296.4295","http://dx.doi.org/10.3897/zookeys.296.4295")</f>
        <v>http://dx.doi.org/10.3897/zookeys.296.4295</v>
      </c>
      <c r="BG385" t="s">
        <v>74</v>
      </c>
      <c r="BH385" t="s">
        <v>74</v>
      </c>
      <c r="BI385">
        <v>19</v>
      </c>
      <c r="BJ385" t="s">
        <v>3023</v>
      </c>
      <c r="BK385" t="s">
        <v>102</v>
      </c>
      <c r="BL385" t="s">
        <v>3023</v>
      </c>
      <c r="BM385" t="s">
        <v>7364</v>
      </c>
      <c r="BN385">
        <v>23794878</v>
      </c>
      <c r="BO385" t="s">
        <v>3098</v>
      </c>
      <c r="BP385" t="s">
        <v>74</v>
      </c>
      <c r="BQ385" t="s">
        <v>74</v>
      </c>
      <c r="BR385" t="s">
        <v>105</v>
      </c>
      <c r="BS385" t="s">
        <v>7365</v>
      </c>
      <c r="BT385" t="str">
        <f>HYPERLINK("https%3A%2F%2Fwww.webofscience.com%2Fwos%2Fwoscc%2Ffull-record%2FWOS:000318539300003","View Full Record in Web of Science")</f>
        <v>View Full Record in Web of Science</v>
      </c>
    </row>
    <row r="386" spans="1:72" x14ac:dyDescent="0.15">
      <c r="A386" t="s">
        <v>72</v>
      </c>
      <c r="B386" t="s">
        <v>7366</v>
      </c>
      <c r="C386" t="s">
        <v>74</v>
      </c>
      <c r="D386" t="s">
        <v>74</v>
      </c>
      <c r="E386" t="s">
        <v>74</v>
      </c>
      <c r="F386" t="s">
        <v>7367</v>
      </c>
      <c r="G386" t="s">
        <v>74</v>
      </c>
      <c r="H386" t="s">
        <v>74</v>
      </c>
      <c r="I386" t="s">
        <v>7368</v>
      </c>
      <c r="J386" t="s">
        <v>5486</v>
      </c>
      <c r="K386" t="s">
        <v>74</v>
      </c>
      <c r="L386" t="s">
        <v>74</v>
      </c>
      <c r="M386" t="s">
        <v>78</v>
      </c>
      <c r="N386" t="s">
        <v>79</v>
      </c>
      <c r="O386" t="s">
        <v>74</v>
      </c>
      <c r="P386" t="s">
        <v>74</v>
      </c>
      <c r="Q386" t="s">
        <v>74</v>
      </c>
      <c r="R386" t="s">
        <v>74</v>
      </c>
      <c r="S386" t="s">
        <v>74</v>
      </c>
      <c r="T386" t="s">
        <v>7369</v>
      </c>
      <c r="U386" t="s">
        <v>7370</v>
      </c>
      <c r="V386" t="s">
        <v>7371</v>
      </c>
      <c r="W386" t="s">
        <v>7372</v>
      </c>
      <c r="X386" t="s">
        <v>7373</v>
      </c>
      <c r="Y386" t="s">
        <v>7374</v>
      </c>
      <c r="Z386" t="s">
        <v>7375</v>
      </c>
      <c r="AA386" t="s">
        <v>74</v>
      </c>
      <c r="AB386" t="s">
        <v>74</v>
      </c>
      <c r="AC386" t="s">
        <v>7376</v>
      </c>
      <c r="AD386" t="s">
        <v>7377</v>
      </c>
      <c r="AE386" t="s">
        <v>7378</v>
      </c>
      <c r="AF386" t="s">
        <v>74</v>
      </c>
      <c r="AG386">
        <v>25</v>
      </c>
      <c r="AH386">
        <v>12</v>
      </c>
      <c r="AI386">
        <v>13</v>
      </c>
      <c r="AJ386">
        <v>1</v>
      </c>
      <c r="AK386">
        <v>9</v>
      </c>
      <c r="AL386" t="s">
        <v>4248</v>
      </c>
      <c r="AM386" t="s">
        <v>4249</v>
      </c>
      <c r="AN386" t="s">
        <v>4250</v>
      </c>
      <c r="AO386" t="s">
        <v>5499</v>
      </c>
      <c r="AP386" t="s">
        <v>5500</v>
      </c>
      <c r="AQ386" t="s">
        <v>74</v>
      </c>
      <c r="AR386" t="s">
        <v>5501</v>
      </c>
      <c r="AS386" t="s">
        <v>4129</v>
      </c>
      <c r="AT386" t="s">
        <v>74</v>
      </c>
      <c r="AU386">
        <v>2013</v>
      </c>
      <c r="AV386">
        <v>31</v>
      </c>
      <c r="AW386">
        <v>4</v>
      </c>
      <c r="AX386" t="s">
        <v>74</v>
      </c>
      <c r="AY386" t="s">
        <v>74</v>
      </c>
      <c r="AZ386" t="s">
        <v>74</v>
      </c>
      <c r="BA386" t="s">
        <v>74</v>
      </c>
      <c r="BB386">
        <v>591</v>
      </c>
      <c r="BC386">
        <v>598</v>
      </c>
      <c r="BD386" t="s">
        <v>74</v>
      </c>
      <c r="BE386" t="s">
        <v>7379</v>
      </c>
      <c r="BF386" t="str">
        <f>HYPERLINK("http://dx.doi.org/10.5194/angeo-31-591-2013","http://dx.doi.org/10.5194/angeo-31-591-2013")</f>
        <v>http://dx.doi.org/10.5194/angeo-31-591-2013</v>
      </c>
      <c r="BG386" t="s">
        <v>74</v>
      </c>
      <c r="BH386" t="s">
        <v>74</v>
      </c>
      <c r="BI386">
        <v>8</v>
      </c>
      <c r="BJ386" t="s">
        <v>5503</v>
      </c>
      <c r="BK386" t="s">
        <v>102</v>
      </c>
      <c r="BL386" t="s">
        <v>5504</v>
      </c>
      <c r="BM386" t="s">
        <v>7380</v>
      </c>
      <c r="BN386" t="s">
        <v>74</v>
      </c>
      <c r="BO386" t="s">
        <v>4132</v>
      </c>
      <c r="BP386" t="s">
        <v>74</v>
      </c>
      <c r="BQ386" t="s">
        <v>74</v>
      </c>
      <c r="BR386" t="s">
        <v>105</v>
      </c>
      <c r="BS386" t="s">
        <v>7381</v>
      </c>
      <c r="BT386" t="str">
        <f>HYPERLINK("https%3A%2F%2Fwww.webofscience.com%2Fwos%2Fwoscc%2Ffull-record%2FWOS:000318432600002","View Full Record in Web of Science")</f>
        <v>View Full Record in Web of Science</v>
      </c>
    </row>
    <row r="387" spans="1:72" x14ac:dyDescent="0.15">
      <c r="A387" t="s">
        <v>72</v>
      </c>
      <c r="B387" t="s">
        <v>7382</v>
      </c>
      <c r="C387" t="s">
        <v>74</v>
      </c>
      <c r="D387" t="s">
        <v>74</v>
      </c>
      <c r="E387" t="s">
        <v>74</v>
      </c>
      <c r="F387" t="s">
        <v>7383</v>
      </c>
      <c r="G387" t="s">
        <v>74</v>
      </c>
      <c r="H387" t="s">
        <v>74</v>
      </c>
      <c r="I387" t="s">
        <v>7384</v>
      </c>
      <c r="J387" t="s">
        <v>5486</v>
      </c>
      <c r="K387" t="s">
        <v>74</v>
      </c>
      <c r="L387" t="s">
        <v>74</v>
      </c>
      <c r="M387" t="s">
        <v>78</v>
      </c>
      <c r="N387" t="s">
        <v>79</v>
      </c>
      <c r="O387" t="s">
        <v>74</v>
      </c>
      <c r="P387" t="s">
        <v>74</v>
      </c>
      <c r="Q387" t="s">
        <v>74</v>
      </c>
      <c r="R387" t="s">
        <v>74</v>
      </c>
      <c r="S387" t="s">
        <v>74</v>
      </c>
      <c r="T387" t="s">
        <v>7385</v>
      </c>
      <c r="U387" t="s">
        <v>7386</v>
      </c>
      <c r="V387" t="s">
        <v>7387</v>
      </c>
      <c r="W387" t="s">
        <v>7388</v>
      </c>
      <c r="X387" t="s">
        <v>7389</v>
      </c>
      <c r="Y387" t="s">
        <v>7390</v>
      </c>
      <c r="Z387" t="s">
        <v>7391</v>
      </c>
      <c r="AA387" t="s">
        <v>74</v>
      </c>
      <c r="AB387" t="s">
        <v>74</v>
      </c>
      <c r="AC387" t="s">
        <v>7392</v>
      </c>
      <c r="AD387" t="s">
        <v>7393</v>
      </c>
      <c r="AE387" t="s">
        <v>7394</v>
      </c>
      <c r="AF387" t="s">
        <v>74</v>
      </c>
      <c r="AG387">
        <v>42</v>
      </c>
      <c r="AH387">
        <v>1</v>
      </c>
      <c r="AI387">
        <v>1</v>
      </c>
      <c r="AJ387">
        <v>0</v>
      </c>
      <c r="AK387">
        <v>3</v>
      </c>
      <c r="AL387" t="s">
        <v>4248</v>
      </c>
      <c r="AM387" t="s">
        <v>4249</v>
      </c>
      <c r="AN387" t="s">
        <v>4250</v>
      </c>
      <c r="AO387" t="s">
        <v>5499</v>
      </c>
      <c r="AP387" t="s">
        <v>74</v>
      </c>
      <c r="AQ387" t="s">
        <v>74</v>
      </c>
      <c r="AR387" t="s">
        <v>5501</v>
      </c>
      <c r="AS387" t="s">
        <v>4129</v>
      </c>
      <c r="AT387" t="s">
        <v>74</v>
      </c>
      <c r="AU387">
        <v>2013</v>
      </c>
      <c r="AV387">
        <v>31</v>
      </c>
      <c r="AW387">
        <v>4</v>
      </c>
      <c r="AX387" t="s">
        <v>74</v>
      </c>
      <c r="AY387" t="s">
        <v>74</v>
      </c>
      <c r="AZ387" t="s">
        <v>74</v>
      </c>
      <c r="BA387" t="s">
        <v>74</v>
      </c>
      <c r="BB387">
        <v>675</v>
      </c>
      <c r="BC387">
        <v>687</v>
      </c>
      <c r="BD387" t="s">
        <v>74</v>
      </c>
      <c r="BE387" t="s">
        <v>7395</v>
      </c>
      <c r="BF387" t="str">
        <f>HYPERLINK("http://dx.doi.org/10.5194/angeo-31-675-2013","http://dx.doi.org/10.5194/angeo-31-675-2013")</f>
        <v>http://dx.doi.org/10.5194/angeo-31-675-2013</v>
      </c>
      <c r="BG387" t="s">
        <v>74</v>
      </c>
      <c r="BH387" t="s">
        <v>74</v>
      </c>
      <c r="BI387">
        <v>13</v>
      </c>
      <c r="BJ387" t="s">
        <v>5503</v>
      </c>
      <c r="BK387" t="s">
        <v>102</v>
      </c>
      <c r="BL387" t="s">
        <v>5504</v>
      </c>
      <c r="BM387" t="s">
        <v>7380</v>
      </c>
      <c r="BN387" t="s">
        <v>74</v>
      </c>
      <c r="BO387" t="s">
        <v>4132</v>
      </c>
      <c r="BP387" t="s">
        <v>74</v>
      </c>
      <c r="BQ387" t="s">
        <v>74</v>
      </c>
      <c r="BR387" t="s">
        <v>105</v>
      </c>
      <c r="BS387" t="s">
        <v>7396</v>
      </c>
      <c r="BT387" t="str">
        <f>HYPERLINK("https%3A%2F%2Fwww.webofscience.com%2Fwos%2Fwoscc%2Ffull-record%2FWOS:000318432600009","View Full Record in Web of Science")</f>
        <v>View Full Record in Web of Science</v>
      </c>
    </row>
    <row r="388" spans="1:72" x14ac:dyDescent="0.15">
      <c r="A388" t="s">
        <v>72</v>
      </c>
      <c r="B388" t="s">
        <v>7397</v>
      </c>
      <c r="C388" t="s">
        <v>74</v>
      </c>
      <c r="D388" t="s">
        <v>74</v>
      </c>
      <c r="E388" t="s">
        <v>74</v>
      </c>
      <c r="F388" t="s">
        <v>7398</v>
      </c>
      <c r="G388" t="s">
        <v>74</v>
      </c>
      <c r="H388" t="s">
        <v>74</v>
      </c>
      <c r="I388" t="s">
        <v>7399</v>
      </c>
      <c r="J388" t="s">
        <v>7400</v>
      </c>
      <c r="K388" t="s">
        <v>74</v>
      </c>
      <c r="L388" t="s">
        <v>74</v>
      </c>
      <c r="M388" t="s">
        <v>78</v>
      </c>
      <c r="N388" t="s">
        <v>79</v>
      </c>
      <c r="O388" t="s">
        <v>74</v>
      </c>
      <c r="P388" t="s">
        <v>74</v>
      </c>
      <c r="Q388" t="s">
        <v>74</v>
      </c>
      <c r="R388" t="s">
        <v>74</v>
      </c>
      <c r="S388" t="s">
        <v>74</v>
      </c>
      <c r="T388" t="s">
        <v>7401</v>
      </c>
      <c r="U388" t="s">
        <v>7402</v>
      </c>
      <c r="V388" t="s">
        <v>7403</v>
      </c>
      <c r="W388" t="s">
        <v>7404</v>
      </c>
      <c r="X388" t="s">
        <v>7405</v>
      </c>
      <c r="Y388" t="s">
        <v>7406</v>
      </c>
      <c r="Z388" t="s">
        <v>7407</v>
      </c>
      <c r="AA388" t="s">
        <v>7408</v>
      </c>
      <c r="AB388" t="s">
        <v>7409</v>
      </c>
      <c r="AC388" t="s">
        <v>7410</v>
      </c>
      <c r="AD388" t="s">
        <v>7411</v>
      </c>
      <c r="AE388" t="s">
        <v>7412</v>
      </c>
      <c r="AF388" t="s">
        <v>74</v>
      </c>
      <c r="AG388">
        <v>86</v>
      </c>
      <c r="AH388">
        <v>6</v>
      </c>
      <c r="AI388">
        <v>6</v>
      </c>
      <c r="AJ388">
        <v>0</v>
      </c>
      <c r="AK388">
        <v>28</v>
      </c>
      <c r="AL388" t="s">
        <v>1343</v>
      </c>
      <c r="AM388" t="s">
        <v>1344</v>
      </c>
      <c r="AN388" t="s">
        <v>1345</v>
      </c>
      <c r="AO388" t="s">
        <v>7413</v>
      </c>
      <c r="AP388" t="s">
        <v>7414</v>
      </c>
      <c r="AQ388" t="s">
        <v>74</v>
      </c>
      <c r="AR388" t="s">
        <v>7415</v>
      </c>
      <c r="AS388" t="s">
        <v>7416</v>
      </c>
      <c r="AT388" t="s">
        <v>74</v>
      </c>
      <c r="AU388">
        <v>2013</v>
      </c>
      <c r="AV388">
        <v>51</v>
      </c>
      <c r="AW388">
        <v>2</v>
      </c>
      <c r="AX388" t="s">
        <v>74</v>
      </c>
      <c r="AY388" t="s">
        <v>74</v>
      </c>
      <c r="AZ388" t="s">
        <v>74</v>
      </c>
      <c r="BA388" t="s">
        <v>74</v>
      </c>
      <c r="BB388">
        <v>187</v>
      </c>
      <c r="BC388">
        <v>212</v>
      </c>
      <c r="BD388" t="s">
        <v>74</v>
      </c>
      <c r="BE388" t="s">
        <v>7417</v>
      </c>
      <c r="BF388" t="str">
        <f>HYPERLINK("http://dx.doi.org/10.1080/07055900.2013.773880","http://dx.doi.org/10.1080/07055900.2013.773880")</f>
        <v>http://dx.doi.org/10.1080/07055900.2013.773880</v>
      </c>
      <c r="BG388" t="s">
        <v>74</v>
      </c>
      <c r="BH388" t="s">
        <v>74</v>
      </c>
      <c r="BI388">
        <v>26</v>
      </c>
      <c r="BJ388" t="s">
        <v>617</v>
      </c>
      <c r="BK388" t="s">
        <v>102</v>
      </c>
      <c r="BL388" t="s">
        <v>617</v>
      </c>
      <c r="BM388" t="s">
        <v>7418</v>
      </c>
      <c r="BN388" t="s">
        <v>74</v>
      </c>
      <c r="BO388" t="s">
        <v>128</v>
      </c>
      <c r="BP388" t="s">
        <v>74</v>
      </c>
      <c r="BQ388" t="s">
        <v>74</v>
      </c>
      <c r="BR388" t="s">
        <v>105</v>
      </c>
      <c r="BS388" t="s">
        <v>7419</v>
      </c>
      <c r="BT388" t="str">
        <f>HYPERLINK("https%3A%2F%2Fwww.webofscience.com%2Fwos%2Fwoscc%2Ffull-record%2FWOS:000318161700005","View Full Record in Web of Science")</f>
        <v>View Full Record in Web of Science</v>
      </c>
    </row>
    <row r="389" spans="1:72" x14ac:dyDescent="0.15">
      <c r="A389" t="s">
        <v>3251</v>
      </c>
      <c r="B389" t="s">
        <v>7420</v>
      </c>
      <c r="C389" t="s">
        <v>74</v>
      </c>
      <c r="D389" t="s">
        <v>7421</v>
      </c>
      <c r="E389" t="s">
        <v>74</v>
      </c>
      <c r="F389" t="s">
        <v>7422</v>
      </c>
      <c r="G389" t="s">
        <v>74</v>
      </c>
      <c r="H389" t="s">
        <v>74</v>
      </c>
      <c r="I389" t="s">
        <v>7423</v>
      </c>
      <c r="J389" t="s">
        <v>7424</v>
      </c>
      <c r="K389" t="s">
        <v>74</v>
      </c>
      <c r="L389" t="s">
        <v>74</v>
      </c>
      <c r="M389" t="s">
        <v>78</v>
      </c>
      <c r="N389" t="s">
        <v>3258</v>
      </c>
      <c r="O389" t="s">
        <v>74</v>
      </c>
      <c r="P389" t="s">
        <v>74</v>
      </c>
      <c r="Q389" t="s">
        <v>74</v>
      </c>
      <c r="R389" t="s">
        <v>74</v>
      </c>
      <c r="S389" t="s">
        <v>74</v>
      </c>
      <c r="T389" t="s">
        <v>74</v>
      </c>
      <c r="U389" t="s">
        <v>7425</v>
      </c>
      <c r="V389" t="s">
        <v>74</v>
      </c>
      <c r="W389" t="s">
        <v>7426</v>
      </c>
      <c r="X389" t="s">
        <v>7427</v>
      </c>
      <c r="Y389" t="s">
        <v>7428</v>
      </c>
      <c r="Z389" t="s">
        <v>7429</v>
      </c>
      <c r="AA389" t="s">
        <v>74</v>
      </c>
      <c r="AB389" t="s">
        <v>74</v>
      </c>
      <c r="AC389" t="s">
        <v>74</v>
      </c>
      <c r="AD389" t="s">
        <v>74</v>
      </c>
      <c r="AE389" t="s">
        <v>74</v>
      </c>
      <c r="AF389" t="s">
        <v>74</v>
      </c>
      <c r="AG389">
        <v>53</v>
      </c>
      <c r="AH389">
        <v>2</v>
      </c>
      <c r="AI389">
        <v>2</v>
      </c>
      <c r="AJ389">
        <v>0</v>
      </c>
      <c r="AK389">
        <v>22</v>
      </c>
      <c r="AL389" t="s">
        <v>7430</v>
      </c>
      <c r="AM389" t="s">
        <v>7431</v>
      </c>
      <c r="AN389" t="s">
        <v>7432</v>
      </c>
      <c r="AO389" t="s">
        <v>74</v>
      </c>
      <c r="AP389" t="s">
        <v>74</v>
      </c>
      <c r="AQ389" t="s">
        <v>7433</v>
      </c>
      <c r="AR389" t="s">
        <v>74</v>
      </c>
      <c r="AS389" t="s">
        <v>74</v>
      </c>
      <c r="AT389" t="s">
        <v>74</v>
      </c>
      <c r="AU389">
        <v>2013</v>
      </c>
      <c r="AV389" t="s">
        <v>74</v>
      </c>
      <c r="AW389" t="s">
        <v>74</v>
      </c>
      <c r="AX389" t="s">
        <v>74</v>
      </c>
      <c r="AY389" t="s">
        <v>74</v>
      </c>
      <c r="AZ389" t="s">
        <v>74</v>
      </c>
      <c r="BA389" t="s">
        <v>74</v>
      </c>
      <c r="BB389">
        <v>23</v>
      </c>
      <c r="BC389">
        <v>36</v>
      </c>
      <c r="BD389" t="s">
        <v>74</v>
      </c>
      <c r="BE389" t="s">
        <v>74</v>
      </c>
      <c r="BF389" t="s">
        <v>74</v>
      </c>
      <c r="BG389" t="s">
        <v>74</v>
      </c>
      <c r="BH389" t="s">
        <v>74</v>
      </c>
      <c r="BI389">
        <v>14</v>
      </c>
      <c r="BJ389" t="s">
        <v>7434</v>
      </c>
      <c r="BK389" t="s">
        <v>3379</v>
      </c>
      <c r="BL389" t="s">
        <v>7435</v>
      </c>
      <c r="BM389" t="s">
        <v>7436</v>
      </c>
      <c r="BN389" t="s">
        <v>74</v>
      </c>
      <c r="BO389" t="s">
        <v>74</v>
      </c>
      <c r="BP389" t="s">
        <v>74</v>
      </c>
      <c r="BQ389" t="s">
        <v>74</v>
      </c>
      <c r="BR389" t="s">
        <v>105</v>
      </c>
      <c r="BS389" t="s">
        <v>7437</v>
      </c>
      <c r="BT389" t="str">
        <f>HYPERLINK("https%3A%2F%2Fwww.webofscience.com%2Fwos%2Fwoscc%2Ffull-record%2FWOS:000318737300002","View Full Record in Web of Science")</f>
        <v>View Full Record in Web of Science</v>
      </c>
    </row>
    <row r="390" spans="1:72" x14ac:dyDescent="0.15">
      <c r="A390" t="s">
        <v>3251</v>
      </c>
      <c r="B390" t="s">
        <v>7438</v>
      </c>
      <c r="C390" t="s">
        <v>74</v>
      </c>
      <c r="D390" t="s">
        <v>7421</v>
      </c>
      <c r="E390" t="s">
        <v>74</v>
      </c>
      <c r="F390" t="s">
        <v>7439</v>
      </c>
      <c r="G390" t="s">
        <v>74</v>
      </c>
      <c r="H390" t="s">
        <v>74</v>
      </c>
      <c r="I390" t="s">
        <v>7440</v>
      </c>
      <c r="J390" t="s">
        <v>7424</v>
      </c>
      <c r="K390" t="s">
        <v>74</v>
      </c>
      <c r="L390" t="s">
        <v>74</v>
      </c>
      <c r="M390" t="s">
        <v>78</v>
      </c>
      <c r="N390" t="s">
        <v>3258</v>
      </c>
      <c r="O390" t="s">
        <v>74</v>
      </c>
      <c r="P390" t="s">
        <v>74</v>
      </c>
      <c r="Q390" t="s">
        <v>74</v>
      </c>
      <c r="R390" t="s">
        <v>74</v>
      </c>
      <c r="S390" t="s">
        <v>74</v>
      </c>
      <c r="T390" t="s">
        <v>74</v>
      </c>
      <c r="U390" t="s">
        <v>7441</v>
      </c>
      <c r="V390" t="s">
        <v>74</v>
      </c>
      <c r="W390" t="s">
        <v>7442</v>
      </c>
      <c r="X390" t="s">
        <v>1249</v>
      </c>
      <c r="Y390" t="s">
        <v>7443</v>
      </c>
      <c r="Z390" t="s">
        <v>7444</v>
      </c>
      <c r="AA390" t="s">
        <v>74</v>
      </c>
      <c r="AB390" t="s">
        <v>74</v>
      </c>
      <c r="AC390" t="s">
        <v>74</v>
      </c>
      <c r="AD390" t="s">
        <v>74</v>
      </c>
      <c r="AE390" t="s">
        <v>74</v>
      </c>
      <c r="AF390" t="s">
        <v>74</v>
      </c>
      <c r="AG390">
        <v>142</v>
      </c>
      <c r="AH390">
        <v>4</v>
      </c>
      <c r="AI390">
        <v>7</v>
      </c>
      <c r="AJ390">
        <v>0</v>
      </c>
      <c r="AK390">
        <v>20</v>
      </c>
      <c r="AL390" t="s">
        <v>7430</v>
      </c>
      <c r="AM390" t="s">
        <v>7431</v>
      </c>
      <c r="AN390" t="s">
        <v>7432</v>
      </c>
      <c r="AO390" t="s">
        <v>74</v>
      </c>
      <c r="AP390" t="s">
        <v>74</v>
      </c>
      <c r="AQ390" t="s">
        <v>7433</v>
      </c>
      <c r="AR390" t="s">
        <v>74</v>
      </c>
      <c r="AS390" t="s">
        <v>74</v>
      </c>
      <c r="AT390" t="s">
        <v>74</v>
      </c>
      <c r="AU390">
        <v>2013</v>
      </c>
      <c r="AV390" t="s">
        <v>74</v>
      </c>
      <c r="AW390" t="s">
        <v>74</v>
      </c>
      <c r="AX390" t="s">
        <v>74</v>
      </c>
      <c r="AY390" t="s">
        <v>74</v>
      </c>
      <c r="AZ390" t="s">
        <v>74</v>
      </c>
      <c r="BA390" t="s">
        <v>74</v>
      </c>
      <c r="BB390">
        <v>37</v>
      </c>
      <c r="BC390">
        <v>58</v>
      </c>
      <c r="BD390" t="s">
        <v>74</v>
      </c>
      <c r="BE390" t="s">
        <v>74</v>
      </c>
      <c r="BF390" t="s">
        <v>74</v>
      </c>
      <c r="BG390" t="s">
        <v>74</v>
      </c>
      <c r="BH390" t="s">
        <v>74</v>
      </c>
      <c r="BI390">
        <v>22</v>
      </c>
      <c r="BJ390" t="s">
        <v>7434</v>
      </c>
      <c r="BK390" t="s">
        <v>3379</v>
      </c>
      <c r="BL390" t="s">
        <v>7435</v>
      </c>
      <c r="BM390" t="s">
        <v>7436</v>
      </c>
      <c r="BN390" t="s">
        <v>74</v>
      </c>
      <c r="BO390" t="s">
        <v>74</v>
      </c>
      <c r="BP390" t="s">
        <v>74</v>
      </c>
      <c r="BQ390" t="s">
        <v>74</v>
      </c>
      <c r="BR390" t="s">
        <v>105</v>
      </c>
      <c r="BS390" t="s">
        <v>7445</v>
      </c>
      <c r="BT390" t="str">
        <f>HYPERLINK("https%3A%2F%2Fwww.webofscience.com%2Fwos%2Fwoscc%2Ffull-record%2FWOS:000318737300003","View Full Record in Web of Science")</f>
        <v>View Full Record in Web of Science</v>
      </c>
    </row>
    <row r="391" spans="1:72" x14ac:dyDescent="0.15">
      <c r="A391" t="s">
        <v>3251</v>
      </c>
      <c r="B391" t="s">
        <v>7446</v>
      </c>
      <c r="C391" t="s">
        <v>74</v>
      </c>
      <c r="D391" t="s">
        <v>7421</v>
      </c>
      <c r="E391" t="s">
        <v>74</v>
      </c>
      <c r="F391" t="s">
        <v>7447</v>
      </c>
      <c r="G391" t="s">
        <v>74</v>
      </c>
      <c r="H391" t="s">
        <v>74</v>
      </c>
      <c r="I391" t="s">
        <v>7448</v>
      </c>
      <c r="J391" t="s">
        <v>7424</v>
      </c>
      <c r="K391" t="s">
        <v>74</v>
      </c>
      <c r="L391" t="s">
        <v>74</v>
      </c>
      <c r="M391" t="s">
        <v>78</v>
      </c>
      <c r="N391" t="s">
        <v>3258</v>
      </c>
      <c r="O391" t="s">
        <v>74</v>
      </c>
      <c r="P391" t="s">
        <v>74</v>
      </c>
      <c r="Q391" t="s">
        <v>74</v>
      </c>
      <c r="R391" t="s">
        <v>74</v>
      </c>
      <c r="S391" t="s">
        <v>74</v>
      </c>
      <c r="T391" t="s">
        <v>74</v>
      </c>
      <c r="U391" t="s">
        <v>7449</v>
      </c>
      <c r="V391" t="s">
        <v>74</v>
      </c>
      <c r="W391" t="s">
        <v>7450</v>
      </c>
      <c r="X391" t="s">
        <v>5444</v>
      </c>
      <c r="Y391" t="s">
        <v>7451</v>
      </c>
      <c r="Z391" t="s">
        <v>7452</v>
      </c>
      <c r="AA391" t="s">
        <v>74</v>
      </c>
      <c r="AB391" t="s">
        <v>74</v>
      </c>
      <c r="AC391" t="s">
        <v>74</v>
      </c>
      <c r="AD391" t="s">
        <v>74</v>
      </c>
      <c r="AE391" t="s">
        <v>74</v>
      </c>
      <c r="AF391" t="s">
        <v>74</v>
      </c>
      <c r="AG391">
        <v>84</v>
      </c>
      <c r="AH391">
        <v>4</v>
      </c>
      <c r="AI391">
        <v>4</v>
      </c>
      <c r="AJ391">
        <v>1</v>
      </c>
      <c r="AK391">
        <v>9</v>
      </c>
      <c r="AL391" t="s">
        <v>7430</v>
      </c>
      <c r="AM391" t="s">
        <v>7431</v>
      </c>
      <c r="AN391" t="s">
        <v>7432</v>
      </c>
      <c r="AO391" t="s">
        <v>74</v>
      </c>
      <c r="AP391" t="s">
        <v>74</v>
      </c>
      <c r="AQ391" t="s">
        <v>7433</v>
      </c>
      <c r="AR391" t="s">
        <v>74</v>
      </c>
      <c r="AS391" t="s">
        <v>74</v>
      </c>
      <c r="AT391" t="s">
        <v>74</v>
      </c>
      <c r="AU391">
        <v>2013</v>
      </c>
      <c r="AV391" t="s">
        <v>74</v>
      </c>
      <c r="AW391" t="s">
        <v>74</v>
      </c>
      <c r="AX391" t="s">
        <v>74</v>
      </c>
      <c r="AY391" t="s">
        <v>74</v>
      </c>
      <c r="AZ391" t="s">
        <v>74</v>
      </c>
      <c r="BA391" t="s">
        <v>74</v>
      </c>
      <c r="BB391">
        <v>59</v>
      </c>
      <c r="BC391">
        <v>72</v>
      </c>
      <c r="BD391" t="s">
        <v>74</v>
      </c>
      <c r="BE391" t="s">
        <v>74</v>
      </c>
      <c r="BF391" t="s">
        <v>74</v>
      </c>
      <c r="BG391" t="s">
        <v>74</v>
      </c>
      <c r="BH391" t="s">
        <v>74</v>
      </c>
      <c r="BI391">
        <v>14</v>
      </c>
      <c r="BJ391" t="s">
        <v>7434</v>
      </c>
      <c r="BK391" t="s">
        <v>3379</v>
      </c>
      <c r="BL391" t="s">
        <v>7435</v>
      </c>
      <c r="BM391" t="s">
        <v>7436</v>
      </c>
      <c r="BN391" t="s">
        <v>74</v>
      </c>
      <c r="BO391" t="s">
        <v>74</v>
      </c>
      <c r="BP391" t="s">
        <v>74</v>
      </c>
      <c r="BQ391" t="s">
        <v>74</v>
      </c>
      <c r="BR391" t="s">
        <v>105</v>
      </c>
      <c r="BS391" t="s">
        <v>7453</v>
      </c>
      <c r="BT391" t="str">
        <f>HYPERLINK("https%3A%2F%2Fwww.webofscience.com%2Fwos%2Fwoscc%2Ffull-record%2FWOS:000318737300004","View Full Record in Web of Science")</f>
        <v>View Full Record in Web of Science</v>
      </c>
    </row>
    <row r="392" spans="1:72" x14ac:dyDescent="0.15">
      <c r="A392" t="s">
        <v>72</v>
      </c>
      <c r="B392" t="s">
        <v>7454</v>
      </c>
      <c r="C392" t="s">
        <v>74</v>
      </c>
      <c r="D392" t="s">
        <v>74</v>
      </c>
      <c r="E392" t="s">
        <v>74</v>
      </c>
      <c r="F392" t="s">
        <v>7455</v>
      </c>
      <c r="G392" t="s">
        <v>74</v>
      </c>
      <c r="H392" t="s">
        <v>74</v>
      </c>
      <c r="I392" t="s">
        <v>7456</v>
      </c>
      <c r="J392" t="s">
        <v>4495</v>
      </c>
      <c r="K392" t="s">
        <v>74</v>
      </c>
      <c r="L392" t="s">
        <v>74</v>
      </c>
      <c r="M392" t="s">
        <v>78</v>
      </c>
      <c r="N392" t="s">
        <v>79</v>
      </c>
      <c r="O392" t="s">
        <v>74</v>
      </c>
      <c r="P392" t="s">
        <v>74</v>
      </c>
      <c r="Q392" t="s">
        <v>74</v>
      </c>
      <c r="R392" t="s">
        <v>74</v>
      </c>
      <c r="S392" t="s">
        <v>74</v>
      </c>
      <c r="T392" t="s">
        <v>7457</v>
      </c>
      <c r="U392" t="s">
        <v>7458</v>
      </c>
      <c r="V392" t="s">
        <v>7459</v>
      </c>
      <c r="W392" t="s">
        <v>7460</v>
      </c>
      <c r="X392" t="s">
        <v>7461</v>
      </c>
      <c r="Y392" t="s">
        <v>7462</v>
      </c>
      <c r="Z392" t="s">
        <v>7463</v>
      </c>
      <c r="AA392" t="s">
        <v>7464</v>
      </c>
      <c r="AB392" t="s">
        <v>7465</v>
      </c>
      <c r="AC392" t="s">
        <v>7466</v>
      </c>
      <c r="AD392" t="s">
        <v>7467</v>
      </c>
      <c r="AE392" t="s">
        <v>7468</v>
      </c>
      <c r="AF392" t="s">
        <v>74</v>
      </c>
      <c r="AG392">
        <v>45</v>
      </c>
      <c r="AH392">
        <v>88</v>
      </c>
      <c r="AI392">
        <v>89</v>
      </c>
      <c r="AJ392">
        <v>0</v>
      </c>
      <c r="AK392">
        <v>59</v>
      </c>
      <c r="AL392" t="s">
        <v>7469</v>
      </c>
      <c r="AM392" t="s">
        <v>7470</v>
      </c>
      <c r="AN392" t="s">
        <v>7471</v>
      </c>
      <c r="AO392" t="s">
        <v>4509</v>
      </c>
      <c r="AP392" t="s">
        <v>74</v>
      </c>
      <c r="AQ392" t="s">
        <v>74</v>
      </c>
      <c r="AR392" t="s">
        <v>4511</v>
      </c>
      <c r="AS392" t="s">
        <v>4512</v>
      </c>
      <c r="AT392" t="s">
        <v>74</v>
      </c>
      <c r="AU392">
        <v>2013</v>
      </c>
      <c r="AV392">
        <v>32</v>
      </c>
      <c r="AW392" t="s">
        <v>74</v>
      </c>
      <c r="AX392" t="s">
        <v>74</v>
      </c>
      <c r="AY392" t="s">
        <v>74</v>
      </c>
      <c r="AZ392" t="s">
        <v>74</v>
      </c>
      <c r="BA392" t="s">
        <v>74</v>
      </c>
      <c r="BB392" t="s">
        <v>74</v>
      </c>
      <c r="BC392" t="s">
        <v>74</v>
      </c>
      <c r="BD392">
        <v>11206</v>
      </c>
      <c r="BE392" t="s">
        <v>7472</v>
      </c>
      <c r="BF392" t="str">
        <f>HYPERLINK("http://dx.doi.org/10.3402/polar.v32i0.11206","http://dx.doi.org/10.3402/polar.v32i0.11206")</f>
        <v>http://dx.doi.org/10.3402/polar.v32i0.11206</v>
      </c>
      <c r="BG392" t="s">
        <v>74</v>
      </c>
      <c r="BH392" t="s">
        <v>74</v>
      </c>
      <c r="BI392">
        <v>14</v>
      </c>
      <c r="BJ392" t="s">
        <v>4514</v>
      </c>
      <c r="BK392" t="s">
        <v>102</v>
      </c>
      <c r="BL392" t="s">
        <v>4515</v>
      </c>
      <c r="BM392" t="s">
        <v>7473</v>
      </c>
      <c r="BN392" t="s">
        <v>74</v>
      </c>
      <c r="BO392" t="s">
        <v>4605</v>
      </c>
      <c r="BP392" t="s">
        <v>74</v>
      </c>
      <c r="BQ392" t="s">
        <v>74</v>
      </c>
      <c r="BR392" t="s">
        <v>105</v>
      </c>
      <c r="BS392" t="s">
        <v>7474</v>
      </c>
      <c r="BT392" t="str">
        <f>HYPERLINK("https%3A%2F%2Fwww.webofscience.com%2Fwos%2Fwoscc%2Ffull-record%2FWOS:000318478700001","View Full Record in Web of Science")</f>
        <v>View Full Record in Web of Science</v>
      </c>
    </row>
    <row r="393" spans="1:72" x14ac:dyDescent="0.15">
      <c r="A393" t="s">
        <v>72</v>
      </c>
      <c r="B393" t="s">
        <v>7475</v>
      </c>
      <c r="C393" t="s">
        <v>74</v>
      </c>
      <c r="D393" t="s">
        <v>74</v>
      </c>
      <c r="E393" t="s">
        <v>74</v>
      </c>
      <c r="F393" t="s">
        <v>7476</v>
      </c>
      <c r="G393" t="s">
        <v>74</v>
      </c>
      <c r="H393" t="s">
        <v>74</v>
      </c>
      <c r="I393" t="s">
        <v>7477</v>
      </c>
      <c r="J393" t="s">
        <v>4521</v>
      </c>
      <c r="K393" t="s">
        <v>74</v>
      </c>
      <c r="L393" t="s">
        <v>74</v>
      </c>
      <c r="M393" t="s">
        <v>78</v>
      </c>
      <c r="N393" t="s">
        <v>79</v>
      </c>
      <c r="O393" t="s">
        <v>74</v>
      </c>
      <c r="P393" t="s">
        <v>74</v>
      </c>
      <c r="Q393" t="s">
        <v>74</v>
      </c>
      <c r="R393" t="s">
        <v>74</v>
      </c>
      <c r="S393" t="s">
        <v>74</v>
      </c>
      <c r="T393" t="s">
        <v>74</v>
      </c>
      <c r="U393" t="s">
        <v>7478</v>
      </c>
      <c r="V393" t="s">
        <v>7479</v>
      </c>
      <c r="W393" t="s">
        <v>7480</v>
      </c>
      <c r="X393" t="s">
        <v>653</v>
      </c>
      <c r="Y393" t="s">
        <v>7481</v>
      </c>
      <c r="Z393" t="s">
        <v>7482</v>
      </c>
      <c r="AA393" t="s">
        <v>7483</v>
      </c>
      <c r="AB393" t="s">
        <v>7484</v>
      </c>
      <c r="AC393" t="s">
        <v>7485</v>
      </c>
      <c r="AD393" t="s">
        <v>7486</v>
      </c>
      <c r="AE393" t="s">
        <v>7487</v>
      </c>
      <c r="AF393" t="s">
        <v>74</v>
      </c>
      <c r="AG393">
        <v>47</v>
      </c>
      <c r="AH393">
        <v>16</v>
      </c>
      <c r="AI393">
        <v>19</v>
      </c>
      <c r="AJ393">
        <v>1</v>
      </c>
      <c r="AK393">
        <v>19</v>
      </c>
      <c r="AL393" t="s">
        <v>4248</v>
      </c>
      <c r="AM393" t="s">
        <v>4249</v>
      </c>
      <c r="AN393" t="s">
        <v>4250</v>
      </c>
      <c r="AO393" t="s">
        <v>4533</v>
      </c>
      <c r="AP393" t="s">
        <v>4534</v>
      </c>
      <c r="AQ393" t="s">
        <v>74</v>
      </c>
      <c r="AR393" t="s">
        <v>4535</v>
      </c>
      <c r="AS393" t="s">
        <v>4536</v>
      </c>
      <c r="AT393" t="s">
        <v>74</v>
      </c>
      <c r="AU393">
        <v>2013</v>
      </c>
      <c r="AV393">
        <v>13</v>
      </c>
      <c r="AW393">
        <v>6</v>
      </c>
      <c r="AX393" t="s">
        <v>74</v>
      </c>
      <c r="AY393" t="s">
        <v>74</v>
      </c>
      <c r="AZ393" t="s">
        <v>74</v>
      </c>
      <c r="BA393" t="s">
        <v>74</v>
      </c>
      <c r="BB393">
        <v>3121</v>
      </c>
      <c r="BC393">
        <v>3132</v>
      </c>
      <c r="BD393" t="s">
        <v>74</v>
      </c>
      <c r="BE393" t="s">
        <v>7488</v>
      </c>
      <c r="BF393" t="str">
        <f>HYPERLINK("http://dx.doi.org/10.5194/acp-13-3121-2013","http://dx.doi.org/10.5194/acp-13-3121-2013")</f>
        <v>http://dx.doi.org/10.5194/acp-13-3121-2013</v>
      </c>
      <c r="BG393" t="s">
        <v>74</v>
      </c>
      <c r="BH393" t="s">
        <v>74</v>
      </c>
      <c r="BI393">
        <v>12</v>
      </c>
      <c r="BJ393" t="s">
        <v>1627</v>
      </c>
      <c r="BK393" t="s">
        <v>102</v>
      </c>
      <c r="BL393" t="s">
        <v>1628</v>
      </c>
      <c r="BM393" t="s">
        <v>7489</v>
      </c>
      <c r="BN393" t="s">
        <v>74</v>
      </c>
      <c r="BO393" t="s">
        <v>4132</v>
      </c>
      <c r="BP393" t="s">
        <v>74</v>
      </c>
      <c r="BQ393" t="s">
        <v>74</v>
      </c>
      <c r="BR393" t="s">
        <v>105</v>
      </c>
      <c r="BS393" t="s">
        <v>7490</v>
      </c>
      <c r="BT393" t="str">
        <f>HYPERLINK("https%3A%2F%2Fwww.webofscience.com%2Fwos%2Fwoscc%2Ffull-record%2FWOS:000316961000012","View Full Record in Web of Science")</f>
        <v>View Full Record in Web of Science</v>
      </c>
    </row>
    <row r="394" spans="1:72" x14ac:dyDescent="0.15">
      <c r="A394" t="s">
        <v>72</v>
      </c>
      <c r="B394" t="s">
        <v>7491</v>
      </c>
      <c r="C394" t="s">
        <v>74</v>
      </c>
      <c r="D394" t="s">
        <v>74</v>
      </c>
      <c r="E394" t="s">
        <v>74</v>
      </c>
      <c r="F394" t="s">
        <v>7492</v>
      </c>
      <c r="G394" t="s">
        <v>74</v>
      </c>
      <c r="H394" t="s">
        <v>74</v>
      </c>
      <c r="I394" t="s">
        <v>7493</v>
      </c>
      <c r="J394" t="s">
        <v>4521</v>
      </c>
      <c r="K394" t="s">
        <v>74</v>
      </c>
      <c r="L394" t="s">
        <v>74</v>
      </c>
      <c r="M394" t="s">
        <v>78</v>
      </c>
      <c r="N394" t="s">
        <v>79</v>
      </c>
      <c r="O394" t="s">
        <v>74</v>
      </c>
      <c r="P394" t="s">
        <v>74</v>
      </c>
      <c r="Q394" t="s">
        <v>74</v>
      </c>
      <c r="R394" t="s">
        <v>74</v>
      </c>
      <c r="S394" t="s">
        <v>74</v>
      </c>
      <c r="T394" t="s">
        <v>74</v>
      </c>
      <c r="U394" t="s">
        <v>7494</v>
      </c>
      <c r="V394" t="s">
        <v>7495</v>
      </c>
      <c r="W394" t="s">
        <v>7496</v>
      </c>
      <c r="X394" t="s">
        <v>7497</v>
      </c>
      <c r="Y394" t="s">
        <v>7498</v>
      </c>
      <c r="Z394" t="s">
        <v>7499</v>
      </c>
      <c r="AA394" t="s">
        <v>7500</v>
      </c>
      <c r="AB394" t="s">
        <v>7501</v>
      </c>
      <c r="AC394" t="s">
        <v>7502</v>
      </c>
      <c r="AD394" t="s">
        <v>7503</v>
      </c>
      <c r="AE394" t="s">
        <v>7504</v>
      </c>
      <c r="AF394" t="s">
        <v>74</v>
      </c>
      <c r="AG394">
        <v>27</v>
      </c>
      <c r="AH394">
        <v>2</v>
      </c>
      <c r="AI394">
        <v>2</v>
      </c>
      <c r="AJ394">
        <v>0</v>
      </c>
      <c r="AK394">
        <v>18</v>
      </c>
      <c r="AL394" t="s">
        <v>4248</v>
      </c>
      <c r="AM394" t="s">
        <v>4249</v>
      </c>
      <c r="AN394" t="s">
        <v>4250</v>
      </c>
      <c r="AO394" t="s">
        <v>4533</v>
      </c>
      <c r="AP394" t="s">
        <v>74</v>
      </c>
      <c r="AQ394" t="s">
        <v>74</v>
      </c>
      <c r="AR394" t="s">
        <v>4535</v>
      </c>
      <c r="AS394" t="s">
        <v>4536</v>
      </c>
      <c r="AT394" t="s">
        <v>74</v>
      </c>
      <c r="AU394">
        <v>2013</v>
      </c>
      <c r="AV394">
        <v>13</v>
      </c>
      <c r="AW394">
        <v>6</v>
      </c>
      <c r="AX394" t="s">
        <v>74</v>
      </c>
      <c r="AY394" t="s">
        <v>74</v>
      </c>
      <c r="AZ394" t="s">
        <v>74</v>
      </c>
      <c r="BA394" t="s">
        <v>74</v>
      </c>
      <c r="BB394">
        <v>3237</v>
      </c>
      <c r="BC394">
        <v>3243</v>
      </c>
      <c r="BD394" t="s">
        <v>74</v>
      </c>
      <c r="BE394" t="s">
        <v>7505</v>
      </c>
      <c r="BF394" t="str">
        <f>HYPERLINK("http://dx.doi.org/10.5194/acp-13-3237-2013","http://dx.doi.org/10.5194/acp-13-3237-2013")</f>
        <v>http://dx.doi.org/10.5194/acp-13-3237-2013</v>
      </c>
      <c r="BG394" t="s">
        <v>74</v>
      </c>
      <c r="BH394" t="s">
        <v>74</v>
      </c>
      <c r="BI394">
        <v>7</v>
      </c>
      <c r="BJ394" t="s">
        <v>1627</v>
      </c>
      <c r="BK394" t="s">
        <v>102</v>
      </c>
      <c r="BL394" t="s">
        <v>1628</v>
      </c>
      <c r="BM394" t="s">
        <v>7489</v>
      </c>
      <c r="BN394" t="s">
        <v>74</v>
      </c>
      <c r="BO394" t="s">
        <v>4132</v>
      </c>
      <c r="BP394" t="s">
        <v>74</v>
      </c>
      <c r="BQ394" t="s">
        <v>74</v>
      </c>
      <c r="BR394" t="s">
        <v>105</v>
      </c>
      <c r="BS394" t="s">
        <v>7506</v>
      </c>
      <c r="BT394" t="str">
        <f>HYPERLINK("https%3A%2F%2Fwww.webofscience.com%2Fwos%2Fwoscc%2Ffull-record%2FWOS:000316961000020","View Full Record in Web of Science")</f>
        <v>View Full Record in Web of Science</v>
      </c>
    </row>
    <row r="395" spans="1:72" x14ac:dyDescent="0.15">
      <c r="A395" t="s">
        <v>72</v>
      </c>
      <c r="B395" t="s">
        <v>7507</v>
      </c>
      <c r="C395" t="s">
        <v>74</v>
      </c>
      <c r="D395" t="s">
        <v>74</v>
      </c>
      <c r="E395" t="s">
        <v>74</v>
      </c>
      <c r="F395" t="s">
        <v>7508</v>
      </c>
      <c r="G395" t="s">
        <v>74</v>
      </c>
      <c r="H395" t="s">
        <v>74</v>
      </c>
      <c r="I395" t="s">
        <v>7509</v>
      </c>
      <c r="J395" t="s">
        <v>7510</v>
      </c>
      <c r="K395" t="s">
        <v>74</v>
      </c>
      <c r="L395" t="s">
        <v>74</v>
      </c>
      <c r="M395" t="s">
        <v>78</v>
      </c>
      <c r="N395" t="s">
        <v>79</v>
      </c>
      <c r="O395" t="s">
        <v>74</v>
      </c>
      <c r="P395" t="s">
        <v>74</v>
      </c>
      <c r="Q395" t="s">
        <v>74</v>
      </c>
      <c r="R395" t="s">
        <v>74</v>
      </c>
      <c r="S395" t="s">
        <v>74</v>
      </c>
      <c r="T395" t="s">
        <v>74</v>
      </c>
      <c r="U395" t="s">
        <v>7511</v>
      </c>
      <c r="V395" t="s">
        <v>7512</v>
      </c>
      <c r="W395" t="s">
        <v>7513</v>
      </c>
      <c r="X395" t="s">
        <v>7514</v>
      </c>
      <c r="Y395" t="s">
        <v>7515</v>
      </c>
      <c r="Z395" t="s">
        <v>7516</v>
      </c>
      <c r="AA395" t="s">
        <v>7517</v>
      </c>
      <c r="AB395" t="s">
        <v>7518</v>
      </c>
      <c r="AC395" t="s">
        <v>7519</v>
      </c>
      <c r="AD395" t="s">
        <v>7520</v>
      </c>
      <c r="AE395" t="s">
        <v>7521</v>
      </c>
      <c r="AF395" t="s">
        <v>74</v>
      </c>
      <c r="AG395">
        <v>51</v>
      </c>
      <c r="AH395">
        <v>5</v>
      </c>
      <c r="AI395">
        <v>6</v>
      </c>
      <c r="AJ395">
        <v>0</v>
      </c>
      <c r="AK395">
        <v>28</v>
      </c>
      <c r="AL395" t="s">
        <v>2494</v>
      </c>
      <c r="AM395" t="s">
        <v>786</v>
      </c>
      <c r="AN395" t="s">
        <v>2495</v>
      </c>
      <c r="AO395" t="s">
        <v>7522</v>
      </c>
      <c r="AP395" t="s">
        <v>7523</v>
      </c>
      <c r="AQ395" t="s">
        <v>74</v>
      </c>
      <c r="AR395" t="s">
        <v>7524</v>
      </c>
      <c r="AS395" t="s">
        <v>7525</v>
      </c>
      <c r="AT395" t="s">
        <v>74</v>
      </c>
      <c r="AU395">
        <v>2013</v>
      </c>
      <c r="AV395">
        <v>27</v>
      </c>
      <c r="AW395">
        <v>1</v>
      </c>
      <c r="AX395" t="s">
        <v>74</v>
      </c>
      <c r="AY395" t="s">
        <v>74</v>
      </c>
      <c r="AZ395" t="s">
        <v>74</v>
      </c>
      <c r="BA395" t="s">
        <v>74</v>
      </c>
      <c r="BB395">
        <v>11</v>
      </c>
      <c r="BC395">
        <v>20</v>
      </c>
      <c r="BD395" t="s">
        <v>74</v>
      </c>
      <c r="BE395" t="s">
        <v>7526</v>
      </c>
      <c r="BF395" t="str">
        <f>HYPERLINK("http://dx.doi.org/10.1029/2011GB004211","http://dx.doi.org/10.1029/2011GB004211")</f>
        <v>http://dx.doi.org/10.1029/2011GB004211</v>
      </c>
      <c r="BG395" t="s">
        <v>74</v>
      </c>
      <c r="BH395" t="s">
        <v>74</v>
      </c>
      <c r="BI395">
        <v>10</v>
      </c>
      <c r="BJ395" t="s">
        <v>7527</v>
      </c>
      <c r="BK395" t="s">
        <v>102</v>
      </c>
      <c r="BL395" t="s">
        <v>7528</v>
      </c>
      <c r="BM395" t="s">
        <v>7529</v>
      </c>
      <c r="BN395" t="s">
        <v>74</v>
      </c>
      <c r="BO395" t="s">
        <v>7530</v>
      </c>
      <c r="BP395" t="s">
        <v>74</v>
      </c>
      <c r="BQ395" t="s">
        <v>74</v>
      </c>
      <c r="BR395" t="s">
        <v>105</v>
      </c>
      <c r="BS395" t="s">
        <v>7531</v>
      </c>
      <c r="BT395" t="str">
        <f>HYPERLINK("https%3A%2F%2Fwww.webofscience.com%2Fwos%2Fwoscc%2Ffull-record%2FWOS:000318275300002","View Full Record in Web of Science")</f>
        <v>View Full Record in Web of Science</v>
      </c>
    </row>
    <row r="396" spans="1:72" x14ac:dyDescent="0.15">
      <c r="A396" t="s">
        <v>72</v>
      </c>
      <c r="B396" t="s">
        <v>7532</v>
      </c>
      <c r="C396" t="s">
        <v>74</v>
      </c>
      <c r="D396" t="s">
        <v>74</v>
      </c>
      <c r="E396" t="s">
        <v>74</v>
      </c>
      <c r="F396" t="s">
        <v>7533</v>
      </c>
      <c r="G396" t="s">
        <v>74</v>
      </c>
      <c r="H396" t="s">
        <v>74</v>
      </c>
      <c r="I396" t="s">
        <v>7534</v>
      </c>
      <c r="J396" t="s">
        <v>5060</v>
      </c>
      <c r="K396" t="s">
        <v>74</v>
      </c>
      <c r="L396" t="s">
        <v>74</v>
      </c>
      <c r="M396" t="s">
        <v>78</v>
      </c>
      <c r="N396" t="s">
        <v>79</v>
      </c>
      <c r="O396" t="s">
        <v>74</v>
      </c>
      <c r="P396" t="s">
        <v>74</v>
      </c>
      <c r="Q396" t="s">
        <v>74</v>
      </c>
      <c r="R396" t="s">
        <v>74</v>
      </c>
      <c r="S396" t="s">
        <v>74</v>
      </c>
      <c r="T396" t="s">
        <v>7535</v>
      </c>
      <c r="U396" t="s">
        <v>7536</v>
      </c>
      <c r="V396" t="s">
        <v>7537</v>
      </c>
      <c r="W396" t="s">
        <v>7538</v>
      </c>
      <c r="X396" t="s">
        <v>7539</v>
      </c>
      <c r="Y396" t="s">
        <v>7540</v>
      </c>
      <c r="Z396" t="s">
        <v>7541</v>
      </c>
      <c r="AA396" t="s">
        <v>74</v>
      </c>
      <c r="AB396" t="s">
        <v>7542</v>
      </c>
      <c r="AC396" t="s">
        <v>74</v>
      </c>
      <c r="AD396" t="s">
        <v>74</v>
      </c>
      <c r="AE396" t="s">
        <v>74</v>
      </c>
      <c r="AF396" t="s">
        <v>74</v>
      </c>
      <c r="AG396">
        <v>77</v>
      </c>
      <c r="AH396">
        <v>25</v>
      </c>
      <c r="AI396">
        <v>26</v>
      </c>
      <c r="AJ396">
        <v>0</v>
      </c>
      <c r="AK396">
        <v>21</v>
      </c>
      <c r="AL396" t="s">
        <v>4363</v>
      </c>
      <c r="AM396" t="s">
        <v>4364</v>
      </c>
      <c r="AN396" t="s">
        <v>4365</v>
      </c>
      <c r="AO396" t="s">
        <v>5073</v>
      </c>
      <c r="AP396" t="s">
        <v>5074</v>
      </c>
      <c r="AQ396" t="s">
        <v>74</v>
      </c>
      <c r="AR396" t="s">
        <v>5075</v>
      </c>
      <c r="AS396" t="s">
        <v>5076</v>
      </c>
      <c r="AT396" t="s">
        <v>74</v>
      </c>
      <c r="AU396">
        <v>2013</v>
      </c>
      <c r="AV396">
        <v>480</v>
      </c>
      <c r="AW396" t="s">
        <v>74</v>
      </c>
      <c r="AX396" t="s">
        <v>74</v>
      </c>
      <c r="AY396" t="s">
        <v>74</v>
      </c>
      <c r="AZ396" t="s">
        <v>74</v>
      </c>
      <c r="BA396" t="s">
        <v>74</v>
      </c>
      <c r="BB396">
        <v>57</v>
      </c>
      <c r="BC396">
        <v>71</v>
      </c>
      <c r="BD396" t="s">
        <v>74</v>
      </c>
      <c r="BE396" t="s">
        <v>7543</v>
      </c>
      <c r="BF396" t="str">
        <f>HYPERLINK("http://dx.doi.org/10.3354/meps10226","http://dx.doi.org/10.3354/meps10226")</f>
        <v>http://dx.doi.org/10.3354/meps10226</v>
      </c>
      <c r="BG396" t="s">
        <v>74</v>
      </c>
      <c r="BH396" t="s">
        <v>74</v>
      </c>
      <c r="BI396">
        <v>15</v>
      </c>
      <c r="BJ396" t="s">
        <v>5078</v>
      </c>
      <c r="BK396" t="s">
        <v>102</v>
      </c>
      <c r="BL396" t="s">
        <v>5079</v>
      </c>
      <c r="BM396" t="s">
        <v>7544</v>
      </c>
      <c r="BN396" t="s">
        <v>74</v>
      </c>
      <c r="BO396" t="s">
        <v>128</v>
      </c>
      <c r="BP396" t="s">
        <v>74</v>
      </c>
      <c r="BQ396" t="s">
        <v>74</v>
      </c>
      <c r="BR396" t="s">
        <v>105</v>
      </c>
      <c r="BS396" t="s">
        <v>7545</v>
      </c>
      <c r="BT396" t="str">
        <f>HYPERLINK("https%3A%2F%2Fwww.webofscience.com%2Fwos%2Fwoscc%2Ffull-record%2FWOS:000317937600004","View Full Record in Web of Science")</f>
        <v>View Full Record in Web of Science</v>
      </c>
    </row>
    <row r="397" spans="1:72" x14ac:dyDescent="0.15">
      <c r="A397" t="s">
        <v>72</v>
      </c>
      <c r="B397" t="s">
        <v>7546</v>
      </c>
      <c r="C397" t="s">
        <v>74</v>
      </c>
      <c r="D397" t="s">
        <v>74</v>
      </c>
      <c r="E397" t="s">
        <v>74</v>
      </c>
      <c r="F397" t="s">
        <v>7547</v>
      </c>
      <c r="G397" t="s">
        <v>74</v>
      </c>
      <c r="H397" t="s">
        <v>74</v>
      </c>
      <c r="I397" t="s">
        <v>7548</v>
      </c>
      <c r="J397" t="s">
        <v>7549</v>
      </c>
      <c r="K397" t="s">
        <v>74</v>
      </c>
      <c r="L397" t="s">
        <v>74</v>
      </c>
      <c r="M397" t="s">
        <v>78</v>
      </c>
      <c r="N397" t="s">
        <v>79</v>
      </c>
      <c r="O397" t="s">
        <v>74</v>
      </c>
      <c r="P397" t="s">
        <v>74</v>
      </c>
      <c r="Q397" t="s">
        <v>74</v>
      </c>
      <c r="R397" t="s">
        <v>74</v>
      </c>
      <c r="S397" t="s">
        <v>74</v>
      </c>
      <c r="T397" t="s">
        <v>74</v>
      </c>
      <c r="U397" t="s">
        <v>7550</v>
      </c>
      <c r="V397" t="s">
        <v>7551</v>
      </c>
      <c r="W397" t="s">
        <v>7552</v>
      </c>
      <c r="X397" t="s">
        <v>7553</v>
      </c>
      <c r="Y397" t="s">
        <v>7554</v>
      </c>
      <c r="Z397" t="s">
        <v>7555</v>
      </c>
      <c r="AA397" t="s">
        <v>7556</v>
      </c>
      <c r="AB397" t="s">
        <v>7557</v>
      </c>
      <c r="AC397" t="s">
        <v>7558</v>
      </c>
      <c r="AD397" t="s">
        <v>7559</v>
      </c>
      <c r="AE397" t="s">
        <v>7560</v>
      </c>
      <c r="AF397" t="s">
        <v>74</v>
      </c>
      <c r="AG397">
        <v>85</v>
      </c>
      <c r="AH397">
        <v>63</v>
      </c>
      <c r="AI397">
        <v>67</v>
      </c>
      <c r="AJ397">
        <v>0</v>
      </c>
      <c r="AK397">
        <v>63</v>
      </c>
      <c r="AL397" t="s">
        <v>2494</v>
      </c>
      <c r="AM397" t="s">
        <v>786</v>
      </c>
      <c r="AN397" t="s">
        <v>2495</v>
      </c>
      <c r="AO397" t="s">
        <v>7561</v>
      </c>
      <c r="AP397" t="s">
        <v>7562</v>
      </c>
      <c r="AQ397" t="s">
        <v>74</v>
      </c>
      <c r="AR397" t="s">
        <v>7563</v>
      </c>
      <c r="AS397" t="s">
        <v>7564</v>
      </c>
      <c r="AT397" t="s">
        <v>5170</v>
      </c>
      <c r="AU397">
        <v>2013</v>
      </c>
      <c r="AV397">
        <v>118</v>
      </c>
      <c r="AW397">
        <v>1</v>
      </c>
      <c r="AX397" t="s">
        <v>74</v>
      </c>
      <c r="AY397" t="s">
        <v>74</v>
      </c>
      <c r="AZ397" t="s">
        <v>74</v>
      </c>
      <c r="BA397" t="s">
        <v>74</v>
      </c>
      <c r="BB397">
        <v>63</v>
      </c>
      <c r="BC397">
        <v>75</v>
      </c>
      <c r="BD397" t="s">
        <v>74</v>
      </c>
      <c r="BE397" t="s">
        <v>7565</v>
      </c>
      <c r="BF397" t="str">
        <f>HYPERLINK("http://dx.doi.org/10.1029/2012JC008418","http://dx.doi.org/10.1029/2012JC008418")</f>
        <v>http://dx.doi.org/10.1029/2012JC008418</v>
      </c>
      <c r="BG397" t="s">
        <v>74</v>
      </c>
      <c r="BH397" t="s">
        <v>74</v>
      </c>
      <c r="BI397">
        <v>13</v>
      </c>
      <c r="BJ397" t="s">
        <v>303</v>
      </c>
      <c r="BK397" t="s">
        <v>102</v>
      </c>
      <c r="BL397" t="s">
        <v>303</v>
      </c>
      <c r="BM397" t="s">
        <v>7566</v>
      </c>
      <c r="BN397" t="s">
        <v>74</v>
      </c>
      <c r="BO397" t="s">
        <v>1207</v>
      </c>
      <c r="BP397" t="s">
        <v>74</v>
      </c>
      <c r="BQ397" t="s">
        <v>74</v>
      </c>
      <c r="BR397" t="s">
        <v>105</v>
      </c>
      <c r="BS397" t="s">
        <v>7567</v>
      </c>
      <c r="BT397" t="str">
        <f>HYPERLINK("https%3A%2F%2Fwww.webofscience.com%2Fwos%2Fwoscc%2Ffull-record%2FWOS:000317836100005","View Full Record in Web of Science")</f>
        <v>View Full Record in Web of Science</v>
      </c>
    </row>
    <row r="398" spans="1:72" x14ac:dyDescent="0.15">
      <c r="A398" t="s">
        <v>72</v>
      </c>
      <c r="B398" t="s">
        <v>7568</v>
      </c>
      <c r="C398" t="s">
        <v>74</v>
      </c>
      <c r="D398" t="s">
        <v>74</v>
      </c>
      <c r="E398" t="s">
        <v>74</v>
      </c>
      <c r="F398" t="s">
        <v>7569</v>
      </c>
      <c r="G398" t="s">
        <v>74</v>
      </c>
      <c r="H398" t="s">
        <v>74</v>
      </c>
      <c r="I398" t="s">
        <v>7570</v>
      </c>
      <c r="J398" t="s">
        <v>7549</v>
      </c>
      <c r="K398" t="s">
        <v>74</v>
      </c>
      <c r="L398" t="s">
        <v>74</v>
      </c>
      <c r="M398" t="s">
        <v>78</v>
      </c>
      <c r="N398" t="s">
        <v>79</v>
      </c>
      <c r="O398" t="s">
        <v>74</v>
      </c>
      <c r="P398" t="s">
        <v>74</v>
      </c>
      <c r="Q398" t="s">
        <v>74</v>
      </c>
      <c r="R398" t="s">
        <v>74</v>
      </c>
      <c r="S398" t="s">
        <v>74</v>
      </c>
      <c r="T398" t="s">
        <v>74</v>
      </c>
      <c r="U398" t="s">
        <v>7571</v>
      </c>
      <c r="V398" t="s">
        <v>7572</v>
      </c>
      <c r="W398" t="s">
        <v>7573</v>
      </c>
      <c r="X398" t="s">
        <v>7574</v>
      </c>
      <c r="Y398" t="s">
        <v>7575</v>
      </c>
      <c r="Z398" t="s">
        <v>7576</v>
      </c>
      <c r="AA398" t="s">
        <v>74</v>
      </c>
      <c r="AB398" t="s">
        <v>7577</v>
      </c>
      <c r="AC398" t="s">
        <v>7578</v>
      </c>
      <c r="AD398" t="s">
        <v>7579</v>
      </c>
      <c r="AE398" t="s">
        <v>7580</v>
      </c>
      <c r="AF398" t="s">
        <v>74</v>
      </c>
      <c r="AG398">
        <v>23</v>
      </c>
      <c r="AH398">
        <v>10</v>
      </c>
      <c r="AI398">
        <v>10</v>
      </c>
      <c r="AJ398">
        <v>0</v>
      </c>
      <c r="AK398">
        <v>5</v>
      </c>
      <c r="AL398" t="s">
        <v>2494</v>
      </c>
      <c r="AM398" t="s">
        <v>786</v>
      </c>
      <c r="AN398" t="s">
        <v>2495</v>
      </c>
      <c r="AO398" t="s">
        <v>7561</v>
      </c>
      <c r="AP398" t="s">
        <v>74</v>
      </c>
      <c r="AQ398" t="s">
        <v>74</v>
      </c>
      <c r="AR398" t="s">
        <v>7563</v>
      </c>
      <c r="AS398" t="s">
        <v>7564</v>
      </c>
      <c r="AT398" t="s">
        <v>5170</v>
      </c>
      <c r="AU398">
        <v>2013</v>
      </c>
      <c r="AV398">
        <v>118</v>
      </c>
      <c r="AW398">
        <v>1</v>
      </c>
      <c r="AX398" t="s">
        <v>74</v>
      </c>
      <c r="AY398" t="s">
        <v>74</v>
      </c>
      <c r="AZ398" t="s">
        <v>74</v>
      </c>
      <c r="BA398" t="s">
        <v>74</v>
      </c>
      <c r="BB398">
        <v>147</v>
      </c>
      <c r="BC398">
        <v>165</v>
      </c>
      <c r="BD398" t="s">
        <v>74</v>
      </c>
      <c r="BE398" t="s">
        <v>7581</v>
      </c>
      <c r="BF398" t="str">
        <f>HYPERLINK("http://dx.doi.org/10.1029/2012JC008193","http://dx.doi.org/10.1029/2012JC008193")</f>
        <v>http://dx.doi.org/10.1029/2012JC008193</v>
      </c>
      <c r="BG398" t="s">
        <v>74</v>
      </c>
      <c r="BH398" t="s">
        <v>74</v>
      </c>
      <c r="BI398">
        <v>19</v>
      </c>
      <c r="BJ398" t="s">
        <v>303</v>
      </c>
      <c r="BK398" t="s">
        <v>102</v>
      </c>
      <c r="BL398" t="s">
        <v>303</v>
      </c>
      <c r="BM398" t="s">
        <v>7566</v>
      </c>
      <c r="BN398" t="s">
        <v>74</v>
      </c>
      <c r="BO398" t="s">
        <v>2097</v>
      </c>
      <c r="BP398" t="s">
        <v>74</v>
      </c>
      <c r="BQ398" t="s">
        <v>74</v>
      </c>
      <c r="BR398" t="s">
        <v>105</v>
      </c>
      <c r="BS398" t="s">
        <v>7582</v>
      </c>
      <c r="BT398" t="str">
        <f>HYPERLINK("https%3A%2F%2Fwww.webofscience.com%2Fwos%2Fwoscc%2Ffull-record%2FWOS:000317836100011","View Full Record in Web of Science")</f>
        <v>View Full Record in Web of Science</v>
      </c>
    </row>
    <row r="399" spans="1:72" x14ac:dyDescent="0.15">
      <c r="A399" t="s">
        <v>72</v>
      </c>
      <c r="B399" t="s">
        <v>7583</v>
      </c>
      <c r="C399" t="s">
        <v>74</v>
      </c>
      <c r="D399" t="s">
        <v>74</v>
      </c>
      <c r="E399" t="s">
        <v>74</v>
      </c>
      <c r="F399" t="s">
        <v>7584</v>
      </c>
      <c r="G399" t="s">
        <v>74</v>
      </c>
      <c r="H399" t="s">
        <v>74</v>
      </c>
      <c r="I399" t="s">
        <v>7585</v>
      </c>
      <c r="J399" t="s">
        <v>7549</v>
      </c>
      <c r="K399" t="s">
        <v>74</v>
      </c>
      <c r="L399" t="s">
        <v>74</v>
      </c>
      <c r="M399" t="s">
        <v>78</v>
      </c>
      <c r="N399" t="s">
        <v>79</v>
      </c>
      <c r="O399" t="s">
        <v>74</v>
      </c>
      <c r="P399" t="s">
        <v>74</v>
      </c>
      <c r="Q399" t="s">
        <v>74</v>
      </c>
      <c r="R399" t="s">
        <v>74</v>
      </c>
      <c r="S399" t="s">
        <v>74</v>
      </c>
      <c r="T399" t="s">
        <v>74</v>
      </c>
      <c r="U399" t="s">
        <v>7586</v>
      </c>
      <c r="V399" t="s">
        <v>7587</v>
      </c>
      <c r="W399" t="s">
        <v>7588</v>
      </c>
      <c r="X399" t="s">
        <v>7589</v>
      </c>
      <c r="Y399" t="s">
        <v>7590</v>
      </c>
      <c r="Z399" t="s">
        <v>7591</v>
      </c>
      <c r="AA399" t="s">
        <v>7592</v>
      </c>
      <c r="AB399" t="s">
        <v>7593</v>
      </c>
      <c r="AC399" t="s">
        <v>7594</v>
      </c>
      <c r="AD399" t="s">
        <v>7595</v>
      </c>
      <c r="AE399" t="s">
        <v>7596</v>
      </c>
      <c r="AF399" t="s">
        <v>74</v>
      </c>
      <c r="AG399">
        <v>77</v>
      </c>
      <c r="AH399">
        <v>39</v>
      </c>
      <c r="AI399">
        <v>47</v>
      </c>
      <c r="AJ399">
        <v>3</v>
      </c>
      <c r="AK399">
        <v>54</v>
      </c>
      <c r="AL399" t="s">
        <v>2494</v>
      </c>
      <c r="AM399" t="s">
        <v>786</v>
      </c>
      <c r="AN399" t="s">
        <v>2495</v>
      </c>
      <c r="AO399" t="s">
        <v>7561</v>
      </c>
      <c r="AP399" t="s">
        <v>7562</v>
      </c>
      <c r="AQ399" t="s">
        <v>74</v>
      </c>
      <c r="AR399" t="s">
        <v>7563</v>
      </c>
      <c r="AS399" t="s">
        <v>7564</v>
      </c>
      <c r="AT399" t="s">
        <v>5170</v>
      </c>
      <c r="AU399">
        <v>2013</v>
      </c>
      <c r="AV399">
        <v>118</v>
      </c>
      <c r="AW399">
        <v>1</v>
      </c>
      <c r="AX399" t="s">
        <v>74</v>
      </c>
      <c r="AY399" t="s">
        <v>74</v>
      </c>
      <c r="AZ399" t="s">
        <v>74</v>
      </c>
      <c r="BA399" t="s">
        <v>74</v>
      </c>
      <c r="BB399">
        <v>287</v>
      </c>
      <c r="BC399">
        <v>300</v>
      </c>
      <c r="BD399" t="s">
        <v>74</v>
      </c>
      <c r="BE399" t="s">
        <v>7597</v>
      </c>
      <c r="BF399" t="str">
        <f>HYPERLINK("http://dx.doi.org/10.1029/2012JC008331","http://dx.doi.org/10.1029/2012JC008331")</f>
        <v>http://dx.doi.org/10.1029/2012JC008331</v>
      </c>
      <c r="BG399" t="s">
        <v>74</v>
      </c>
      <c r="BH399" t="s">
        <v>74</v>
      </c>
      <c r="BI399">
        <v>14</v>
      </c>
      <c r="BJ399" t="s">
        <v>303</v>
      </c>
      <c r="BK399" t="s">
        <v>102</v>
      </c>
      <c r="BL399" t="s">
        <v>303</v>
      </c>
      <c r="BM399" t="s">
        <v>7566</v>
      </c>
      <c r="BN399" t="s">
        <v>74</v>
      </c>
      <c r="BO399" t="s">
        <v>128</v>
      </c>
      <c r="BP399" t="s">
        <v>74</v>
      </c>
      <c r="BQ399" t="s">
        <v>74</v>
      </c>
      <c r="BR399" t="s">
        <v>105</v>
      </c>
      <c r="BS399" t="s">
        <v>7598</v>
      </c>
      <c r="BT399" t="str">
        <f>HYPERLINK("https%3A%2F%2Fwww.webofscience.com%2Fwos%2Fwoscc%2Ffull-record%2FWOS:000317836100020","View Full Record in Web of Science")</f>
        <v>View Full Record in Web of Science</v>
      </c>
    </row>
    <row r="400" spans="1:72" x14ac:dyDescent="0.15">
      <c r="A400" t="s">
        <v>72</v>
      </c>
      <c r="B400" t="s">
        <v>7599</v>
      </c>
      <c r="C400" t="s">
        <v>74</v>
      </c>
      <c r="D400" t="s">
        <v>74</v>
      </c>
      <c r="E400" t="s">
        <v>74</v>
      </c>
      <c r="F400" t="s">
        <v>7600</v>
      </c>
      <c r="G400" t="s">
        <v>74</v>
      </c>
      <c r="H400" t="s">
        <v>74</v>
      </c>
      <c r="I400" t="s">
        <v>7601</v>
      </c>
      <c r="J400" t="s">
        <v>7549</v>
      </c>
      <c r="K400" t="s">
        <v>74</v>
      </c>
      <c r="L400" t="s">
        <v>74</v>
      </c>
      <c r="M400" t="s">
        <v>78</v>
      </c>
      <c r="N400" t="s">
        <v>79</v>
      </c>
      <c r="O400" t="s">
        <v>74</v>
      </c>
      <c r="P400" t="s">
        <v>74</v>
      </c>
      <c r="Q400" t="s">
        <v>74</v>
      </c>
      <c r="R400" t="s">
        <v>74</v>
      </c>
      <c r="S400" t="s">
        <v>74</v>
      </c>
      <c r="T400" t="s">
        <v>74</v>
      </c>
      <c r="U400" t="s">
        <v>7602</v>
      </c>
      <c r="V400" t="s">
        <v>7603</v>
      </c>
      <c r="W400" t="s">
        <v>7604</v>
      </c>
      <c r="X400" t="s">
        <v>7605</v>
      </c>
      <c r="Y400" t="s">
        <v>7606</v>
      </c>
      <c r="Z400" t="s">
        <v>7607</v>
      </c>
      <c r="AA400" t="s">
        <v>7608</v>
      </c>
      <c r="AB400" t="s">
        <v>7609</v>
      </c>
      <c r="AC400" t="s">
        <v>7610</v>
      </c>
      <c r="AD400" t="s">
        <v>7611</v>
      </c>
      <c r="AE400" t="s">
        <v>7612</v>
      </c>
      <c r="AF400" t="s">
        <v>74</v>
      </c>
      <c r="AG400">
        <v>56</v>
      </c>
      <c r="AH400">
        <v>44</v>
      </c>
      <c r="AI400">
        <v>50</v>
      </c>
      <c r="AJ400">
        <v>0</v>
      </c>
      <c r="AK400">
        <v>30</v>
      </c>
      <c r="AL400" t="s">
        <v>2494</v>
      </c>
      <c r="AM400" t="s">
        <v>786</v>
      </c>
      <c r="AN400" t="s">
        <v>2495</v>
      </c>
      <c r="AO400" t="s">
        <v>7561</v>
      </c>
      <c r="AP400" t="s">
        <v>7562</v>
      </c>
      <c r="AQ400" t="s">
        <v>74</v>
      </c>
      <c r="AR400" t="s">
        <v>7563</v>
      </c>
      <c r="AS400" t="s">
        <v>7564</v>
      </c>
      <c r="AT400" t="s">
        <v>5170</v>
      </c>
      <c r="AU400">
        <v>2013</v>
      </c>
      <c r="AV400">
        <v>118</v>
      </c>
      <c r="AW400">
        <v>1</v>
      </c>
      <c r="AX400" t="s">
        <v>74</v>
      </c>
      <c r="AY400" t="s">
        <v>74</v>
      </c>
      <c r="AZ400" t="s">
        <v>74</v>
      </c>
      <c r="BA400" t="s">
        <v>74</v>
      </c>
      <c r="BB400">
        <v>550</v>
      </c>
      <c r="BC400">
        <v>561</v>
      </c>
      <c r="BD400" t="s">
        <v>74</v>
      </c>
      <c r="BE400" t="s">
        <v>7613</v>
      </c>
      <c r="BF400" t="str">
        <f>HYPERLINK("http://dx.doi.org/10.1002/jgrc.20076","http://dx.doi.org/10.1002/jgrc.20076")</f>
        <v>http://dx.doi.org/10.1002/jgrc.20076</v>
      </c>
      <c r="BG400" t="s">
        <v>74</v>
      </c>
      <c r="BH400" t="s">
        <v>74</v>
      </c>
      <c r="BI400">
        <v>12</v>
      </c>
      <c r="BJ400" t="s">
        <v>303</v>
      </c>
      <c r="BK400" t="s">
        <v>102</v>
      </c>
      <c r="BL400" t="s">
        <v>303</v>
      </c>
      <c r="BM400" t="s">
        <v>7566</v>
      </c>
      <c r="BN400" t="s">
        <v>74</v>
      </c>
      <c r="BO400" t="s">
        <v>7614</v>
      </c>
      <c r="BP400" t="s">
        <v>74</v>
      </c>
      <c r="BQ400" t="s">
        <v>74</v>
      </c>
      <c r="BR400" t="s">
        <v>105</v>
      </c>
      <c r="BS400" t="s">
        <v>7615</v>
      </c>
      <c r="BT400" t="str">
        <f>HYPERLINK("https%3A%2F%2Fwww.webofscience.com%2Fwos%2Fwoscc%2Ffull-record%2FWOS:000317836100038","View Full Record in Web of Science")</f>
        <v>View Full Record in Web of Science</v>
      </c>
    </row>
    <row r="401" spans="1:72" x14ac:dyDescent="0.15">
      <c r="A401" t="s">
        <v>72</v>
      </c>
      <c r="B401" t="s">
        <v>7616</v>
      </c>
      <c r="C401" t="s">
        <v>74</v>
      </c>
      <c r="D401" t="s">
        <v>74</v>
      </c>
      <c r="E401" t="s">
        <v>74</v>
      </c>
      <c r="F401" t="s">
        <v>7617</v>
      </c>
      <c r="G401" t="s">
        <v>74</v>
      </c>
      <c r="H401" t="s">
        <v>74</v>
      </c>
      <c r="I401" t="s">
        <v>7618</v>
      </c>
      <c r="J401" t="s">
        <v>7619</v>
      </c>
      <c r="K401" t="s">
        <v>74</v>
      </c>
      <c r="L401" t="s">
        <v>74</v>
      </c>
      <c r="M401" t="s">
        <v>78</v>
      </c>
      <c r="N401" t="s">
        <v>79</v>
      </c>
      <c r="O401" t="s">
        <v>74</v>
      </c>
      <c r="P401" t="s">
        <v>74</v>
      </c>
      <c r="Q401" t="s">
        <v>74</v>
      </c>
      <c r="R401" t="s">
        <v>74</v>
      </c>
      <c r="S401" t="s">
        <v>74</v>
      </c>
      <c r="T401" t="s">
        <v>74</v>
      </c>
      <c r="U401" t="s">
        <v>7620</v>
      </c>
      <c r="V401" t="s">
        <v>7621</v>
      </c>
      <c r="W401" t="s">
        <v>7622</v>
      </c>
      <c r="X401" t="s">
        <v>7623</v>
      </c>
      <c r="Y401" t="s">
        <v>7624</v>
      </c>
      <c r="Z401" t="s">
        <v>7625</v>
      </c>
      <c r="AA401" t="s">
        <v>7626</v>
      </c>
      <c r="AB401" t="s">
        <v>7627</v>
      </c>
      <c r="AC401" t="s">
        <v>7628</v>
      </c>
      <c r="AD401" t="s">
        <v>7629</v>
      </c>
      <c r="AE401" t="s">
        <v>7630</v>
      </c>
      <c r="AF401" t="s">
        <v>74</v>
      </c>
      <c r="AG401">
        <v>79</v>
      </c>
      <c r="AH401">
        <v>3</v>
      </c>
      <c r="AI401">
        <v>4</v>
      </c>
      <c r="AJ401">
        <v>1</v>
      </c>
      <c r="AK401">
        <v>19</v>
      </c>
      <c r="AL401" t="s">
        <v>2494</v>
      </c>
      <c r="AM401" t="s">
        <v>786</v>
      </c>
      <c r="AN401" t="s">
        <v>2495</v>
      </c>
      <c r="AO401" t="s">
        <v>7631</v>
      </c>
      <c r="AP401" t="s">
        <v>7632</v>
      </c>
      <c r="AQ401" t="s">
        <v>74</v>
      </c>
      <c r="AR401" t="s">
        <v>7633</v>
      </c>
      <c r="AS401" t="s">
        <v>7634</v>
      </c>
      <c r="AT401" t="s">
        <v>5170</v>
      </c>
      <c r="AU401">
        <v>2013</v>
      </c>
      <c r="AV401">
        <v>118</v>
      </c>
      <c r="AW401">
        <v>1</v>
      </c>
      <c r="AX401" t="s">
        <v>74</v>
      </c>
      <c r="AY401" t="s">
        <v>74</v>
      </c>
      <c r="AZ401" t="s">
        <v>74</v>
      </c>
      <c r="BA401" t="s">
        <v>74</v>
      </c>
      <c r="BB401">
        <v>118</v>
      </c>
      <c r="BC401">
        <v>131</v>
      </c>
      <c r="BD401" t="s">
        <v>74</v>
      </c>
      <c r="BE401" t="s">
        <v>7635</v>
      </c>
      <c r="BF401" t="str">
        <f>HYPERLINK("http://dx.doi.org/10.1029/2012JA018207","http://dx.doi.org/10.1029/2012JA018207")</f>
        <v>http://dx.doi.org/10.1029/2012JA018207</v>
      </c>
      <c r="BG401" t="s">
        <v>74</v>
      </c>
      <c r="BH401" t="s">
        <v>74</v>
      </c>
      <c r="BI401">
        <v>14</v>
      </c>
      <c r="BJ401" t="s">
        <v>153</v>
      </c>
      <c r="BK401" t="s">
        <v>102</v>
      </c>
      <c r="BL401" t="s">
        <v>153</v>
      </c>
      <c r="BM401" t="s">
        <v>7636</v>
      </c>
      <c r="BN401" t="s">
        <v>74</v>
      </c>
      <c r="BO401" t="s">
        <v>128</v>
      </c>
      <c r="BP401" t="s">
        <v>74</v>
      </c>
      <c r="BQ401" t="s">
        <v>74</v>
      </c>
      <c r="BR401" t="s">
        <v>105</v>
      </c>
      <c r="BS401" t="s">
        <v>7637</v>
      </c>
      <c r="BT401" t="str">
        <f>HYPERLINK("https%3A%2F%2Fwww.webofscience.com%2Fwos%2Fwoscc%2Ffull-record%2FWOS:000317858600012","View Full Record in Web of Science")</f>
        <v>View Full Record in Web of Science</v>
      </c>
    </row>
    <row r="402" spans="1:72" x14ac:dyDescent="0.15">
      <c r="A402" t="s">
        <v>72</v>
      </c>
      <c r="B402" t="s">
        <v>7638</v>
      </c>
      <c r="C402" t="s">
        <v>74</v>
      </c>
      <c r="D402" t="s">
        <v>74</v>
      </c>
      <c r="E402" t="s">
        <v>74</v>
      </c>
      <c r="F402" t="s">
        <v>7639</v>
      </c>
      <c r="G402" t="s">
        <v>74</v>
      </c>
      <c r="H402" t="s">
        <v>74</v>
      </c>
      <c r="I402" t="s">
        <v>7640</v>
      </c>
      <c r="J402" t="s">
        <v>7641</v>
      </c>
      <c r="K402" t="s">
        <v>74</v>
      </c>
      <c r="L402" t="s">
        <v>74</v>
      </c>
      <c r="M402" t="s">
        <v>78</v>
      </c>
      <c r="N402" t="s">
        <v>79</v>
      </c>
      <c r="O402" t="s">
        <v>74</v>
      </c>
      <c r="P402" t="s">
        <v>74</v>
      </c>
      <c r="Q402" t="s">
        <v>74</v>
      </c>
      <c r="R402" t="s">
        <v>74</v>
      </c>
      <c r="S402" t="s">
        <v>74</v>
      </c>
      <c r="T402" t="s">
        <v>7642</v>
      </c>
      <c r="U402" t="s">
        <v>7643</v>
      </c>
      <c r="V402" t="s">
        <v>7644</v>
      </c>
      <c r="W402" t="s">
        <v>7645</v>
      </c>
      <c r="X402" t="s">
        <v>7646</v>
      </c>
      <c r="Y402" t="s">
        <v>7647</v>
      </c>
      <c r="Z402" t="s">
        <v>7648</v>
      </c>
      <c r="AA402" t="s">
        <v>7649</v>
      </c>
      <c r="AB402" t="s">
        <v>7650</v>
      </c>
      <c r="AC402" t="s">
        <v>74</v>
      </c>
      <c r="AD402" t="s">
        <v>74</v>
      </c>
      <c r="AE402" t="s">
        <v>74</v>
      </c>
      <c r="AF402" t="s">
        <v>74</v>
      </c>
      <c r="AG402">
        <v>33</v>
      </c>
      <c r="AH402">
        <v>2</v>
      </c>
      <c r="AI402">
        <v>2</v>
      </c>
      <c r="AJ402">
        <v>0</v>
      </c>
      <c r="AK402">
        <v>20</v>
      </c>
      <c r="AL402" t="s">
        <v>295</v>
      </c>
      <c r="AM402" t="s">
        <v>296</v>
      </c>
      <c r="AN402" t="s">
        <v>297</v>
      </c>
      <c r="AO402" t="s">
        <v>7651</v>
      </c>
      <c r="AP402" t="s">
        <v>7652</v>
      </c>
      <c r="AQ402" t="s">
        <v>74</v>
      </c>
      <c r="AR402" t="s">
        <v>7653</v>
      </c>
      <c r="AS402" t="s">
        <v>1139</v>
      </c>
      <c r="AT402" t="s">
        <v>5170</v>
      </c>
      <c r="AU402">
        <v>2013</v>
      </c>
      <c r="AV402">
        <v>82</v>
      </c>
      <c r="AW402">
        <v>1</v>
      </c>
      <c r="AX402" t="s">
        <v>74</v>
      </c>
      <c r="AY402" t="s">
        <v>74</v>
      </c>
      <c r="AZ402" t="s">
        <v>74</v>
      </c>
      <c r="BA402" t="s">
        <v>74</v>
      </c>
      <c r="BB402">
        <v>43</v>
      </c>
      <c r="BC402">
        <v>51</v>
      </c>
      <c r="BD402" t="s">
        <v>74</v>
      </c>
      <c r="BE402" t="s">
        <v>7654</v>
      </c>
      <c r="BF402" t="str">
        <f>HYPERLINK("http://dx.doi.org/10.1134/S0026261713010037","http://dx.doi.org/10.1134/S0026261713010037")</f>
        <v>http://dx.doi.org/10.1134/S0026261713010037</v>
      </c>
      <c r="BG402" t="s">
        <v>74</v>
      </c>
      <c r="BH402" t="s">
        <v>74</v>
      </c>
      <c r="BI402">
        <v>9</v>
      </c>
      <c r="BJ402" t="s">
        <v>1139</v>
      </c>
      <c r="BK402" t="s">
        <v>102</v>
      </c>
      <c r="BL402" t="s">
        <v>1139</v>
      </c>
      <c r="BM402" t="s">
        <v>7655</v>
      </c>
      <c r="BN402" t="s">
        <v>74</v>
      </c>
      <c r="BO402" t="s">
        <v>74</v>
      </c>
      <c r="BP402" t="s">
        <v>74</v>
      </c>
      <c r="BQ402" t="s">
        <v>74</v>
      </c>
      <c r="BR402" t="s">
        <v>105</v>
      </c>
      <c r="BS402" t="s">
        <v>7656</v>
      </c>
      <c r="BT402" t="str">
        <f>HYPERLINK("https%3A%2F%2Fwww.webofscience.com%2Fwos%2Fwoscc%2Ffull-record%2FWOS:000317787900006","View Full Record in Web of Science")</f>
        <v>View Full Record in Web of Science</v>
      </c>
    </row>
    <row r="403" spans="1:72" x14ac:dyDescent="0.15">
      <c r="A403" t="s">
        <v>72</v>
      </c>
      <c r="B403" t="s">
        <v>7657</v>
      </c>
      <c r="C403" t="s">
        <v>74</v>
      </c>
      <c r="D403" t="s">
        <v>74</v>
      </c>
      <c r="E403" t="s">
        <v>74</v>
      </c>
      <c r="F403" t="s">
        <v>7658</v>
      </c>
      <c r="G403" t="s">
        <v>74</v>
      </c>
      <c r="H403" t="s">
        <v>74</v>
      </c>
      <c r="I403" t="s">
        <v>7659</v>
      </c>
      <c r="J403" t="s">
        <v>7660</v>
      </c>
      <c r="K403" t="s">
        <v>74</v>
      </c>
      <c r="L403" t="s">
        <v>74</v>
      </c>
      <c r="M403" t="s">
        <v>78</v>
      </c>
      <c r="N403" t="s">
        <v>79</v>
      </c>
      <c r="O403" t="s">
        <v>74</v>
      </c>
      <c r="P403" t="s">
        <v>74</v>
      </c>
      <c r="Q403" t="s">
        <v>74</v>
      </c>
      <c r="R403" t="s">
        <v>74</v>
      </c>
      <c r="S403" t="s">
        <v>74</v>
      </c>
      <c r="T403" t="s">
        <v>74</v>
      </c>
      <c r="U403" t="s">
        <v>7661</v>
      </c>
      <c r="V403" t="s">
        <v>7662</v>
      </c>
      <c r="W403" t="s">
        <v>7663</v>
      </c>
      <c r="X403" t="s">
        <v>7664</v>
      </c>
      <c r="Y403" t="s">
        <v>7665</v>
      </c>
      <c r="Z403" t="s">
        <v>7666</v>
      </c>
      <c r="AA403" t="s">
        <v>7667</v>
      </c>
      <c r="AB403" t="s">
        <v>7668</v>
      </c>
      <c r="AC403" t="s">
        <v>7669</v>
      </c>
      <c r="AD403" t="s">
        <v>7670</v>
      </c>
      <c r="AE403" t="s">
        <v>7671</v>
      </c>
      <c r="AF403" t="s">
        <v>74</v>
      </c>
      <c r="AG403">
        <v>81</v>
      </c>
      <c r="AH403">
        <v>17</v>
      </c>
      <c r="AI403">
        <v>18</v>
      </c>
      <c r="AJ403">
        <v>1</v>
      </c>
      <c r="AK403">
        <v>51</v>
      </c>
      <c r="AL403" t="s">
        <v>2494</v>
      </c>
      <c r="AM403" t="s">
        <v>786</v>
      </c>
      <c r="AN403" t="s">
        <v>2495</v>
      </c>
      <c r="AO403" t="s">
        <v>7672</v>
      </c>
      <c r="AP403" t="s">
        <v>7673</v>
      </c>
      <c r="AQ403" t="s">
        <v>74</v>
      </c>
      <c r="AR403" t="s">
        <v>7660</v>
      </c>
      <c r="AS403" t="s">
        <v>7674</v>
      </c>
      <c r="AT403" t="s">
        <v>74</v>
      </c>
      <c r="AU403">
        <v>2013</v>
      </c>
      <c r="AV403">
        <v>28</v>
      </c>
      <c r="AW403">
        <v>1</v>
      </c>
      <c r="AX403" t="s">
        <v>74</v>
      </c>
      <c r="AY403" t="s">
        <v>74</v>
      </c>
      <c r="AZ403" t="s">
        <v>74</v>
      </c>
      <c r="BA403" t="s">
        <v>74</v>
      </c>
      <c r="BB403" t="s">
        <v>74</v>
      </c>
      <c r="BC403" t="s">
        <v>74</v>
      </c>
      <c r="BD403" t="s">
        <v>74</v>
      </c>
      <c r="BE403" t="s">
        <v>7675</v>
      </c>
      <c r="BF403" t="str">
        <f>HYPERLINK("http://dx.doi.org/10.1002/palo.20013","http://dx.doi.org/10.1002/palo.20013")</f>
        <v>http://dx.doi.org/10.1002/palo.20013</v>
      </c>
      <c r="BG403" t="s">
        <v>74</v>
      </c>
      <c r="BH403" t="s">
        <v>74</v>
      </c>
      <c r="BI403">
        <v>12</v>
      </c>
      <c r="BJ403" t="s">
        <v>7676</v>
      </c>
      <c r="BK403" t="s">
        <v>102</v>
      </c>
      <c r="BL403" t="s">
        <v>7677</v>
      </c>
      <c r="BM403" t="s">
        <v>7678</v>
      </c>
      <c r="BN403" t="s">
        <v>74</v>
      </c>
      <c r="BO403" t="s">
        <v>7679</v>
      </c>
      <c r="BP403" t="s">
        <v>74</v>
      </c>
      <c r="BQ403" t="s">
        <v>74</v>
      </c>
      <c r="BR403" t="s">
        <v>105</v>
      </c>
      <c r="BS403" t="s">
        <v>7680</v>
      </c>
      <c r="BT403" t="str">
        <f>HYPERLINK("https%3A%2F%2Fwww.webofscience.com%2Fwos%2Fwoscc%2Ffull-record%2FWOS:000317838200008","View Full Record in Web of Science")</f>
        <v>View Full Record in Web of Science</v>
      </c>
    </row>
    <row r="404" spans="1:72" x14ac:dyDescent="0.15">
      <c r="A404" t="s">
        <v>72</v>
      </c>
      <c r="B404" t="s">
        <v>7681</v>
      </c>
      <c r="C404" t="s">
        <v>74</v>
      </c>
      <c r="D404" t="s">
        <v>74</v>
      </c>
      <c r="E404" t="s">
        <v>74</v>
      </c>
      <c r="F404" t="s">
        <v>7682</v>
      </c>
      <c r="G404" t="s">
        <v>74</v>
      </c>
      <c r="H404" t="s">
        <v>74</v>
      </c>
      <c r="I404" t="s">
        <v>7683</v>
      </c>
      <c r="J404" t="s">
        <v>7684</v>
      </c>
      <c r="K404" t="s">
        <v>74</v>
      </c>
      <c r="L404" t="s">
        <v>74</v>
      </c>
      <c r="M404" t="s">
        <v>78</v>
      </c>
      <c r="N404" t="s">
        <v>79</v>
      </c>
      <c r="O404" t="s">
        <v>74</v>
      </c>
      <c r="P404" t="s">
        <v>74</v>
      </c>
      <c r="Q404" t="s">
        <v>74</v>
      </c>
      <c r="R404" t="s">
        <v>74</v>
      </c>
      <c r="S404" t="s">
        <v>74</v>
      </c>
      <c r="T404" t="s">
        <v>74</v>
      </c>
      <c r="U404" t="s">
        <v>7685</v>
      </c>
      <c r="V404" t="s">
        <v>7686</v>
      </c>
      <c r="W404" t="s">
        <v>7687</v>
      </c>
      <c r="X404" t="s">
        <v>7688</v>
      </c>
      <c r="Y404" t="s">
        <v>7689</v>
      </c>
      <c r="Z404" t="s">
        <v>7690</v>
      </c>
      <c r="AA404" t="s">
        <v>7691</v>
      </c>
      <c r="AB404" t="s">
        <v>7692</v>
      </c>
      <c r="AC404" t="s">
        <v>7693</v>
      </c>
      <c r="AD404" t="s">
        <v>7694</v>
      </c>
      <c r="AE404" t="s">
        <v>7695</v>
      </c>
      <c r="AF404" t="s">
        <v>74</v>
      </c>
      <c r="AG404">
        <v>22</v>
      </c>
      <c r="AH404">
        <v>23</v>
      </c>
      <c r="AI404">
        <v>23</v>
      </c>
      <c r="AJ404">
        <v>0</v>
      </c>
      <c r="AK404">
        <v>4</v>
      </c>
      <c r="AL404" t="s">
        <v>2494</v>
      </c>
      <c r="AM404" t="s">
        <v>786</v>
      </c>
      <c r="AN404" t="s">
        <v>2495</v>
      </c>
      <c r="AO404" t="s">
        <v>7696</v>
      </c>
      <c r="AP404" t="s">
        <v>7697</v>
      </c>
      <c r="AQ404" t="s">
        <v>74</v>
      </c>
      <c r="AR404" t="s">
        <v>7698</v>
      </c>
      <c r="AS404" t="s">
        <v>7699</v>
      </c>
      <c r="AT404" t="s">
        <v>7700</v>
      </c>
      <c r="AU404">
        <v>2013</v>
      </c>
      <c r="AV404">
        <v>48</v>
      </c>
      <c r="AW404">
        <v>1</v>
      </c>
      <c r="AX404" t="s">
        <v>74</v>
      </c>
      <c r="AY404" t="s">
        <v>74</v>
      </c>
      <c r="AZ404" t="s">
        <v>74</v>
      </c>
      <c r="BA404" t="s">
        <v>74</v>
      </c>
      <c r="BB404">
        <v>1</v>
      </c>
      <c r="BC404">
        <v>12</v>
      </c>
      <c r="BD404" t="s">
        <v>74</v>
      </c>
      <c r="BE404" t="s">
        <v>7701</v>
      </c>
      <c r="BF404" t="str">
        <f>HYPERLINK("http://dx.doi.org/10.1029/2012RS005074","http://dx.doi.org/10.1029/2012RS005074")</f>
        <v>http://dx.doi.org/10.1029/2012RS005074</v>
      </c>
      <c r="BG404" t="s">
        <v>74</v>
      </c>
      <c r="BH404" t="s">
        <v>74</v>
      </c>
      <c r="BI404">
        <v>12</v>
      </c>
      <c r="BJ404" t="s">
        <v>7702</v>
      </c>
      <c r="BK404" t="s">
        <v>102</v>
      </c>
      <c r="BL404" t="s">
        <v>7702</v>
      </c>
      <c r="BM404" t="s">
        <v>7703</v>
      </c>
      <c r="BN404" t="s">
        <v>74</v>
      </c>
      <c r="BO404" t="s">
        <v>1379</v>
      </c>
      <c r="BP404" t="s">
        <v>74</v>
      </c>
      <c r="BQ404" t="s">
        <v>74</v>
      </c>
      <c r="BR404" t="s">
        <v>105</v>
      </c>
      <c r="BS404" t="s">
        <v>7704</v>
      </c>
      <c r="BT404" t="str">
        <f>HYPERLINK("https%3A%2F%2Fwww.webofscience.com%2Fwos%2Fwoscc%2Ffull-record%2FWOS:000317836400001","View Full Record in Web of Science")</f>
        <v>View Full Record in Web of Science</v>
      </c>
    </row>
    <row r="405" spans="1:72" x14ac:dyDescent="0.15">
      <c r="A405" t="s">
        <v>72</v>
      </c>
      <c r="B405" t="s">
        <v>7705</v>
      </c>
      <c r="C405" t="s">
        <v>74</v>
      </c>
      <c r="D405" t="s">
        <v>74</v>
      </c>
      <c r="E405" t="s">
        <v>74</v>
      </c>
      <c r="F405" t="s">
        <v>7706</v>
      </c>
      <c r="G405" t="s">
        <v>74</v>
      </c>
      <c r="H405" t="s">
        <v>74</v>
      </c>
      <c r="I405" t="s">
        <v>7707</v>
      </c>
      <c r="J405" t="s">
        <v>4521</v>
      </c>
      <c r="K405" t="s">
        <v>74</v>
      </c>
      <c r="L405" t="s">
        <v>74</v>
      </c>
      <c r="M405" t="s">
        <v>78</v>
      </c>
      <c r="N405" t="s">
        <v>79</v>
      </c>
      <c r="O405" t="s">
        <v>74</v>
      </c>
      <c r="P405" t="s">
        <v>74</v>
      </c>
      <c r="Q405" t="s">
        <v>74</v>
      </c>
      <c r="R405" t="s">
        <v>74</v>
      </c>
      <c r="S405" t="s">
        <v>74</v>
      </c>
      <c r="T405" t="s">
        <v>74</v>
      </c>
      <c r="U405" t="s">
        <v>7708</v>
      </c>
      <c r="V405" t="s">
        <v>7709</v>
      </c>
      <c r="W405" t="s">
        <v>7710</v>
      </c>
      <c r="X405" t="s">
        <v>7711</v>
      </c>
      <c r="Y405" t="s">
        <v>7712</v>
      </c>
      <c r="Z405" t="s">
        <v>7713</v>
      </c>
      <c r="AA405" t="s">
        <v>7714</v>
      </c>
      <c r="AB405" t="s">
        <v>7715</v>
      </c>
      <c r="AC405" t="s">
        <v>7716</v>
      </c>
      <c r="AD405" t="s">
        <v>7717</v>
      </c>
      <c r="AE405" t="s">
        <v>7718</v>
      </c>
      <c r="AF405" t="s">
        <v>74</v>
      </c>
      <c r="AG405">
        <v>81</v>
      </c>
      <c r="AH405">
        <v>43</v>
      </c>
      <c r="AI405">
        <v>44</v>
      </c>
      <c r="AJ405">
        <v>2</v>
      </c>
      <c r="AK405">
        <v>57</v>
      </c>
      <c r="AL405" t="s">
        <v>4248</v>
      </c>
      <c r="AM405" t="s">
        <v>4249</v>
      </c>
      <c r="AN405" t="s">
        <v>4250</v>
      </c>
      <c r="AO405" t="s">
        <v>4533</v>
      </c>
      <c r="AP405" t="s">
        <v>4534</v>
      </c>
      <c r="AQ405" t="s">
        <v>74</v>
      </c>
      <c r="AR405" t="s">
        <v>4535</v>
      </c>
      <c r="AS405" t="s">
        <v>4536</v>
      </c>
      <c r="AT405" t="s">
        <v>74</v>
      </c>
      <c r="AU405">
        <v>2013</v>
      </c>
      <c r="AV405">
        <v>13</v>
      </c>
      <c r="AW405">
        <v>7</v>
      </c>
      <c r="AX405" t="s">
        <v>74</v>
      </c>
      <c r="AY405" t="s">
        <v>74</v>
      </c>
      <c r="AZ405" t="s">
        <v>74</v>
      </c>
      <c r="BA405" t="s">
        <v>74</v>
      </c>
      <c r="BB405">
        <v>3527</v>
      </c>
      <c r="BC405">
        <v>3546</v>
      </c>
      <c r="BD405" t="s">
        <v>74</v>
      </c>
      <c r="BE405" t="s">
        <v>7719</v>
      </c>
      <c r="BF405" t="str">
        <f>HYPERLINK("http://dx.doi.org/10.5194/acp-13-3527-2013","http://dx.doi.org/10.5194/acp-13-3527-2013")</f>
        <v>http://dx.doi.org/10.5194/acp-13-3527-2013</v>
      </c>
      <c r="BG405" t="s">
        <v>74</v>
      </c>
      <c r="BH405" t="s">
        <v>74</v>
      </c>
      <c r="BI405">
        <v>20</v>
      </c>
      <c r="BJ405" t="s">
        <v>1627</v>
      </c>
      <c r="BK405" t="s">
        <v>102</v>
      </c>
      <c r="BL405" t="s">
        <v>1628</v>
      </c>
      <c r="BM405" t="s">
        <v>7720</v>
      </c>
      <c r="BN405" t="s">
        <v>74</v>
      </c>
      <c r="BO405" t="s">
        <v>4621</v>
      </c>
      <c r="BP405" t="s">
        <v>74</v>
      </c>
      <c r="BQ405" t="s">
        <v>74</v>
      </c>
      <c r="BR405" t="s">
        <v>105</v>
      </c>
      <c r="BS405" t="s">
        <v>7721</v>
      </c>
      <c r="BT405" t="str">
        <f>HYPERLINK("https%3A%2F%2Fwww.webofscience.com%2Fwos%2Fwoscc%2Ffull-record%2FWOS:000317605400001","View Full Record in Web of Science")</f>
        <v>View Full Record in Web of Science</v>
      </c>
    </row>
    <row r="406" spans="1:72" x14ac:dyDescent="0.15">
      <c r="A406" t="s">
        <v>72</v>
      </c>
      <c r="B406" t="s">
        <v>7722</v>
      </c>
      <c r="C406" t="s">
        <v>74</v>
      </c>
      <c r="D406" t="s">
        <v>74</v>
      </c>
      <c r="E406" t="s">
        <v>74</v>
      </c>
      <c r="F406" t="s">
        <v>7723</v>
      </c>
      <c r="G406" t="s">
        <v>74</v>
      </c>
      <c r="H406" t="s">
        <v>74</v>
      </c>
      <c r="I406" t="s">
        <v>7724</v>
      </c>
      <c r="J406" t="s">
        <v>4521</v>
      </c>
      <c r="K406" t="s">
        <v>74</v>
      </c>
      <c r="L406" t="s">
        <v>74</v>
      </c>
      <c r="M406" t="s">
        <v>78</v>
      </c>
      <c r="N406" t="s">
        <v>79</v>
      </c>
      <c r="O406" t="s">
        <v>74</v>
      </c>
      <c r="P406" t="s">
        <v>74</v>
      </c>
      <c r="Q406" t="s">
        <v>74</v>
      </c>
      <c r="R406" t="s">
        <v>74</v>
      </c>
      <c r="S406" t="s">
        <v>74</v>
      </c>
      <c r="T406" t="s">
        <v>74</v>
      </c>
      <c r="U406" t="s">
        <v>7725</v>
      </c>
      <c r="V406" t="s">
        <v>7726</v>
      </c>
      <c r="W406" t="s">
        <v>7727</v>
      </c>
      <c r="X406" t="s">
        <v>7728</v>
      </c>
      <c r="Y406" t="s">
        <v>7729</v>
      </c>
      <c r="Z406" t="s">
        <v>7730</v>
      </c>
      <c r="AA406" t="s">
        <v>7731</v>
      </c>
      <c r="AB406" t="s">
        <v>7732</v>
      </c>
      <c r="AC406" t="s">
        <v>7733</v>
      </c>
      <c r="AD406" t="s">
        <v>7734</v>
      </c>
      <c r="AE406" t="s">
        <v>7735</v>
      </c>
      <c r="AF406" t="s">
        <v>74</v>
      </c>
      <c r="AG406">
        <v>86</v>
      </c>
      <c r="AH406">
        <v>51</v>
      </c>
      <c r="AI406">
        <v>58</v>
      </c>
      <c r="AJ406">
        <v>2</v>
      </c>
      <c r="AK406">
        <v>44</v>
      </c>
      <c r="AL406" t="s">
        <v>4248</v>
      </c>
      <c r="AM406" t="s">
        <v>4249</v>
      </c>
      <c r="AN406" t="s">
        <v>4250</v>
      </c>
      <c r="AO406" t="s">
        <v>4533</v>
      </c>
      <c r="AP406" t="s">
        <v>4534</v>
      </c>
      <c r="AQ406" t="s">
        <v>74</v>
      </c>
      <c r="AR406" t="s">
        <v>4535</v>
      </c>
      <c r="AS406" t="s">
        <v>4536</v>
      </c>
      <c r="AT406" t="s">
        <v>74</v>
      </c>
      <c r="AU406">
        <v>2013</v>
      </c>
      <c r="AV406">
        <v>13</v>
      </c>
      <c r="AW406">
        <v>7</v>
      </c>
      <c r="AX406" t="s">
        <v>74</v>
      </c>
      <c r="AY406" t="s">
        <v>74</v>
      </c>
      <c r="AZ406" t="s">
        <v>74</v>
      </c>
      <c r="BA406" t="s">
        <v>74</v>
      </c>
      <c r="BB406">
        <v>3547</v>
      </c>
      <c r="BC406">
        <v>3567</v>
      </c>
      <c r="BD406" t="s">
        <v>74</v>
      </c>
      <c r="BE406" t="s">
        <v>7736</v>
      </c>
      <c r="BF406" t="str">
        <f>HYPERLINK("http://dx.doi.org/10.5194/acp-13-3547-2013","http://dx.doi.org/10.5194/acp-13-3547-2013")</f>
        <v>http://dx.doi.org/10.5194/acp-13-3547-2013</v>
      </c>
      <c r="BG406" t="s">
        <v>74</v>
      </c>
      <c r="BH406" t="s">
        <v>74</v>
      </c>
      <c r="BI406">
        <v>21</v>
      </c>
      <c r="BJ406" t="s">
        <v>1627</v>
      </c>
      <c r="BK406" t="s">
        <v>102</v>
      </c>
      <c r="BL406" t="s">
        <v>1628</v>
      </c>
      <c r="BM406" t="s">
        <v>7720</v>
      </c>
      <c r="BN406" t="s">
        <v>74</v>
      </c>
      <c r="BO406" t="s">
        <v>4132</v>
      </c>
      <c r="BP406" t="s">
        <v>74</v>
      </c>
      <c r="BQ406" t="s">
        <v>74</v>
      </c>
      <c r="BR406" t="s">
        <v>105</v>
      </c>
      <c r="BS406" t="s">
        <v>7737</v>
      </c>
      <c r="BT406" t="str">
        <f>HYPERLINK("https%3A%2F%2Fwww.webofscience.com%2Fwos%2Fwoscc%2Ffull-record%2FWOS:000317605400002","View Full Record in Web of Science")</f>
        <v>View Full Record in Web of Science</v>
      </c>
    </row>
    <row r="407" spans="1:72" x14ac:dyDescent="0.15">
      <c r="A407" t="s">
        <v>72</v>
      </c>
      <c r="B407" t="s">
        <v>7738</v>
      </c>
      <c r="C407" t="s">
        <v>74</v>
      </c>
      <c r="D407" t="s">
        <v>74</v>
      </c>
      <c r="E407" t="s">
        <v>74</v>
      </c>
      <c r="F407" t="s">
        <v>7739</v>
      </c>
      <c r="G407" t="s">
        <v>74</v>
      </c>
      <c r="H407" t="s">
        <v>74</v>
      </c>
      <c r="I407" t="s">
        <v>7740</v>
      </c>
      <c r="J407" t="s">
        <v>5821</v>
      </c>
      <c r="K407" t="s">
        <v>74</v>
      </c>
      <c r="L407" t="s">
        <v>74</v>
      </c>
      <c r="M407" t="s">
        <v>78</v>
      </c>
      <c r="N407" t="s">
        <v>79</v>
      </c>
      <c r="O407" t="s">
        <v>74</v>
      </c>
      <c r="P407" t="s">
        <v>74</v>
      </c>
      <c r="Q407" t="s">
        <v>74</v>
      </c>
      <c r="R407" t="s">
        <v>74</v>
      </c>
      <c r="S407" t="s">
        <v>74</v>
      </c>
      <c r="T407" t="s">
        <v>74</v>
      </c>
      <c r="U407" t="s">
        <v>7741</v>
      </c>
      <c r="V407" t="s">
        <v>7742</v>
      </c>
      <c r="W407" t="s">
        <v>7743</v>
      </c>
      <c r="X407" t="s">
        <v>7744</v>
      </c>
      <c r="Y407" t="s">
        <v>7745</v>
      </c>
      <c r="Z407" t="s">
        <v>7746</v>
      </c>
      <c r="AA407" t="s">
        <v>7747</v>
      </c>
      <c r="AB407" t="s">
        <v>7748</v>
      </c>
      <c r="AC407" t="s">
        <v>7749</v>
      </c>
      <c r="AD407" t="s">
        <v>6404</v>
      </c>
      <c r="AE407" t="s">
        <v>7750</v>
      </c>
      <c r="AF407" t="s">
        <v>74</v>
      </c>
      <c r="AG407">
        <v>86</v>
      </c>
      <c r="AH407">
        <v>30</v>
      </c>
      <c r="AI407">
        <v>34</v>
      </c>
      <c r="AJ407">
        <v>3</v>
      </c>
      <c r="AK407">
        <v>46</v>
      </c>
      <c r="AL407" t="s">
        <v>4248</v>
      </c>
      <c r="AM407" t="s">
        <v>4249</v>
      </c>
      <c r="AN407" t="s">
        <v>4250</v>
      </c>
      <c r="AO407" t="s">
        <v>5833</v>
      </c>
      <c r="AP407" t="s">
        <v>5834</v>
      </c>
      <c r="AQ407" t="s">
        <v>74</v>
      </c>
      <c r="AR407" t="s">
        <v>5821</v>
      </c>
      <c r="AS407" t="s">
        <v>5835</v>
      </c>
      <c r="AT407" t="s">
        <v>74</v>
      </c>
      <c r="AU407">
        <v>2013</v>
      </c>
      <c r="AV407">
        <v>10</v>
      </c>
      <c r="AW407">
        <v>3</v>
      </c>
      <c r="AX407" t="s">
        <v>74</v>
      </c>
      <c r="AY407" t="s">
        <v>74</v>
      </c>
      <c r="AZ407" t="s">
        <v>74</v>
      </c>
      <c r="BA407" t="s">
        <v>74</v>
      </c>
      <c r="BB407">
        <v>1659</v>
      </c>
      <c r="BC407">
        <v>1674</v>
      </c>
      <c r="BD407" t="s">
        <v>74</v>
      </c>
      <c r="BE407" t="s">
        <v>7751</v>
      </c>
      <c r="BF407" t="str">
        <f>HYPERLINK("http://dx.doi.org/10.5194/bg-10-1659-2013","http://dx.doi.org/10.5194/bg-10-1659-2013")</f>
        <v>http://dx.doi.org/10.5194/bg-10-1659-2013</v>
      </c>
      <c r="BG407" t="s">
        <v>74</v>
      </c>
      <c r="BH407" t="s">
        <v>74</v>
      </c>
      <c r="BI407">
        <v>16</v>
      </c>
      <c r="BJ407" t="s">
        <v>4835</v>
      </c>
      <c r="BK407" t="s">
        <v>102</v>
      </c>
      <c r="BL407" t="s">
        <v>4836</v>
      </c>
      <c r="BM407" t="s">
        <v>7752</v>
      </c>
      <c r="BN407" t="s">
        <v>74</v>
      </c>
      <c r="BO407" t="s">
        <v>4132</v>
      </c>
      <c r="BP407" t="s">
        <v>74</v>
      </c>
      <c r="BQ407" t="s">
        <v>74</v>
      </c>
      <c r="BR407" t="s">
        <v>105</v>
      </c>
      <c r="BS407" t="s">
        <v>7753</v>
      </c>
      <c r="BT407" t="str">
        <f>HYPERLINK("https%3A%2F%2Fwww.webofscience.com%2Fwos%2Fwoscc%2Ffull-record%2FWOS:000317010600028","View Full Record in Web of Science")</f>
        <v>View Full Record in Web of Science</v>
      </c>
    </row>
    <row r="408" spans="1:72" x14ac:dyDescent="0.15">
      <c r="A408" t="s">
        <v>72</v>
      </c>
      <c r="B408" t="s">
        <v>7754</v>
      </c>
      <c r="C408" t="s">
        <v>74</v>
      </c>
      <c r="D408" t="s">
        <v>74</v>
      </c>
      <c r="E408" t="s">
        <v>74</v>
      </c>
      <c r="F408" t="s">
        <v>7755</v>
      </c>
      <c r="G408" t="s">
        <v>74</v>
      </c>
      <c r="H408" t="s">
        <v>74</v>
      </c>
      <c r="I408" t="s">
        <v>7756</v>
      </c>
      <c r="J408" t="s">
        <v>7757</v>
      </c>
      <c r="K408" t="s">
        <v>74</v>
      </c>
      <c r="L408" t="s">
        <v>74</v>
      </c>
      <c r="M408" t="s">
        <v>78</v>
      </c>
      <c r="N408" t="s">
        <v>79</v>
      </c>
      <c r="O408" t="s">
        <v>74</v>
      </c>
      <c r="P408" t="s">
        <v>74</v>
      </c>
      <c r="Q408" t="s">
        <v>74</v>
      </c>
      <c r="R408" t="s">
        <v>74</v>
      </c>
      <c r="S408" t="s">
        <v>74</v>
      </c>
      <c r="T408" t="s">
        <v>74</v>
      </c>
      <c r="U408" t="s">
        <v>7758</v>
      </c>
      <c r="V408" t="s">
        <v>7759</v>
      </c>
      <c r="W408" t="s">
        <v>7760</v>
      </c>
      <c r="X408" t="s">
        <v>7761</v>
      </c>
      <c r="Y408" t="s">
        <v>7762</v>
      </c>
      <c r="Z408" t="s">
        <v>7763</v>
      </c>
      <c r="AA408" t="s">
        <v>74</v>
      </c>
      <c r="AB408" t="s">
        <v>7764</v>
      </c>
      <c r="AC408" t="s">
        <v>7765</v>
      </c>
      <c r="AD408" t="s">
        <v>7766</v>
      </c>
      <c r="AE408" t="s">
        <v>74</v>
      </c>
      <c r="AF408" t="s">
        <v>74</v>
      </c>
      <c r="AG408">
        <v>20</v>
      </c>
      <c r="AH408">
        <v>1</v>
      </c>
      <c r="AI408">
        <v>1</v>
      </c>
      <c r="AJ408">
        <v>0</v>
      </c>
      <c r="AK408">
        <v>3</v>
      </c>
      <c r="AL408" t="s">
        <v>2494</v>
      </c>
      <c r="AM408" t="s">
        <v>786</v>
      </c>
      <c r="AN408" t="s">
        <v>2495</v>
      </c>
      <c r="AO408" t="s">
        <v>7767</v>
      </c>
      <c r="AP408" t="s">
        <v>7768</v>
      </c>
      <c r="AQ408" t="s">
        <v>74</v>
      </c>
      <c r="AR408" t="s">
        <v>7769</v>
      </c>
      <c r="AS408" t="s">
        <v>7770</v>
      </c>
      <c r="AT408" t="s">
        <v>5170</v>
      </c>
      <c r="AU408">
        <v>2013</v>
      </c>
      <c r="AV408">
        <v>118</v>
      </c>
      <c r="AW408">
        <v>1</v>
      </c>
      <c r="AX408" t="s">
        <v>74</v>
      </c>
      <c r="AY408" t="s">
        <v>74</v>
      </c>
      <c r="AZ408" t="s">
        <v>74</v>
      </c>
      <c r="BA408" t="s">
        <v>74</v>
      </c>
      <c r="BB408">
        <v>13</v>
      </c>
      <c r="BC408">
        <v>21</v>
      </c>
      <c r="BD408" t="s">
        <v>74</v>
      </c>
      <c r="BE408" t="s">
        <v>7771</v>
      </c>
      <c r="BF408" t="str">
        <f>HYPERLINK("http://dx.doi.org/10.1002/jgrb.50059","http://dx.doi.org/10.1002/jgrb.50059")</f>
        <v>http://dx.doi.org/10.1002/jgrb.50059</v>
      </c>
      <c r="BG408" t="s">
        <v>74</v>
      </c>
      <c r="BH408" t="s">
        <v>74</v>
      </c>
      <c r="BI408">
        <v>9</v>
      </c>
      <c r="BJ408" t="s">
        <v>263</v>
      </c>
      <c r="BK408" t="s">
        <v>102</v>
      </c>
      <c r="BL408" t="s">
        <v>263</v>
      </c>
      <c r="BM408" t="s">
        <v>7772</v>
      </c>
      <c r="BN408" t="s">
        <v>74</v>
      </c>
      <c r="BO408" t="s">
        <v>128</v>
      </c>
      <c r="BP408" t="s">
        <v>74</v>
      </c>
      <c r="BQ408" t="s">
        <v>74</v>
      </c>
      <c r="BR408" t="s">
        <v>105</v>
      </c>
      <c r="BS408" t="s">
        <v>7773</v>
      </c>
      <c r="BT408" t="str">
        <f>HYPERLINK("https%3A%2F%2Fwww.webofscience.com%2Fwos%2Fwoscc%2Ffull-record%2FWOS:000317849200002","View Full Record in Web of Science")</f>
        <v>View Full Record in Web of Science</v>
      </c>
    </row>
    <row r="409" spans="1:72" x14ac:dyDescent="0.15">
      <c r="A409" t="s">
        <v>72</v>
      </c>
      <c r="B409" t="s">
        <v>7774</v>
      </c>
      <c r="C409" t="s">
        <v>74</v>
      </c>
      <c r="D409" t="s">
        <v>74</v>
      </c>
      <c r="E409" t="s">
        <v>74</v>
      </c>
      <c r="F409" t="s">
        <v>7775</v>
      </c>
      <c r="G409" t="s">
        <v>74</v>
      </c>
      <c r="H409" t="s">
        <v>74</v>
      </c>
      <c r="I409" t="s">
        <v>7776</v>
      </c>
      <c r="J409" t="s">
        <v>7757</v>
      </c>
      <c r="K409" t="s">
        <v>74</v>
      </c>
      <c r="L409" t="s">
        <v>74</v>
      </c>
      <c r="M409" t="s">
        <v>78</v>
      </c>
      <c r="N409" t="s">
        <v>79</v>
      </c>
      <c r="O409" t="s">
        <v>74</v>
      </c>
      <c r="P409" t="s">
        <v>74</v>
      </c>
      <c r="Q409" t="s">
        <v>74</v>
      </c>
      <c r="R409" t="s">
        <v>74</v>
      </c>
      <c r="S409" t="s">
        <v>74</v>
      </c>
      <c r="T409" t="s">
        <v>74</v>
      </c>
      <c r="U409" t="s">
        <v>7777</v>
      </c>
      <c r="V409" t="s">
        <v>7778</v>
      </c>
      <c r="W409" t="s">
        <v>7779</v>
      </c>
      <c r="X409" t="s">
        <v>7780</v>
      </c>
      <c r="Y409" t="s">
        <v>7781</v>
      </c>
      <c r="Z409" t="s">
        <v>7782</v>
      </c>
      <c r="AA409" t="s">
        <v>7783</v>
      </c>
      <c r="AB409" t="s">
        <v>7784</v>
      </c>
      <c r="AC409" t="s">
        <v>74</v>
      </c>
      <c r="AD409" t="s">
        <v>74</v>
      </c>
      <c r="AE409" t="s">
        <v>74</v>
      </c>
      <c r="AF409" t="s">
        <v>74</v>
      </c>
      <c r="AG409">
        <v>60</v>
      </c>
      <c r="AH409">
        <v>42</v>
      </c>
      <c r="AI409">
        <v>48</v>
      </c>
      <c r="AJ409">
        <v>1</v>
      </c>
      <c r="AK409">
        <v>33</v>
      </c>
      <c r="AL409" t="s">
        <v>2494</v>
      </c>
      <c r="AM409" t="s">
        <v>786</v>
      </c>
      <c r="AN409" t="s">
        <v>2495</v>
      </c>
      <c r="AO409" t="s">
        <v>7767</v>
      </c>
      <c r="AP409" t="s">
        <v>7768</v>
      </c>
      <c r="AQ409" t="s">
        <v>74</v>
      </c>
      <c r="AR409" t="s">
        <v>7769</v>
      </c>
      <c r="AS409" t="s">
        <v>7770</v>
      </c>
      <c r="AT409" t="s">
        <v>5170</v>
      </c>
      <c r="AU409">
        <v>2013</v>
      </c>
      <c r="AV409">
        <v>118</v>
      </c>
      <c r="AW409">
        <v>1</v>
      </c>
      <c r="AX409" t="s">
        <v>74</v>
      </c>
      <c r="AY409" t="s">
        <v>74</v>
      </c>
      <c r="AZ409" t="s">
        <v>74</v>
      </c>
      <c r="BA409" t="s">
        <v>74</v>
      </c>
      <c r="BB409">
        <v>240</v>
      </c>
      <c r="BC409">
        <v>248</v>
      </c>
      <c r="BD409" t="s">
        <v>74</v>
      </c>
      <c r="BE409" t="s">
        <v>7785</v>
      </c>
      <c r="BF409" t="str">
        <f>HYPERLINK("http://dx.doi.org/10.1029/2012JB009382","http://dx.doi.org/10.1029/2012JB009382")</f>
        <v>http://dx.doi.org/10.1029/2012JB009382</v>
      </c>
      <c r="BG409" t="s">
        <v>74</v>
      </c>
      <c r="BH409" t="s">
        <v>74</v>
      </c>
      <c r="BI409">
        <v>9</v>
      </c>
      <c r="BJ409" t="s">
        <v>263</v>
      </c>
      <c r="BK409" t="s">
        <v>102</v>
      </c>
      <c r="BL409" t="s">
        <v>263</v>
      </c>
      <c r="BM409" t="s">
        <v>7772</v>
      </c>
      <c r="BN409" t="s">
        <v>74</v>
      </c>
      <c r="BO409" t="s">
        <v>1379</v>
      </c>
      <c r="BP409" t="s">
        <v>74</v>
      </c>
      <c r="BQ409" t="s">
        <v>74</v>
      </c>
      <c r="BR409" t="s">
        <v>105</v>
      </c>
      <c r="BS409" t="s">
        <v>7786</v>
      </c>
      <c r="BT409" t="str">
        <f>HYPERLINK("https%3A%2F%2Fwww.webofscience.com%2Fwos%2Fwoscc%2Ffull-record%2FWOS:000317849200017","View Full Record in Web of Science")</f>
        <v>View Full Record in Web of Science</v>
      </c>
    </row>
    <row r="410" spans="1:72" x14ac:dyDescent="0.15">
      <c r="A410" t="s">
        <v>72</v>
      </c>
      <c r="B410" t="s">
        <v>7787</v>
      </c>
      <c r="C410" t="s">
        <v>74</v>
      </c>
      <c r="D410" t="s">
        <v>74</v>
      </c>
      <c r="E410" t="s">
        <v>74</v>
      </c>
      <c r="F410" t="s">
        <v>7788</v>
      </c>
      <c r="G410" t="s">
        <v>74</v>
      </c>
      <c r="H410" t="s">
        <v>74</v>
      </c>
      <c r="I410" t="s">
        <v>7789</v>
      </c>
      <c r="J410" t="s">
        <v>7790</v>
      </c>
      <c r="K410" t="s">
        <v>74</v>
      </c>
      <c r="L410" t="s">
        <v>74</v>
      </c>
      <c r="M410" t="s">
        <v>78</v>
      </c>
      <c r="N410" t="s">
        <v>79</v>
      </c>
      <c r="O410" t="s">
        <v>74</v>
      </c>
      <c r="P410" t="s">
        <v>74</v>
      </c>
      <c r="Q410" t="s">
        <v>74</v>
      </c>
      <c r="R410" t="s">
        <v>74</v>
      </c>
      <c r="S410" t="s">
        <v>74</v>
      </c>
      <c r="T410" t="s">
        <v>74</v>
      </c>
      <c r="U410" t="s">
        <v>7791</v>
      </c>
      <c r="V410" t="s">
        <v>7792</v>
      </c>
      <c r="W410" t="s">
        <v>7793</v>
      </c>
      <c r="X410" t="s">
        <v>7794</v>
      </c>
      <c r="Y410" t="s">
        <v>7795</v>
      </c>
      <c r="Z410" t="s">
        <v>7796</v>
      </c>
      <c r="AA410" t="s">
        <v>7797</v>
      </c>
      <c r="AB410" t="s">
        <v>7798</v>
      </c>
      <c r="AC410" t="s">
        <v>7799</v>
      </c>
      <c r="AD410" t="s">
        <v>7800</v>
      </c>
      <c r="AE410" t="s">
        <v>74</v>
      </c>
      <c r="AF410" t="s">
        <v>74</v>
      </c>
      <c r="AG410">
        <v>49</v>
      </c>
      <c r="AH410">
        <v>3</v>
      </c>
      <c r="AI410">
        <v>3</v>
      </c>
      <c r="AJ410">
        <v>0</v>
      </c>
      <c r="AK410">
        <v>20</v>
      </c>
      <c r="AL410" t="s">
        <v>7801</v>
      </c>
      <c r="AM410" t="s">
        <v>7802</v>
      </c>
      <c r="AN410" t="s">
        <v>7803</v>
      </c>
      <c r="AO410" t="s">
        <v>7804</v>
      </c>
      <c r="AP410" t="s">
        <v>7805</v>
      </c>
      <c r="AQ410" t="s">
        <v>74</v>
      </c>
      <c r="AR410" t="s">
        <v>7806</v>
      </c>
      <c r="AS410" t="s">
        <v>7807</v>
      </c>
      <c r="AT410" t="s">
        <v>7700</v>
      </c>
      <c r="AU410">
        <v>2013</v>
      </c>
      <c r="AV410">
        <v>83</v>
      </c>
      <c r="AW410" t="s">
        <v>2789</v>
      </c>
      <c r="AX410" t="s">
        <v>74</v>
      </c>
      <c r="AY410" t="s">
        <v>74</v>
      </c>
      <c r="AZ410" t="s">
        <v>74</v>
      </c>
      <c r="BA410" t="s">
        <v>74</v>
      </c>
      <c r="BB410">
        <v>52</v>
      </c>
      <c r="BC410">
        <v>62</v>
      </c>
      <c r="BD410" t="s">
        <v>74</v>
      </c>
      <c r="BE410" t="s">
        <v>7808</v>
      </c>
      <c r="BF410" t="str">
        <f>HYPERLINK("http://dx.doi.org/10.2110/jsr.2013.5","http://dx.doi.org/10.2110/jsr.2013.5")</f>
        <v>http://dx.doi.org/10.2110/jsr.2013.5</v>
      </c>
      <c r="BG410" t="s">
        <v>74</v>
      </c>
      <c r="BH410" t="s">
        <v>74</v>
      </c>
      <c r="BI410">
        <v>11</v>
      </c>
      <c r="BJ410" t="s">
        <v>1605</v>
      </c>
      <c r="BK410" t="s">
        <v>102</v>
      </c>
      <c r="BL410" t="s">
        <v>1605</v>
      </c>
      <c r="BM410" t="s">
        <v>7809</v>
      </c>
      <c r="BN410" t="s">
        <v>74</v>
      </c>
      <c r="BO410" t="s">
        <v>74</v>
      </c>
      <c r="BP410" t="s">
        <v>74</v>
      </c>
      <c r="BQ410" t="s">
        <v>74</v>
      </c>
      <c r="BR410" t="s">
        <v>105</v>
      </c>
      <c r="BS410" t="s">
        <v>7810</v>
      </c>
      <c r="BT410" t="str">
        <f>HYPERLINK("https%3A%2F%2Fwww.webofscience.com%2Fwos%2Fwoscc%2Ffull-record%2FWOS:000317703200004","View Full Record in Web of Science")</f>
        <v>View Full Record in Web of Science</v>
      </c>
    </row>
    <row r="411" spans="1:72" x14ac:dyDescent="0.15">
      <c r="A411" t="s">
        <v>72</v>
      </c>
      <c r="B411" t="s">
        <v>7811</v>
      </c>
      <c r="C411" t="s">
        <v>74</v>
      </c>
      <c r="D411" t="s">
        <v>74</v>
      </c>
      <c r="E411" t="s">
        <v>74</v>
      </c>
      <c r="F411" t="s">
        <v>7812</v>
      </c>
      <c r="G411" t="s">
        <v>74</v>
      </c>
      <c r="H411" t="s">
        <v>74</v>
      </c>
      <c r="I411" t="s">
        <v>7813</v>
      </c>
      <c r="J411" t="s">
        <v>7790</v>
      </c>
      <c r="K411" t="s">
        <v>74</v>
      </c>
      <c r="L411" t="s">
        <v>74</v>
      </c>
      <c r="M411" t="s">
        <v>78</v>
      </c>
      <c r="N411" t="s">
        <v>79</v>
      </c>
      <c r="O411" t="s">
        <v>74</v>
      </c>
      <c r="P411" t="s">
        <v>74</v>
      </c>
      <c r="Q411" t="s">
        <v>74</v>
      </c>
      <c r="R411" t="s">
        <v>74</v>
      </c>
      <c r="S411" t="s">
        <v>74</v>
      </c>
      <c r="T411" t="s">
        <v>74</v>
      </c>
      <c r="U411" t="s">
        <v>7814</v>
      </c>
      <c r="V411" t="s">
        <v>7815</v>
      </c>
      <c r="W411" t="s">
        <v>7816</v>
      </c>
      <c r="X411" t="s">
        <v>7817</v>
      </c>
      <c r="Y411" t="s">
        <v>7818</v>
      </c>
      <c r="Z411" t="s">
        <v>7819</v>
      </c>
      <c r="AA411" t="s">
        <v>74</v>
      </c>
      <c r="AB411" t="s">
        <v>7820</v>
      </c>
      <c r="AC411" t="s">
        <v>7821</v>
      </c>
      <c r="AD411" t="s">
        <v>7822</v>
      </c>
      <c r="AE411" t="s">
        <v>7823</v>
      </c>
      <c r="AF411" t="s">
        <v>74</v>
      </c>
      <c r="AG411">
        <v>110</v>
      </c>
      <c r="AH411">
        <v>17</v>
      </c>
      <c r="AI411">
        <v>21</v>
      </c>
      <c r="AJ411">
        <v>0</v>
      </c>
      <c r="AK411">
        <v>18</v>
      </c>
      <c r="AL411" t="s">
        <v>7801</v>
      </c>
      <c r="AM411" t="s">
        <v>7802</v>
      </c>
      <c r="AN411" t="s">
        <v>7803</v>
      </c>
      <c r="AO411" t="s">
        <v>7804</v>
      </c>
      <c r="AP411" t="s">
        <v>7805</v>
      </c>
      <c r="AQ411" t="s">
        <v>74</v>
      </c>
      <c r="AR411" t="s">
        <v>7806</v>
      </c>
      <c r="AS411" t="s">
        <v>7807</v>
      </c>
      <c r="AT411" t="s">
        <v>7700</v>
      </c>
      <c r="AU411">
        <v>2013</v>
      </c>
      <c r="AV411">
        <v>83</v>
      </c>
      <c r="AW411" t="s">
        <v>2789</v>
      </c>
      <c r="AX411" t="s">
        <v>74</v>
      </c>
      <c r="AY411" t="s">
        <v>74</v>
      </c>
      <c r="AZ411" t="s">
        <v>74</v>
      </c>
      <c r="BA411" t="s">
        <v>74</v>
      </c>
      <c r="BB411">
        <v>142</v>
      </c>
      <c r="BC411">
        <v>154</v>
      </c>
      <c r="BD411" t="s">
        <v>74</v>
      </c>
      <c r="BE411" t="s">
        <v>7824</v>
      </c>
      <c r="BF411" t="str">
        <f>HYPERLINK("http://dx.doi.org/10.2110/jsr.2013.12","http://dx.doi.org/10.2110/jsr.2013.12")</f>
        <v>http://dx.doi.org/10.2110/jsr.2013.12</v>
      </c>
      <c r="BG411" t="s">
        <v>74</v>
      </c>
      <c r="BH411" t="s">
        <v>74</v>
      </c>
      <c r="BI411">
        <v>13</v>
      </c>
      <c r="BJ411" t="s">
        <v>1605</v>
      </c>
      <c r="BK411" t="s">
        <v>102</v>
      </c>
      <c r="BL411" t="s">
        <v>1605</v>
      </c>
      <c r="BM411" t="s">
        <v>7809</v>
      </c>
      <c r="BN411" t="s">
        <v>74</v>
      </c>
      <c r="BO411" t="s">
        <v>74</v>
      </c>
      <c r="BP411" t="s">
        <v>74</v>
      </c>
      <c r="BQ411" t="s">
        <v>74</v>
      </c>
      <c r="BR411" t="s">
        <v>105</v>
      </c>
      <c r="BS411" t="s">
        <v>7825</v>
      </c>
      <c r="BT411" t="str">
        <f>HYPERLINK("https%3A%2F%2Fwww.webofscience.com%2Fwos%2Fwoscc%2Ffull-record%2FWOS:000317703200011","View Full Record in Web of Science")</f>
        <v>View Full Record in Web of Science</v>
      </c>
    </row>
    <row r="412" spans="1:72" x14ac:dyDescent="0.15">
      <c r="A412" t="s">
        <v>72</v>
      </c>
      <c r="B412" t="s">
        <v>7826</v>
      </c>
      <c r="C412" t="s">
        <v>74</v>
      </c>
      <c r="D412" t="s">
        <v>74</v>
      </c>
      <c r="E412" t="s">
        <v>74</v>
      </c>
      <c r="F412" t="s">
        <v>7827</v>
      </c>
      <c r="G412" t="s">
        <v>74</v>
      </c>
      <c r="H412" t="s">
        <v>74</v>
      </c>
      <c r="I412" t="s">
        <v>7828</v>
      </c>
      <c r="J412" t="s">
        <v>5022</v>
      </c>
      <c r="K412" t="s">
        <v>74</v>
      </c>
      <c r="L412" t="s">
        <v>74</v>
      </c>
      <c r="M412" t="s">
        <v>78</v>
      </c>
      <c r="N412" t="s">
        <v>79</v>
      </c>
      <c r="O412" t="s">
        <v>74</v>
      </c>
      <c r="P412" t="s">
        <v>74</v>
      </c>
      <c r="Q412" t="s">
        <v>74</v>
      </c>
      <c r="R412" t="s">
        <v>74</v>
      </c>
      <c r="S412" t="s">
        <v>74</v>
      </c>
      <c r="T412" t="s">
        <v>74</v>
      </c>
      <c r="U412" t="s">
        <v>7829</v>
      </c>
      <c r="V412" t="s">
        <v>7830</v>
      </c>
      <c r="W412" t="s">
        <v>7831</v>
      </c>
      <c r="X412" t="s">
        <v>7832</v>
      </c>
      <c r="Y412" t="s">
        <v>7833</v>
      </c>
      <c r="Z412" t="s">
        <v>7834</v>
      </c>
      <c r="AA412" t="s">
        <v>7835</v>
      </c>
      <c r="AB412" t="s">
        <v>7836</v>
      </c>
      <c r="AC412" t="s">
        <v>7837</v>
      </c>
      <c r="AD412" t="s">
        <v>7838</v>
      </c>
      <c r="AE412" t="s">
        <v>7839</v>
      </c>
      <c r="AF412" t="s">
        <v>74</v>
      </c>
      <c r="AG412">
        <v>32</v>
      </c>
      <c r="AH412">
        <v>9</v>
      </c>
      <c r="AI412">
        <v>10</v>
      </c>
      <c r="AJ412">
        <v>0</v>
      </c>
      <c r="AK412">
        <v>13</v>
      </c>
      <c r="AL412" t="s">
        <v>4248</v>
      </c>
      <c r="AM412" t="s">
        <v>4249</v>
      </c>
      <c r="AN412" t="s">
        <v>4250</v>
      </c>
      <c r="AO412" t="s">
        <v>5034</v>
      </c>
      <c r="AP412" t="s">
        <v>5035</v>
      </c>
      <c r="AQ412" t="s">
        <v>74</v>
      </c>
      <c r="AR412" t="s">
        <v>5036</v>
      </c>
      <c r="AS412" t="s">
        <v>5037</v>
      </c>
      <c r="AT412" t="s">
        <v>74</v>
      </c>
      <c r="AU412">
        <v>2013</v>
      </c>
      <c r="AV412">
        <v>6</v>
      </c>
      <c r="AW412">
        <v>2</v>
      </c>
      <c r="AX412" t="s">
        <v>74</v>
      </c>
      <c r="AY412" t="s">
        <v>74</v>
      </c>
      <c r="AZ412" t="s">
        <v>74</v>
      </c>
      <c r="BA412" t="s">
        <v>74</v>
      </c>
      <c r="BB412">
        <v>251</v>
      </c>
      <c r="BC412">
        <v>262</v>
      </c>
      <c r="BD412" t="s">
        <v>74</v>
      </c>
      <c r="BE412" t="s">
        <v>7840</v>
      </c>
      <c r="BF412" t="str">
        <f>HYPERLINK("http://dx.doi.org/10.5194/amt-6-251-2013","http://dx.doi.org/10.5194/amt-6-251-2013")</f>
        <v>http://dx.doi.org/10.5194/amt-6-251-2013</v>
      </c>
      <c r="BG412" t="s">
        <v>74</v>
      </c>
      <c r="BH412" t="s">
        <v>74</v>
      </c>
      <c r="BI412">
        <v>12</v>
      </c>
      <c r="BJ412" t="s">
        <v>101</v>
      </c>
      <c r="BK412" t="s">
        <v>102</v>
      </c>
      <c r="BL412" t="s">
        <v>101</v>
      </c>
      <c r="BM412" t="s">
        <v>7841</v>
      </c>
      <c r="BN412" t="s">
        <v>74</v>
      </c>
      <c r="BO412" t="s">
        <v>5316</v>
      </c>
      <c r="BP412" t="s">
        <v>74</v>
      </c>
      <c r="BQ412" t="s">
        <v>74</v>
      </c>
      <c r="BR412" t="s">
        <v>105</v>
      </c>
      <c r="BS412" t="s">
        <v>7842</v>
      </c>
      <c r="BT412" t="str">
        <f>HYPERLINK("https%3A%2F%2Fwww.webofscience.com%2Fwos%2Fwoscc%2Ffull-record%2FWOS:000317011000008","View Full Record in Web of Science")</f>
        <v>View Full Record in Web of Science</v>
      </c>
    </row>
    <row r="413" spans="1:72" x14ac:dyDescent="0.15">
      <c r="A413" t="s">
        <v>72</v>
      </c>
      <c r="B413" t="s">
        <v>7843</v>
      </c>
      <c r="C413" t="s">
        <v>74</v>
      </c>
      <c r="D413" t="s">
        <v>74</v>
      </c>
      <c r="E413" t="s">
        <v>74</v>
      </c>
      <c r="F413" t="s">
        <v>7844</v>
      </c>
      <c r="G413" t="s">
        <v>74</v>
      </c>
      <c r="H413" t="s">
        <v>74</v>
      </c>
      <c r="I413" t="s">
        <v>7845</v>
      </c>
      <c r="J413" t="s">
        <v>6072</v>
      </c>
      <c r="K413" t="s">
        <v>74</v>
      </c>
      <c r="L413" t="s">
        <v>74</v>
      </c>
      <c r="M413" t="s">
        <v>78</v>
      </c>
      <c r="N413" t="s">
        <v>79</v>
      </c>
      <c r="O413" t="s">
        <v>74</v>
      </c>
      <c r="P413" t="s">
        <v>74</v>
      </c>
      <c r="Q413" t="s">
        <v>74</v>
      </c>
      <c r="R413" t="s">
        <v>74</v>
      </c>
      <c r="S413" t="s">
        <v>74</v>
      </c>
      <c r="T413" t="s">
        <v>74</v>
      </c>
      <c r="U413" t="s">
        <v>7846</v>
      </c>
      <c r="V413" t="s">
        <v>7847</v>
      </c>
      <c r="W413" t="s">
        <v>7848</v>
      </c>
      <c r="X413" t="s">
        <v>7849</v>
      </c>
      <c r="Y413" t="s">
        <v>7850</v>
      </c>
      <c r="Z413" t="s">
        <v>7851</v>
      </c>
      <c r="AA413" t="s">
        <v>7852</v>
      </c>
      <c r="AB413" t="s">
        <v>7853</v>
      </c>
      <c r="AC413" t="s">
        <v>7854</v>
      </c>
      <c r="AD413" t="s">
        <v>7855</v>
      </c>
      <c r="AE413" t="s">
        <v>7856</v>
      </c>
      <c r="AF413" t="s">
        <v>74</v>
      </c>
      <c r="AG413">
        <v>35</v>
      </c>
      <c r="AH413">
        <v>61</v>
      </c>
      <c r="AI413">
        <v>64</v>
      </c>
      <c r="AJ413">
        <v>1</v>
      </c>
      <c r="AK413">
        <v>19</v>
      </c>
      <c r="AL413" t="s">
        <v>4248</v>
      </c>
      <c r="AM413" t="s">
        <v>4249</v>
      </c>
      <c r="AN413" t="s">
        <v>4250</v>
      </c>
      <c r="AO413" t="s">
        <v>6084</v>
      </c>
      <c r="AP413" t="s">
        <v>6085</v>
      </c>
      <c r="AQ413" t="s">
        <v>74</v>
      </c>
      <c r="AR413" t="s">
        <v>6086</v>
      </c>
      <c r="AS413" t="s">
        <v>6087</v>
      </c>
      <c r="AT413" t="s">
        <v>74</v>
      </c>
      <c r="AU413">
        <v>2013</v>
      </c>
      <c r="AV413">
        <v>9</v>
      </c>
      <c r="AW413">
        <v>2</v>
      </c>
      <c r="AX413" t="s">
        <v>74</v>
      </c>
      <c r="AY413" t="s">
        <v>74</v>
      </c>
      <c r="AZ413" t="s">
        <v>74</v>
      </c>
      <c r="BA413" t="s">
        <v>74</v>
      </c>
      <c r="BB413">
        <v>517</v>
      </c>
      <c r="BC413">
        <v>524</v>
      </c>
      <c r="BD413" t="s">
        <v>74</v>
      </c>
      <c r="BE413" t="s">
        <v>7857</v>
      </c>
      <c r="BF413" t="str">
        <f>HYPERLINK("http://dx.doi.org/10.5194/cp-9-517-2013","http://dx.doi.org/10.5194/cp-9-517-2013")</f>
        <v>http://dx.doi.org/10.5194/cp-9-517-2013</v>
      </c>
      <c r="BG413" t="s">
        <v>74</v>
      </c>
      <c r="BH413" t="s">
        <v>74</v>
      </c>
      <c r="BI413">
        <v>8</v>
      </c>
      <c r="BJ413" t="s">
        <v>6089</v>
      </c>
      <c r="BK413" t="s">
        <v>102</v>
      </c>
      <c r="BL413" t="s">
        <v>6090</v>
      </c>
      <c r="BM413" t="s">
        <v>7858</v>
      </c>
      <c r="BN413" t="s">
        <v>74</v>
      </c>
      <c r="BO413" t="s">
        <v>4132</v>
      </c>
      <c r="BP413" t="s">
        <v>74</v>
      </c>
      <c r="BQ413" t="s">
        <v>74</v>
      </c>
      <c r="BR413" t="s">
        <v>105</v>
      </c>
      <c r="BS413" t="s">
        <v>7859</v>
      </c>
      <c r="BT413" t="str">
        <f>HYPERLINK("https%3A%2F%2Fwww.webofscience.com%2Fwos%2Fwoscc%2Ffull-record%2FWOS:000317009700001","View Full Record in Web of Science")</f>
        <v>View Full Record in Web of Science</v>
      </c>
    </row>
    <row r="414" spans="1:72" x14ac:dyDescent="0.15">
      <c r="A414" t="s">
        <v>72</v>
      </c>
      <c r="B414" t="s">
        <v>7860</v>
      </c>
      <c r="C414" t="s">
        <v>74</v>
      </c>
      <c r="D414" t="s">
        <v>74</v>
      </c>
      <c r="E414" t="s">
        <v>74</v>
      </c>
      <c r="F414" t="s">
        <v>7861</v>
      </c>
      <c r="G414" t="s">
        <v>74</v>
      </c>
      <c r="H414" t="s">
        <v>74</v>
      </c>
      <c r="I414" t="s">
        <v>7862</v>
      </c>
      <c r="J414" t="s">
        <v>6072</v>
      </c>
      <c r="K414" t="s">
        <v>74</v>
      </c>
      <c r="L414" t="s">
        <v>74</v>
      </c>
      <c r="M414" t="s">
        <v>78</v>
      </c>
      <c r="N414" t="s">
        <v>79</v>
      </c>
      <c r="O414" t="s">
        <v>74</v>
      </c>
      <c r="P414" t="s">
        <v>74</v>
      </c>
      <c r="Q414" t="s">
        <v>74</v>
      </c>
      <c r="R414" t="s">
        <v>74</v>
      </c>
      <c r="S414" t="s">
        <v>74</v>
      </c>
      <c r="T414" t="s">
        <v>74</v>
      </c>
      <c r="U414" t="s">
        <v>7863</v>
      </c>
      <c r="V414" t="s">
        <v>7864</v>
      </c>
      <c r="W414" t="s">
        <v>7865</v>
      </c>
      <c r="X414" t="s">
        <v>7866</v>
      </c>
      <c r="Y414" t="s">
        <v>7867</v>
      </c>
      <c r="Z414" t="s">
        <v>7868</v>
      </c>
      <c r="AA414" t="s">
        <v>7869</v>
      </c>
      <c r="AB414" t="s">
        <v>7870</v>
      </c>
      <c r="AC414" t="s">
        <v>7871</v>
      </c>
      <c r="AD414" t="s">
        <v>7872</v>
      </c>
      <c r="AE414" t="s">
        <v>7873</v>
      </c>
      <c r="AF414" t="s">
        <v>74</v>
      </c>
      <c r="AG414">
        <v>97</v>
      </c>
      <c r="AH414">
        <v>51</v>
      </c>
      <c r="AI414">
        <v>58</v>
      </c>
      <c r="AJ414">
        <v>2</v>
      </c>
      <c r="AK414">
        <v>130</v>
      </c>
      <c r="AL414" t="s">
        <v>4248</v>
      </c>
      <c r="AM414" t="s">
        <v>4249</v>
      </c>
      <c r="AN414" t="s">
        <v>4250</v>
      </c>
      <c r="AO414" t="s">
        <v>6084</v>
      </c>
      <c r="AP414" t="s">
        <v>6085</v>
      </c>
      <c r="AQ414" t="s">
        <v>74</v>
      </c>
      <c r="AR414" t="s">
        <v>6086</v>
      </c>
      <c r="AS414" t="s">
        <v>6087</v>
      </c>
      <c r="AT414" t="s">
        <v>74</v>
      </c>
      <c r="AU414">
        <v>2013</v>
      </c>
      <c r="AV414">
        <v>9</v>
      </c>
      <c r="AW414">
        <v>2</v>
      </c>
      <c r="AX414" t="s">
        <v>74</v>
      </c>
      <c r="AY414" t="s">
        <v>74</v>
      </c>
      <c r="AZ414" t="s">
        <v>74</v>
      </c>
      <c r="BA414" t="s">
        <v>74</v>
      </c>
      <c r="BB414">
        <v>749</v>
      </c>
      <c r="BC414">
        <v>766</v>
      </c>
      <c r="BD414" t="s">
        <v>74</v>
      </c>
      <c r="BE414" t="s">
        <v>7874</v>
      </c>
      <c r="BF414" t="str">
        <f>HYPERLINK("http://dx.doi.org/10.5194/cp-9-749-2013","http://dx.doi.org/10.5194/cp-9-749-2013")</f>
        <v>http://dx.doi.org/10.5194/cp-9-749-2013</v>
      </c>
      <c r="BG414" t="s">
        <v>74</v>
      </c>
      <c r="BH414" t="s">
        <v>74</v>
      </c>
      <c r="BI414">
        <v>18</v>
      </c>
      <c r="BJ414" t="s">
        <v>6089</v>
      </c>
      <c r="BK414" t="s">
        <v>102</v>
      </c>
      <c r="BL414" t="s">
        <v>6090</v>
      </c>
      <c r="BM414" t="s">
        <v>7858</v>
      </c>
      <c r="BN414" t="s">
        <v>74</v>
      </c>
      <c r="BO414" t="s">
        <v>2359</v>
      </c>
      <c r="BP414" t="s">
        <v>74</v>
      </c>
      <c r="BQ414" t="s">
        <v>74</v>
      </c>
      <c r="BR414" t="s">
        <v>105</v>
      </c>
      <c r="BS414" t="s">
        <v>7875</v>
      </c>
      <c r="BT414" t="str">
        <f>HYPERLINK("https%3A%2F%2Fwww.webofscience.com%2Fwos%2Fwoscc%2Ffull-record%2FWOS:000317009700016","View Full Record in Web of Science")</f>
        <v>View Full Record in Web of Science</v>
      </c>
    </row>
    <row r="415" spans="1:72" x14ac:dyDescent="0.15">
      <c r="A415" t="s">
        <v>72</v>
      </c>
      <c r="B415" t="s">
        <v>7876</v>
      </c>
      <c r="C415" t="s">
        <v>74</v>
      </c>
      <c r="D415" t="s">
        <v>74</v>
      </c>
      <c r="E415" t="s">
        <v>74</v>
      </c>
      <c r="F415" t="s">
        <v>7877</v>
      </c>
      <c r="G415" t="s">
        <v>74</v>
      </c>
      <c r="H415" t="s">
        <v>74</v>
      </c>
      <c r="I415" t="s">
        <v>7878</v>
      </c>
      <c r="J415" t="s">
        <v>4238</v>
      </c>
      <c r="K415" t="s">
        <v>74</v>
      </c>
      <c r="L415" t="s">
        <v>74</v>
      </c>
      <c r="M415" t="s">
        <v>78</v>
      </c>
      <c r="N415" t="s">
        <v>79</v>
      </c>
      <c r="O415" t="s">
        <v>74</v>
      </c>
      <c r="P415" t="s">
        <v>74</v>
      </c>
      <c r="Q415" t="s">
        <v>74</v>
      </c>
      <c r="R415" t="s">
        <v>74</v>
      </c>
      <c r="S415" t="s">
        <v>74</v>
      </c>
      <c r="T415" t="s">
        <v>74</v>
      </c>
      <c r="U415" t="s">
        <v>7879</v>
      </c>
      <c r="V415" t="s">
        <v>7880</v>
      </c>
      <c r="W415" t="s">
        <v>7881</v>
      </c>
      <c r="X415" t="s">
        <v>7882</v>
      </c>
      <c r="Y415" t="s">
        <v>7883</v>
      </c>
      <c r="Z415" t="s">
        <v>7884</v>
      </c>
      <c r="AA415" t="s">
        <v>7885</v>
      </c>
      <c r="AB415" t="s">
        <v>7886</v>
      </c>
      <c r="AC415" t="s">
        <v>7887</v>
      </c>
      <c r="AD415" t="s">
        <v>7888</v>
      </c>
      <c r="AE415" t="s">
        <v>7889</v>
      </c>
      <c r="AF415" t="s">
        <v>74</v>
      </c>
      <c r="AG415">
        <v>45</v>
      </c>
      <c r="AH415">
        <v>59</v>
      </c>
      <c r="AI415">
        <v>62</v>
      </c>
      <c r="AJ415">
        <v>0</v>
      </c>
      <c r="AK415">
        <v>15</v>
      </c>
      <c r="AL415" t="s">
        <v>4248</v>
      </c>
      <c r="AM415" t="s">
        <v>4249</v>
      </c>
      <c r="AN415" t="s">
        <v>4250</v>
      </c>
      <c r="AO415" t="s">
        <v>4251</v>
      </c>
      <c r="AP415" t="s">
        <v>4252</v>
      </c>
      <c r="AQ415" t="s">
        <v>74</v>
      </c>
      <c r="AR415" t="s">
        <v>4238</v>
      </c>
      <c r="AS415" t="s">
        <v>4253</v>
      </c>
      <c r="AT415" t="s">
        <v>74</v>
      </c>
      <c r="AU415">
        <v>2013</v>
      </c>
      <c r="AV415">
        <v>7</v>
      </c>
      <c r="AW415">
        <v>1</v>
      </c>
      <c r="AX415" t="s">
        <v>74</v>
      </c>
      <c r="AY415" t="s">
        <v>74</v>
      </c>
      <c r="AZ415" t="s">
        <v>74</v>
      </c>
      <c r="BA415" t="s">
        <v>74</v>
      </c>
      <c r="BB415">
        <v>333</v>
      </c>
      <c r="BC415">
        <v>347</v>
      </c>
      <c r="BD415" t="s">
        <v>74</v>
      </c>
      <c r="BE415" t="s">
        <v>7890</v>
      </c>
      <c r="BF415" t="str">
        <f>HYPERLINK("http://dx.doi.org/10.5194/tc-7-333-2013","http://dx.doi.org/10.5194/tc-7-333-2013")</f>
        <v>http://dx.doi.org/10.5194/tc-7-333-2013</v>
      </c>
      <c r="BG415" t="s">
        <v>74</v>
      </c>
      <c r="BH415" t="s">
        <v>74</v>
      </c>
      <c r="BI415">
        <v>15</v>
      </c>
      <c r="BJ415" t="s">
        <v>2261</v>
      </c>
      <c r="BK415" t="s">
        <v>102</v>
      </c>
      <c r="BL415" t="s">
        <v>2262</v>
      </c>
      <c r="BM415" t="s">
        <v>7891</v>
      </c>
      <c r="BN415" t="s">
        <v>74</v>
      </c>
      <c r="BO415" t="s">
        <v>5017</v>
      </c>
      <c r="BP415" t="s">
        <v>74</v>
      </c>
      <c r="BQ415" t="s">
        <v>74</v>
      </c>
      <c r="BR415" t="s">
        <v>105</v>
      </c>
      <c r="BS415" t="s">
        <v>7892</v>
      </c>
      <c r="BT415" t="str">
        <f>HYPERLINK("https%3A%2F%2Fwww.webofscience.com%2Fwos%2Fwoscc%2Ffull-record%2FWOS:000317005200004","View Full Record in Web of Science")</f>
        <v>View Full Record in Web of Science</v>
      </c>
    </row>
    <row r="416" spans="1:72" x14ac:dyDescent="0.15">
      <c r="A416" t="s">
        <v>72</v>
      </c>
      <c r="B416" t="s">
        <v>7893</v>
      </c>
      <c r="C416" t="s">
        <v>74</v>
      </c>
      <c r="D416" t="s">
        <v>74</v>
      </c>
      <c r="E416" t="s">
        <v>74</v>
      </c>
      <c r="F416" t="s">
        <v>7894</v>
      </c>
      <c r="G416" t="s">
        <v>74</v>
      </c>
      <c r="H416" t="s">
        <v>74</v>
      </c>
      <c r="I416" t="s">
        <v>7895</v>
      </c>
      <c r="J416" t="s">
        <v>7896</v>
      </c>
      <c r="K416" t="s">
        <v>74</v>
      </c>
      <c r="L416" t="s">
        <v>74</v>
      </c>
      <c r="M416" t="s">
        <v>78</v>
      </c>
      <c r="N416" t="s">
        <v>79</v>
      </c>
      <c r="O416" t="s">
        <v>74</v>
      </c>
      <c r="P416" t="s">
        <v>74</v>
      </c>
      <c r="Q416" t="s">
        <v>74</v>
      </c>
      <c r="R416" t="s">
        <v>74</v>
      </c>
      <c r="S416" t="s">
        <v>74</v>
      </c>
      <c r="T416" t="s">
        <v>7897</v>
      </c>
      <c r="U416" t="s">
        <v>7898</v>
      </c>
      <c r="V416" t="s">
        <v>7899</v>
      </c>
      <c r="W416" t="s">
        <v>7900</v>
      </c>
      <c r="X416" t="s">
        <v>7901</v>
      </c>
      <c r="Y416" t="s">
        <v>7902</v>
      </c>
      <c r="Z416" t="s">
        <v>7903</v>
      </c>
      <c r="AA416" t="s">
        <v>7904</v>
      </c>
      <c r="AB416" t="s">
        <v>7905</v>
      </c>
      <c r="AC416" t="s">
        <v>7906</v>
      </c>
      <c r="AD416" t="s">
        <v>7907</v>
      </c>
      <c r="AE416" t="s">
        <v>7908</v>
      </c>
      <c r="AF416" t="s">
        <v>74</v>
      </c>
      <c r="AG416">
        <v>22</v>
      </c>
      <c r="AH416">
        <v>6</v>
      </c>
      <c r="AI416">
        <v>6</v>
      </c>
      <c r="AJ416">
        <v>0</v>
      </c>
      <c r="AK416">
        <v>14</v>
      </c>
      <c r="AL416" t="s">
        <v>257</v>
      </c>
      <c r="AM416" t="s">
        <v>215</v>
      </c>
      <c r="AN416" t="s">
        <v>216</v>
      </c>
      <c r="AO416" t="s">
        <v>7909</v>
      </c>
      <c r="AP416" t="s">
        <v>7910</v>
      </c>
      <c r="AQ416" t="s">
        <v>74</v>
      </c>
      <c r="AR416" t="s">
        <v>7911</v>
      </c>
      <c r="AS416" t="s">
        <v>7912</v>
      </c>
      <c r="AT416" t="s">
        <v>74</v>
      </c>
      <c r="AU416">
        <v>2013</v>
      </c>
      <c r="AV416">
        <v>63</v>
      </c>
      <c r="AW416">
        <v>1</v>
      </c>
      <c r="AX416" t="s">
        <v>74</v>
      </c>
      <c r="AY416" t="s">
        <v>74</v>
      </c>
      <c r="AZ416" t="s">
        <v>74</v>
      </c>
      <c r="BA416" t="s">
        <v>74</v>
      </c>
      <c r="BB416">
        <v>110</v>
      </c>
      <c r="BC416">
        <v>116</v>
      </c>
      <c r="BD416" t="s">
        <v>74</v>
      </c>
      <c r="BE416" t="s">
        <v>7913</v>
      </c>
      <c r="BF416" t="str">
        <f>HYPERLINK("http://dx.doi.org/10.1111/j.1751-3928.2012.00214.x","http://dx.doi.org/10.1111/j.1751-3928.2012.00214.x")</f>
        <v>http://dx.doi.org/10.1111/j.1751-3928.2012.00214.x</v>
      </c>
      <c r="BG416" t="s">
        <v>74</v>
      </c>
      <c r="BH416" t="s">
        <v>74</v>
      </c>
      <c r="BI416">
        <v>7</v>
      </c>
      <c r="BJ416" t="s">
        <v>7914</v>
      </c>
      <c r="BK416" t="s">
        <v>102</v>
      </c>
      <c r="BL416" t="s">
        <v>7914</v>
      </c>
      <c r="BM416" t="s">
        <v>7915</v>
      </c>
      <c r="BN416" t="s">
        <v>74</v>
      </c>
      <c r="BO416" t="s">
        <v>128</v>
      </c>
      <c r="BP416" t="s">
        <v>74</v>
      </c>
      <c r="BQ416" t="s">
        <v>74</v>
      </c>
      <c r="BR416" t="s">
        <v>105</v>
      </c>
      <c r="BS416" t="s">
        <v>7916</v>
      </c>
      <c r="BT416" t="str">
        <f>HYPERLINK("https%3A%2F%2Fwww.webofscience.com%2Fwos%2Fwoscc%2Ffull-record%2FWOS:000316915100008","View Full Record in Web of Science")</f>
        <v>View Full Record in Web of Science</v>
      </c>
    </row>
    <row r="417" spans="1:72" x14ac:dyDescent="0.15">
      <c r="A417" t="s">
        <v>3341</v>
      </c>
      <c r="B417" t="s">
        <v>7917</v>
      </c>
      <c r="C417" t="s">
        <v>74</v>
      </c>
      <c r="D417" t="s">
        <v>7918</v>
      </c>
      <c r="E417" t="s">
        <v>74</v>
      </c>
      <c r="F417" t="s">
        <v>7919</v>
      </c>
      <c r="G417" t="s">
        <v>74</v>
      </c>
      <c r="H417" t="s">
        <v>74</v>
      </c>
      <c r="I417" t="s">
        <v>7920</v>
      </c>
      <c r="J417" t="s">
        <v>7921</v>
      </c>
      <c r="K417" t="s">
        <v>7922</v>
      </c>
      <c r="L417" t="s">
        <v>74</v>
      </c>
      <c r="M417" t="s">
        <v>78</v>
      </c>
      <c r="N417" t="s">
        <v>5114</v>
      </c>
      <c r="O417" t="s">
        <v>74</v>
      </c>
      <c r="P417" t="s">
        <v>74</v>
      </c>
      <c r="Q417" t="s">
        <v>74</v>
      </c>
      <c r="R417" t="s">
        <v>74</v>
      </c>
      <c r="S417" t="s">
        <v>74</v>
      </c>
      <c r="T417" t="s">
        <v>7923</v>
      </c>
      <c r="U417" t="s">
        <v>7924</v>
      </c>
      <c r="V417" t="s">
        <v>7925</v>
      </c>
      <c r="W417" t="s">
        <v>7926</v>
      </c>
      <c r="X417" t="s">
        <v>7927</v>
      </c>
      <c r="Y417" t="s">
        <v>7928</v>
      </c>
      <c r="Z417" t="s">
        <v>7929</v>
      </c>
      <c r="AA417" t="s">
        <v>7930</v>
      </c>
      <c r="AB417" t="s">
        <v>7931</v>
      </c>
      <c r="AC417" t="s">
        <v>74</v>
      </c>
      <c r="AD417" t="s">
        <v>74</v>
      </c>
      <c r="AE417" t="s">
        <v>74</v>
      </c>
      <c r="AF417" t="s">
        <v>74</v>
      </c>
      <c r="AG417">
        <v>123</v>
      </c>
      <c r="AH417">
        <v>37</v>
      </c>
      <c r="AI417">
        <v>42</v>
      </c>
      <c r="AJ417">
        <v>3</v>
      </c>
      <c r="AK417">
        <v>72</v>
      </c>
      <c r="AL417" t="s">
        <v>7932</v>
      </c>
      <c r="AM417" t="s">
        <v>7933</v>
      </c>
      <c r="AN417" t="s">
        <v>7934</v>
      </c>
      <c r="AO417" t="s">
        <v>7935</v>
      </c>
      <c r="AP417" t="s">
        <v>74</v>
      </c>
      <c r="AQ417" t="s">
        <v>7936</v>
      </c>
      <c r="AR417" t="s">
        <v>7937</v>
      </c>
      <c r="AS417" t="s">
        <v>7938</v>
      </c>
      <c r="AT417" t="s">
        <v>74</v>
      </c>
      <c r="AU417">
        <v>2013</v>
      </c>
      <c r="AV417">
        <v>5</v>
      </c>
      <c r="AW417" t="s">
        <v>74</v>
      </c>
      <c r="AX417" t="s">
        <v>74</v>
      </c>
      <c r="AY417" t="s">
        <v>74</v>
      </c>
      <c r="AZ417" t="s">
        <v>74</v>
      </c>
      <c r="BA417" t="s">
        <v>74</v>
      </c>
      <c r="BB417">
        <v>269</v>
      </c>
      <c r="BC417">
        <v>287</v>
      </c>
      <c r="BD417" t="s">
        <v>74</v>
      </c>
      <c r="BE417" t="s">
        <v>7939</v>
      </c>
      <c r="BF417" t="str">
        <f>HYPERLINK("http://dx.doi.org/10.1146/annurev-marine-121211-172317","http://dx.doi.org/10.1146/annurev-marine-121211-172317")</f>
        <v>http://dx.doi.org/10.1146/annurev-marine-121211-172317</v>
      </c>
      <c r="BG417" t="s">
        <v>74</v>
      </c>
      <c r="BH417" t="s">
        <v>74</v>
      </c>
      <c r="BI417">
        <v>19</v>
      </c>
      <c r="BJ417" t="s">
        <v>7940</v>
      </c>
      <c r="BK417" t="s">
        <v>5132</v>
      </c>
      <c r="BL417" t="s">
        <v>7940</v>
      </c>
      <c r="BM417" t="s">
        <v>7941</v>
      </c>
      <c r="BN417">
        <v>22809193</v>
      </c>
      <c r="BO417" t="s">
        <v>74</v>
      </c>
      <c r="BP417" t="s">
        <v>74</v>
      </c>
      <c r="BQ417" t="s">
        <v>74</v>
      </c>
      <c r="BR417" t="s">
        <v>105</v>
      </c>
      <c r="BS417" t="s">
        <v>7942</v>
      </c>
      <c r="BT417" t="str">
        <f>HYPERLINK("https%3A%2F%2Fwww.webofscience.com%2Fwos%2Fwoscc%2Ffull-record%2FWOS:000316390400013","View Full Record in Web of Science")</f>
        <v>View Full Record in Web of Science</v>
      </c>
    </row>
    <row r="418" spans="1:72" x14ac:dyDescent="0.15">
      <c r="A418" t="s">
        <v>72</v>
      </c>
      <c r="B418" t="s">
        <v>7943</v>
      </c>
      <c r="C418" t="s">
        <v>74</v>
      </c>
      <c r="D418" t="s">
        <v>74</v>
      </c>
      <c r="E418" t="s">
        <v>74</v>
      </c>
      <c r="F418" t="s">
        <v>7944</v>
      </c>
      <c r="G418" t="s">
        <v>74</v>
      </c>
      <c r="H418" t="s">
        <v>74</v>
      </c>
      <c r="I418" t="s">
        <v>7945</v>
      </c>
      <c r="J418" t="s">
        <v>7946</v>
      </c>
      <c r="K418" t="s">
        <v>74</v>
      </c>
      <c r="L418" t="s">
        <v>74</v>
      </c>
      <c r="M418" t="s">
        <v>78</v>
      </c>
      <c r="N418" t="s">
        <v>79</v>
      </c>
      <c r="O418" t="s">
        <v>74</v>
      </c>
      <c r="P418" t="s">
        <v>74</v>
      </c>
      <c r="Q418" t="s">
        <v>74</v>
      </c>
      <c r="R418" t="s">
        <v>74</v>
      </c>
      <c r="S418" t="s">
        <v>74</v>
      </c>
      <c r="T418" t="s">
        <v>7947</v>
      </c>
      <c r="U418" t="s">
        <v>7948</v>
      </c>
      <c r="V418" t="s">
        <v>7949</v>
      </c>
      <c r="W418" t="s">
        <v>7950</v>
      </c>
      <c r="X418" t="s">
        <v>7951</v>
      </c>
      <c r="Y418" t="s">
        <v>7952</v>
      </c>
      <c r="Z418" t="s">
        <v>7953</v>
      </c>
      <c r="AA418" t="s">
        <v>7954</v>
      </c>
      <c r="AB418" t="s">
        <v>7955</v>
      </c>
      <c r="AC418" t="s">
        <v>7956</v>
      </c>
      <c r="AD418" t="s">
        <v>7957</v>
      </c>
      <c r="AE418" t="s">
        <v>7958</v>
      </c>
      <c r="AF418" t="s">
        <v>74</v>
      </c>
      <c r="AG418">
        <v>56</v>
      </c>
      <c r="AH418">
        <v>39</v>
      </c>
      <c r="AI418">
        <v>43</v>
      </c>
      <c r="AJ418">
        <v>3</v>
      </c>
      <c r="AK418">
        <v>104</v>
      </c>
      <c r="AL418" t="s">
        <v>4363</v>
      </c>
      <c r="AM418" t="s">
        <v>4364</v>
      </c>
      <c r="AN418" t="s">
        <v>4365</v>
      </c>
      <c r="AO418" t="s">
        <v>7959</v>
      </c>
      <c r="AP418" t="s">
        <v>7960</v>
      </c>
      <c r="AQ418" t="s">
        <v>74</v>
      </c>
      <c r="AR418" t="s">
        <v>7961</v>
      </c>
      <c r="AS418" t="s">
        <v>7962</v>
      </c>
      <c r="AT418" t="s">
        <v>74</v>
      </c>
      <c r="AU418">
        <v>2013</v>
      </c>
      <c r="AV418">
        <v>3</v>
      </c>
      <c r="AW418">
        <v>2</v>
      </c>
      <c r="AX418" t="s">
        <v>74</v>
      </c>
      <c r="AY418" t="s">
        <v>74</v>
      </c>
      <c r="AZ418" t="s">
        <v>74</v>
      </c>
      <c r="BA418" t="s">
        <v>74</v>
      </c>
      <c r="BB418">
        <v>163</v>
      </c>
      <c r="BC418">
        <v>175</v>
      </c>
      <c r="BD418" t="s">
        <v>74</v>
      </c>
      <c r="BE418" t="s">
        <v>7963</v>
      </c>
      <c r="BF418" t="str">
        <f>HYPERLINK("http://dx.doi.org/10.3354/aei00058","http://dx.doi.org/10.3354/aei00058")</f>
        <v>http://dx.doi.org/10.3354/aei00058</v>
      </c>
      <c r="BG418" t="s">
        <v>74</v>
      </c>
      <c r="BH418" t="s">
        <v>74</v>
      </c>
      <c r="BI418">
        <v>13</v>
      </c>
      <c r="BJ418" t="s">
        <v>5902</v>
      </c>
      <c r="BK418" t="s">
        <v>102</v>
      </c>
      <c r="BL418" t="s">
        <v>5902</v>
      </c>
      <c r="BM418" t="s">
        <v>7964</v>
      </c>
      <c r="BN418" t="s">
        <v>74</v>
      </c>
      <c r="BO418" t="s">
        <v>4605</v>
      </c>
      <c r="BP418" t="s">
        <v>74</v>
      </c>
      <c r="BQ418" t="s">
        <v>74</v>
      </c>
      <c r="BR418" t="s">
        <v>105</v>
      </c>
      <c r="BS418" t="s">
        <v>7965</v>
      </c>
      <c r="BT418" t="str">
        <f>HYPERLINK("https%3A%2F%2Fwww.webofscience.com%2Fwos%2Fwoscc%2Ffull-record%2FWOS:000316362200007","View Full Record in Web of Science")</f>
        <v>View Full Record in Web of Science</v>
      </c>
    </row>
    <row r="419" spans="1:72" x14ac:dyDescent="0.15">
      <c r="A419" t="s">
        <v>72</v>
      </c>
      <c r="B419" t="s">
        <v>7966</v>
      </c>
      <c r="C419" t="s">
        <v>74</v>
      </c>
      <c r="D419" t="s">
        <v>74</v>
      </c>
      <c r="E419" t="s">
        <v>74</v>
      </c>
      <c r="F419" t="s">
        <v>7967</v>
      </c>
      <c r="G419" t="s">
        <v>74</v>
      </c>
      <c r="H419" t="s">
        <v>74</v>
      </c>
      <c r="I419" t="s">
        <v>7968</v>
      </c>
      <c r="J419" t="s">
        <v>7969</v>
      </c>
      <c r="K419" t="s">
        <v>74</v>
      </c>
      <c r="L419" t="s">
        <v>74</v>
      </c>
      <c r="M419" t="s">
        <v>78</v>
      </c>
      <c r="N419" t="s">
        <v>79</v>
      </c>
      <c r="O419" t="s">
        <v>74</v>
      </c>
      <c r="P419" t="s">
        <v>74</v>
      </c>
      <c r="Q419" t="s">
        <v>74</v>
      </c>
      <c r="R419" t="s">
        <v>74</v>
      </c>
      <c r="S419" t="s">
        <v>74</v>
      </c>
      <c r="T419" t="s">
        <v>7970</v>
      </c>
      <c r="U419" t="s">
        <v>7971</v>
      </c>
      <c r="V419" t="s">
        <v>7972</v>
      </c>
      <c r="W419" t="s">
        <v>74</v>
      </c>
      <c r="X419" t="s">
        <v>74</v>
      </c>
      <c r="Y419" t="s">
        <v>74</v>
      </c>
      <c r="Z419" t="s">
        <v>7973</v>
      </c>
      <c r="AA419" t="s">
        <v>74</v>
      </c>
      <c r="AB419" t="s">
        <v>74</v>
      </c>
      <c r="AC419" t="s">
        <v>74</v>
      </c>
      <c r="AD419" t="s">
        <v>74</v>
      </c>
      <c r="AE419" t="s">
        <v>74</v>
      </c>
      <c r="AF419" t="s">
        <v>74</v>
      </c>
      <c r="AG419">
        <v>46</v>
      </c>
      <c r="AH419">
        <v>11</v>
      </c>
      <c r="AI419">
        <v>11</v>
      </c>
      <c r="AJ419">
        <v>1</v>
      </c>
      <c r="AK419">
        <v>25</v>
      </c>
      <c r="AL419" t="s">
        <v>4363</v>
      </c>
      <c r="AM419" t="s">
        <v>4364</v>
      </c>
      <c r="AN419" t="s">
        <v>4365</v>
      </c>
      <c r="AO419" t="s">
        <v>7974</v>
      </c>
      <c r="AP419" t="s">
        <v>7975</v>
      </c>
      <c r="AQ419" t="s">
        <v>74</v>
      </c>
      <c r="AR419" t="s">
        <v>7976</v>
      </c>
      <c r="AS419" t="s">
        <v>7977</v>
      </c>
      <c r="AT419" t="s">
        <v>74</v>
      </c>
      <c r="AU419">
        <v>2013</v>
      </c>
      <c r="AV419">
        <v>18</v>
      </c>
      <c r="AW419">
        <v>1</v>
      </c>
      <c r="AX419" t="s">
        <v>74</v>
      </c>
      <c r="AY419" t="s">
        <v>74</v>
      </c>
      <c r="AZ419" t="s">
        <v>74</v>
      </c>
      <c r="BA419" t="s">
        <v>74</v>
      </c>
      <c r="BB419">
        <v>21</v>
      </c>
      <c r="BC419">
        <v>29</v>
      </c>
      <c r="BD419" t="s">
        <v>74</v>
      </c>
      <c r="BE419" t="s">
        <v>7978</v>
      </c>
      <c r="BF419" t="str">
        <f>HYPERLINK("http://dx.doi.org/10.3354/ab00486","http://dx.doi.org/10.3354/ab00486")</f>
        <v>http://dx.doi.org/10.3354/ab00486</v>
      </c>
      <c r="BG419" t="s">
        <v>74</v>
      </c>
      <c r="BH419" t="s">
        <v>74</v>
      </c>
      <c r="BI419">
        <v>9</v>
      </c>
      <c r="BJ419" t="s">
        <v>223</v>
      </c>
      <c r="BK419" t="s">
        <v>102</v>
      </c>
      <c r="BL419" t="s">
        <v>223</v>
      </c>
      <c r="BM419" t="s">
        <v>7979</v>
      </c>
      <c r="BN419" t="s">
        <v>74</v>
      </c>
      <c r="BO419" t="s">
        <v>1719</v>
      </c>
      <c r="BP419" t="s">
        <v>74</v>
      </c>
      <c r="BQ419" t="s">
        <v>74</v>
      </c>
      <c r="BR419" t="s">
        <v>105</v>
      </c>
      <c r="BS419" t="s">
        <v>7980</v>
      </c>
      <c r="BT419" t="str">
        <f>HYPERLINK("https%3A%2F%2Fwww.webofscience.com%2Fwos%2Fwoscc%2Ffull-record%2FWOS:000316974000003","View Full Record in Web of Science")</f>
        <v>View Full Record in Web of Science</v>
      </c>
    </row>
    <row r="420" spans="1:72" x14ac:dyDescent="0.15">
      <c r="A420" t="s">
        <v>72</v>
      </c>
      <c r="B420" t="s">
        <v>7981</v>
      </c>
      <c r="C420" t="s">
        <v>74</v>
      </c>
      <c r="D420" t="s">
        <v>74</v>
      </c>
      <c r="E420" t="s">
        <v>74</v>
      </c>
      <c r="F420" t="s">
        <v>7982</v>
      </c>
      <c r="G420" t="s">
        <v>74</v>
      </c>
      <c r="H420" t="s">
        <v>74</v>
      </c>
      <c r="I420" t="s">
        <v>7983</v>
      </c>
      <c r="J420" t="s">
        <v>5022</v>
      </c>
      <c r="K420" t="s">
        <v>74</v>
      </c>
      <c r="L420" t="s">
        <v>74</v>
      </c>
      <c r="M420" t="s">
        <v>78</v>
      </c>
      <c r="N420" t="s">
        <v>79</v>
      </c>
      <c r="O420" t="s">
        <v>74</v>
      </c>
      <c r="P420" t="s">
        <v>74</v>
      </c>
      <c r="Q420" t="s">
        <v>74</v>
      </c>
      <c r="R420" t="s">
        <v>74</v>
      </c>
      <c r="S420" t="s">
        <v>74</v>
      </c>
      <c r="T420" t="s">
        <v>74</v>
      </c>
      <c r="U420" t="s">
        <v>7984</v>
      </c>
      <c r="V420" t="s">
        <v>7985</v>
      </c>
      <c r="W420" t="s">
        <v>7986</v>
      </c>
      <c r="X420" t="s">
        <v>7987</v>
      </c>
      <c r="Y420" t="s">
        <v>7988</v>
      </c>
      <c r="Z420" t="s">
        <v>7989</v>
      </c>
      <c r="AA420" t="s">
        <v>7990</v>
      </c>
      <c r="AB420" t="s">
        <v>7991</v>
      </c>
      <c r="AC420" t="s">
        <v>7992</v>
      </c>
      <c r="AD420" t="s">
        <v>7993</v>
      </c>
      <c r="AE420" t="s">
        <v>7994</v>
      </c>
      <c r="AF420" t="s">
        <v>74</v>
      </c>
      <c r="AG420">
        <v>31</v>
      </c>
      <c r="AH420">
        <v>9</v>
      </c>
      <c r="AI420">
        <v>9</v>
      </c>
      <c r="AJ420">
        <v>0</v>
      </c>
      <c r="AK420">
        <v>27</v>
      </c>
      <c r="AL420" t="s">
        <v>4248</v>
      </c>
      <c r="AM420" t="s">
        <v>4249</v>
      </c>
      <c r="AN420" t="s">
        <v>4250</v>
      </c>
      <c r="AO420" t="s">
        <v>5034</v>
      </c>
      <c r="AP420" t="s">
        <v>74</v>
      </c>
      <c r="AQ420" t="s">
        <v>74</v>
      </c>
      <c r="AR420" t="s">
        <v>5036</v>
      </c>
      <c r="AS420" t="s">
        <v>5037</v>
      </c>
      <c r="AT420" t="s">
        <v>74</v>
      </c>
      <c r="AU420">
        <v>2013</v>
      </c>
      <c r="AV420">
        <v>6</v>
      </c>
      <c r="AW420">
        <v>3</v>
      </c>
      <c r="AX420" t="s">
        <v>74</v>
      </c>
      <c r="AY420" t="s">
        <v>74</v>
      </c>
      <c r="AZ420" t="s">
        <v>74</v>
      </c>
      <c r="BA420" t="s">
        <v>74</v>
      </c>
      <c r="BB420">
        <v>703</v>
      </c>
      <c r="BC420">
        <v>717</v>
      </c>
      <c r="BD420" t="s">
        <v>74</v>
      </c>
      <c r="BE420" t="s">
        <v>7995</v>
      </c>
      <c r="BF420" t="str">
        <f>HYPERLINK("http://dx.doi.org/10.5194/amt-6-703-2013","http://dx.doi.org/10.5194/amt-6-703-2013")</f>
        <v>http://dx.doi.org/10.5194/amt-6-703-2013</v>
      </c>
      <c r="BG420" t="s">
        <v>74</v>
      </c>
      <c r="BH420" t="s">
        <v>74</v>
      </c>
      <c r="BI420">
        <v>15</v>
      </c>
      <c r="BJ420" t="s">
        <v>101</v>
      </c>
      <c r="BK420" t="s">
        <v>102</v>
      </c>
      <c r="BL420" t="s">
        <v>101</v>
      </c>
      <c r="BM420" t="s">
        <v>7996</v>
      </c>
      <c r="BN420" t="s">
        <v>74</v>
      </c>
      <c r="BO420" t="s">
        <v>4132</v>
      </c>
      <c r="BP420" t="s">
        <v>74</v>
      </c>
      <c r="BQ420" t="s">
        <v>74</v>
      </c>
      <c r="BR420" t="s">
        <v>105</v>
      </c>
      <c r="BS420" t="s">
        <v>7997</v>
      </c>
      <c r="BT420" t="str">
        <f>HYPERLINK("https%3A%2F%2Fwww.webofscience.com%2Fwos%2Fwoscc%2Ffull-record%2FWOS:000317011200015","View Full Record in Web of Science")</f>
        <v>View Full Record in Web of Science</v>
      </c>
    </row>
    <row r="421" spans="1:72" x14ac:dyDescent="0.15">
      <c r="A421" t="s">
        <v>72</v>
      </c>
      <c r="B421" t="s">
        <v>7998</v>
      </c>
      <c r="C421" t="s">
        <v>74</v>
      </c>
      <c r="D421" t="s">
        <v>74</v>
      </c>
      <c r="E421" t="s">
        <v>74</v>
      </c>
      <c r="F421" t="s">
        <v>7999</v>
      </c>
      <c r="G421" t="s">
        <v>74</v>
      </c>
      <c r="H421" t="s">
        <v>74</v>
      </c>
      <c r="I421" t="s">
        <v>8000</v>
      </c>
      <c r="J421" t="s">
        <v>8001</v>
      </c>
      <c r="K421" t="s">
        <v>74</v>
      </c>
      <c r="L421" t="s">
        <v>74</v>
      </c>
      <c r="M421" t="s">
        <v>78</v>
      </c>
      <c r="N421" t="s">
        <v>79</v>
      </c>
      <c r="O421" t="s">
        <v>74</v>
      </c>
      <c r="P421" t="s">
        <v>74</v>
      </c>
      <c r="Q421" t="s">
        <v>74</v>
      </c>
      <c r="R421" t="s">
        <v>74</v>
      </c>
      <c r="S421" t="s">
        <v>74</v>
      </c>
      <c r="T421" t="s">
        <v>8002</v>
      </c>
      <c r="U421" t="s">
        <v>8003</v>
      </c>
      <c r="V421" t="s">
        <v>8004</v>
      </c>
      <c r="W421" t="s">
        <v>8005</v>
      </c>
      <c r="X421" t="s">
        <v>8006</v>
      </c>
      <c r="Y421" t="s">
        <v>8007</v>
      </c>
      <c r="Z421" t="s">
        <v>8008</v>
      </c>
      <c r="AA421" t="s">
        <v>8009</v>
      </c>
      <c r="AB421" t="s">
        <v>8010</v>
      </c>
      <c r="AC421" t="s">
        <v>8011</v>
      </c>
      <c r="AD421" t="s">
        <v>8012</v>
      </c>
      <c r="AE421" t="s">
        <v>8013</v>
      </c>
      <c r="AF421" t="s">
        <v>74</v>
      </c>
      <c r="AG421">
        <v>77</v>
      </c>
      <c r="AH421">
        <v>37</v>
      </c>
      <c r="AI421">
        <v>39</v>
      </c>
      <c r="AJ421">
        <v>2</v>
      </c>
      <c r="AK421">
        <v>103</v>
      </c>
      <c r="AL421" t="s">
        <v>447</v>
      </c>
      <c r="AM421" t="s">
        <v>147</v>
      </c>
      <c r="AN421" t="s">
        <v>448</v>
      </c>
      <c r="AO421" t="s">
        <v>8014</v>
      </c>
      <c r="AP421" t="s">
        <v>8015</v>
      </c>
      <c r="AQ421" t="s">
        <v>74</v>
      </c>
      <c r="AR421" t="s">
        <v>8016</v>
      </c>
      <c r="AS421" t="s">
        <v>8017</v>
      </c>
      <c r="AT421" t="s">
        <v>5170</v>
      </c>
      <c r="AU421">
        <v>2013</v>
      </c>
      <c r="AV421">
        <v>157</v>
      </c>
      <c r="AW421" t="s">
        <v>74</v>
      </c>
      <c r="AX421" t="s">
        <v>74</v>
      </c>
      <c r="AY421" t="s">
        <v>74</v>
      </c>
      <c r="AZ421" t="s">
        <v>74</v>
      </c>
      <c r="BA421" t="s">
        <v>74</v>
      </c>
      <c r="BB421">
        <v>386</v>
      </c>
      <c r="BC421">
        <v>400</v>
      </c>
      <c r="BD421" t="s">
        <v>74</v>
      </c>
      <c r="BE421" t="s">
        <v>8018</v>
      </c>
      <c r="BF421" t="str">
        <f>HYPERLINK("http://dx.doi.org/10.1016/j.biocon.2012.07.010","http://dx.doi.org/10.1016/j.biocon.2012.07.010")</f>
        <v>http://dx.doi.org/10.1016/j.biocon.2012.07.010</v>
      </c>
      <c r="BG421" t="s">
        <v>74</v>
      </c>
      <c r="BH421" t="s">
        <v>74</v>
      </c>
      <c r="BI421">
        <v>15</v>
      </c>
      <c r="BJ421" t="s">
        <v>957</v>
      </c>
      <c r="BK421" t="s">
        <v>102</v>
      </c>
      <c r="BL421" t="s">
        <v>958</v>
      </c>
      <c r="BM421" t="s">
        <v>8019</v>
      </c>
      <c r="BN421" t="s">
        <v>74</v>
      </c>
      <c r="BO421" t="s">
        <v>74</v>
      </c>
      <c r="BP421" t="s">
        <v>74</v>
      </c>
      <c r="BQ421" t="s">
        <v>74</v>
      </c>
      <c r="BR421" t="s">
        <v>105</v>
      </c>
      <c r="BS421" t="s">
        <v>8020</v>
      </c>
      <c r="BT421" t="str">
        <f>HYPERLINK("https%3A%2F%2Fwww.webofscience.com%2Fwos%2Fwoscc%2Ffull-record%2FWOS:000316651200044","View Full Record in Web of Science")</f>
        <v>View Full Record in Web of Science</v>
      </c>
    </row>
    <row r="422" spans="1:72" x14ac:dyDescent="0.15">
      <c r="A422" t="s">
        <v>72</v>
      </c>
      <c r="B422" t="s">
        <v>8021</v>
      </c>
      <c r="C422" t="s">
        <v>74</v>
      </c>
      <c r="D422" t="s">
        <v>74</v>
      </c>
      <c r="E422" t="s">
        <v>74</v>
      </c>
      <c r="F422" t="s">
        <v>8022</v>
      </c>
      <c r="G422" t="s">
        <v>74</v>
      </c>
      <c r="H422" t="s">
        <v>74</v>
      </c>
      <c r="I422" t="s">
        <v>8023</v>
      </c>
      <c r="J422" t="s">
        <v>6072</v>
      </c>
      <c r="K422" t="s">
        <v>74</v>
      </c>
      <c r="L422" t="s">
        <v>74</v>
      </c>
      <c r="M422" t="s">
        <v>78</v>
      </c>
      <c r="N422" t="s">
        <v>79</v>
      </c>
      <c r="O422" t="s">
        <v>74</v>
      </c>
      <c r="P422" t="s">
        <v>74</v>
      </c>
      <c r="Q422" t="s">
        <v>74</v>
      </c>
      <c r="R422" t="s">
        <v>74</v>
      </c>
      <c r="S422" t="s">
        <v>74</v>
      </c>
      <c r="T422" t="s">
        <v>74</v>
      </c>
      <c r="U422" t="s">
        <v>8024</v>
      </c>
      <c r="V422" t="s">
        <v>8025</v>
      </c>
      <c r="W422" t="s">
        <v>8026</v>
      </c>
      <c r="X422" t="s">
        <v>8027</v>
      </c>
      <c r="Y422" t="s">
        <v>8028</v>
      </c>
      <c r="Z422" t="s">
        <v>8029</v>
      </c>
      <c r="AA422" t="s">
        <v>8030</v>
      </c>
      <c r="AB422" t="s">
        <v>8031</v>
      </c>
      <c r="AC422" t="s">
        <v>8032</v>
      </c>
      <c r="AD422" t="s">
        <v>8033</v>
      </c>
      <c r="AE422" t="s">
        <v>8034</v>
      </c>
      <c r="AF422" t="s">
        <v>74</v>
      </c>
      <c r="AG422">
        <v>73</v>
      </c>
      <c r="AH422">
        <v>44</v>
      </c>
      <c r="AI422">
        <v>48</v>
      </c>
      <c r="AJ422">
        <v>0</v>
      </c>
      <c r="AK422">
        <v>40</v>
      </c>
      <c r="AL422" t="s">
        <v>4248</v>
      </c>
      <c r="AM422" t="s">
        <v>4249</v>
      </c>
      <c r="AN422" t="s">
        <v>4250</v>
      </c>
      <c r="AO422" t="s">
        <v>6084</v>
      </c>
      <c r="AP422" t="s">
        <v>6085</v>
      </c>
      <c r="AQ422" t="s">
        <v>74</v>
      </c>
      <c r="AR422" t="s">
        <v>6086</v>
      </c>
      <c r="AS422" t="s">
        <v>6087</v>
      </c>
      <c r="AT422" t="s">
        <v>74</v>
      </c>
      <c r="AU422">
        <v>2013</v>
      </c>
      <c r="AV422">
        <v>9</v>
      </c>
      <c r="AW422">
        <v>1</v>
      </c>
      <c r="AX422" t="s">
        <v>74</v>
      </c>
      <c r="AY422" t="s">
        <v>74</v>
      </c>
      <c r="AZ422" t="s">
        <v>74</v>
      </c>
      <c r="BA422" t="s">
        <v>74</v>
      </c>
      <c r="BB422">
        <v>353</v>
      </c>
      <c r="BC422">
        <v>366</v>
      </c>
      <c r="BD422" t="s">
        <v>74</v>
      </c>
      <c r="BE422" t="s">
        <v>8035</v>
      </c>
      <c r="BF422" t="str">
        <f>HYPERLINK("http://dx.doi.org/10.5194/cp-9-353-2013","http://dx.doi.org/10.5194/cp-9-353-2013")</f>
        <v>http://dx.doi.org/10.5194/cp-9-353-2013</v>
      </c>
      <c r="BG422" t="s">
        <v>74</v>
      </c>
      <c r="BH422" t="s">
        <v>74</v>
      </c>
      <c r="BI422">
        <v>14</v>
      </c>
      <c r="BJ422" t="s">
        <v>6089</v>
      </c>
      <c r="BK422" t="s">
        <v>102</v>
      </c>
      <c r="BL422" t="s">
        <v>6090</v>
      </c>
      <c r="BM422" t="s">
        <v>8036</v>
      </c>
      <c r="BN422" t="s">
        <v>74</v>
      </c>
      <c r="BO422" t="s">
        <v>4132</v>
      </c>
      <c r="BP422" t="s">
        <v>74</v>
      </c>
      <c r="BQ422" t="s">
        <v>74</v>
      </c>
      <c r="BR422" t="s">
        <v>105</v>
      </c>
      <c r="BS422" t="s">
        <v>8037</v>
      </c>
      <c r="BT422" t="str">
        <f>HYPERLINK("https%3A%2F%2Fwww.webofscience.com%2Fwos%2Fwoscc%2Ffull-record%2FWOS:000316961900022","View Full Record in Web of Science")</f>
        <v>View Full Record in Web of Science</v>
      </c>
    </row>
    <row r="423" spans="1:72" x14ac:dyDescent="0.15">
      <c r="A423" t="s">
        <v>72</v>
      </c>
      <c r="B423" t="s">
        <v>8038</v>
      </c>
      <c r="C423" t="s">
        <v>74</v>
      </c>
      <c r="D423" t="s">
        <v>74</v>
      </c>
      <c r="E423" t="s">
        <v>74</v>
      </c>
      <c r="F423" t="s">
        <v>8039</v>
      </c>
      <c r="G423" t="s">
        <v>74</v>
      </c>
      <c r="H423" t="s">
        <v>74</v>
      </c>
      <c r="I423" t="s">
        <v>8040</v>
      </c>
      <c r="J423" t="s">
        <v>6072</v>
      </c>
      <c r="K423" t="s">
        <v>74</v>
      </c>
      <c r="L423" t="s">
        <v>74</v>
      </c>
      <c r="M423" t="s">
        <v>78</v>
      </c>
      <c r="N423" t="s">
        <v>79</v>
      </c>
      <c r="O423" t="s">
        <v>74</v>
      </c>
      <c r="P423" t="s">
        <v>74</v>
      </c>
      <c r="Q423" t="s">
        <v>74</v>
      </c>
      <c r="R423" t="s">
        <v>74</v>
      </c>
      <c r="S423" t="s">
        <v>74</v>
      </c>
      <c r="T423" t="s">
        <v>74</v>
      </c>
      <c r="U423" t="s">
        <v>8041</v>
      </c>
      <c r="V423" t="s">
        <v>8042</v>
      </c>
      <c r="W423" t="s">
        <v>8043</v>
      </c>
      <c r="X423" t="s">
        <v>8044</v>
      </c>
      <c r="Y423" t="s">
        <v>74</v>
      </c>
      <c r="Z423" t="s">
        <v>8045</v>
      </c>
      <c r="AA423" t="s">
        <v>74</v>
      </c>
      <c r="AB423" t="s">
        <v>74</v>
      </c>
      <c r="AC423" t="s">
        <v>74</v>
      </c>
      <c r="AD423" t="s">
        <v>74</v>
      </c>
      <c r="AE423" t="s">
        <v>74</v>
      </c>
      <c r="AF423" t="s">
        <v>74</v>
      </c>
      <c r="AG423">
        <v>24</v>
      </c>
      <c r="AH423">
        <v>19</v>
      </c>
      <c r="AI423">
        <v>20</v>
      </c>
      <c r="AJ423">
        <v>0</v>
      </c>
      <c r="AK423">
        <v>32</v>
      </c>
      <c r="AL423" t="s">
        <v>4248</v>
      </c>
      <c r="AM423" t="s">
        <v>4249</v>
      </c>
      <c r="AN423" t="s">
        <v>4250</v>
      </c>
      <c r="AO423" t="s">
        <v>6084</v>
      </c>
      <c r="AP423" t="s">
        <v>6085</v>
      </c>
      <c r="AQ423" t="s">
        <v>74</v>
      </c>
      <c r="AR423" t="s">
        <v>6086</v>
      </c>
      <c r="AS423" t="s">
        <v>6087</v>
      </c>
      <c r="AT423" t="s">
        <v>74</v>
      </c>
      <c r="AU423">
        <v>2013</v>
      </c>
      <c r="AV423">
        <v>9</v>
      </c>
      <c r="AW423">
        <v>1</v>
      </c>
      <c r="AX423" t="s">
        <v>74</v>
      </c>
      <c r="AY423" t="s">
        <v>74</v>
      </c>
      <c r="AZ423" t="s">
        <v>74</v>
      </c>
      <c r="BA423" t="s">
        <v>74</v>
      </c>
      <c r="BB423">
        <v>447</v>
      </c>
      <c r="BC423">
        <v>452</v>
      </c>
      <c r="BD423" t="s">
        <v>74</v>
      </c>
      <c r="BE423" t="s">
        <v>8046</v>
      </c>
      <c r="BF423" t="str">
        <f>HYPERLINK("http://dx.doi.org/10.5194/cp-9-447-2013","http://dx.doi.org/10.5194/cp-9-447-2013")</f>
        <v>http://dx.doi.org/10.5194/cp-9-447-2013</v>
      </c>
      <c r="BG423" t="s">
        <v>74</v>
      </c>
      <c r="BH423" t="s">
        <v>74</v>
      </c>
      <c r="BI423">
        <v>6</v>
      </c>
      <c r="BJ423" t="s">
        <v>6089</v>
      </c>
      <c r="BK423" t="s">
        <v>102</v>
      </c>
      <c r="BL423" t="s">
        <v>6090</v>
      </c>
      <c r="BM423" t="s">
        <v>8036</v>
      </c>
      <c r="BN423" t="s">
        <v>74</v>
      </c>
      <c r="BO423" t="s">
        <v>4132</v>
      </c>
      <c r="BP423" t="s">
        <v>74</v>
      </c>
      <c r="BQ423" t="s">
        <v>74</v>
      </c>
      <c r="BR423" t="s">
        <v>105</v>
      </c>
      <c r="BS423" t="s">
        <v>8047</v>
      </c>
      <c r="BT423" t="str">
        <f>HYPERLINK("https%3A%2F%2Fwww.webofscience.com%2Fwos%2Fwoscc%2Ffull-record%2FWOS:000316961900028","View Full Record in Web of Science")</f>
        <v>View Full Record in Web of Science</v>
      </c>
    </row>
    <row r="424" spans="1:72" x14ac:dyDescent="0.15">
      <c r="A424" t="s">
        <v>72</v>
      </c>
      <c r="B424" t="s">
        <v>8048</v>
      </c>
      <c r="C424" t="s">
        <v>74</v>
      </c>
      <c r="D424" t="s">
        <v>74</v>
      </c>
      <c r="E424" t="s">
        <v>74</v>
      </c>
      <c r="F424" t="s">
        <v>8049</v>
      </c>
      <c r="G424" t="s">
        <v>74</v>
      </c>
      <c r="H424" t="s">
        <v>74</v>
      </c>
      <c r="I424" t="s">
        <v>8050</v>
      </c>
      <c r="J424" t="s">
        <v>4238</v>
      </c>
      <c r="K424" t="s">
        <v>74</v>
      </c>
      <c r="L424" t="s">
        <v>74</v>
      </c>
      <c r="M424" t="s">
        <v>78</v>
      </c>
      <c r="N424" t="s">
        <v>79</v>
      </c>
      <c r="O424" t="s">
        <v>74</v>
      </c>
      <c r="P424" t="s">
        <v>74</v>
      </c>
      <c r="Q424" t="s">
        <v>74</v>
      </c>
      <c r="R424" t="s">
        <v>74</v>
      </c>
      <c r="S424" t="s">
        <v>74</v>
      </c>
      <c r="T424" t="s">
        <v>74</v>
      </c>
      <c r="U424" t="s">
        <v>8051</v>
      </c>
      <c r="V424" t="s">
        <v>8052</v>
      </c>
      <c r="W424" t="s">
        <v>8053</v>
      </c>
      <c r="X424" t="s">
        <v>8054</v>
      </c>
      <c r="Y424" t="s">
        <v>8055</v>
      </c>
      <c r="Z424" t="s">
        <v>8056</v>
      </c>
      <c r="AA424" t="s">
        <v>8057</v>
      </c>
      <c r="AB424" t="s">
        <v>8058</v>
      </c>
      <c r="AC424" t="s">
        <v>8059</v>
      </c>
      <c r="AD424" t="s">
        <v>8060</v>
      </c>
      <c r="AE424" t="s">
        <v>8061</v>
      </c>
      <c r="AF424" t="s">
        <v>74</v>
      </c>
      <c r="AG424">
        <v>63</v>
      </c>
      <c r="AH424">
        <v>130</v>
      </c>
      <c r="AI424">
        <v>139</v>
      </c>
      <c r="AJ424">
        <v>1</v>
      </c>
      <c r="AK424">
        <v>41</v>
      </c>
      <c r="AL424" t="s">
        <v>4248</v>
      </c>
      <c r="AM424" t="s">
        <v>4249</v>
      </c>
      <c r="AN424" t="s">
        <v>4250</v>
      </c>
      <c r="AO424" t="s">
        <v>4251</v>
      </c>
      <c r="AP424" t="s">
        <v>4252</v>
      </c>
      <c r="AQ424" t="s">
        <v>74</v>
      </c>
      <c r="AR424" t="s">
        <v>4238</v>
      </c>
      <c r="AS424" t="s">
        <v>4253</v>
      </c>
      <c r="AT424" t="s">
        <v>74</v>
      </c>
      <c r="AU424">
        <v>2013</v>
      </c>
      <c r="AV424">
        <v>7</v>
      </c>
      <c r="AW424">
        <v>2</v>
      </c>
      <c r="AX424" t="s">
        <v>74</v>
      </c>
      <c r="AY424" t="s">
        <v>74</v>
      </c>
      <c r="AZ424" t="s">
        <v>74</v>
      </c>
      <c r="BA424" t="s">
        <v>74</v>
      </c>
      <c r="BB424">
        <v>451</v>
      </c>
      <c r="BC424">
        <v>468</v>
      </c>
      <c r="BD424" t="s">
        <v>74</v>
      </c>
      <c r="BE424" t="s">
        <v>8062</v>
      </c>
      <c r="BF424" t="str">
        <f>HYPERLINK("http://dx.doi.org/10.5194/tc-7-451-2013","http://dx.doi.org/10.5194/tc-7-451-2013")</f>
        <v>http://dx.doi.org/10.5194/tc-7-451-2013</v>
      </c>
      <c r="BG424" t="s">
        <v>74</v>
      </c>
      <c r="BH424" t="s">
        <v>74</v>
      </c>
      <c r="BI424">
        <v>18</v>
      </c>
      <c r="BJ424" t="s">
        <v>2261</v>
      </c>
      <c r="BK424" t="s">
        <v>102</v>
      </c>
      <c r="BL424" t="s">
        <v>2262</v>
      </c>
      <c r="BM424" t="s">
        <v>8063</v>
      </c>
      <c r="BN424" t="s">
        <v>74</v>
      </c>
      <c r="BO424" t="s">
        <v>2629</v>
      </c>
      <c r="BP424" t="s">
        <v>74</v>
      </c>
      <c r="BQ424" t="s">
        <v>74</v>
      </c>
      <c r="BR424" t="s">
        <v>105</v>
      </c>
      <c r="BS424" t="s">
        <v>8064</v>
      </c>
      <c r="BT424" t="str">
        <f>HYPERLINK("https%3A%2F%2Fwww.webofscience.com%2Fwos%2Fwoscc%2Ffull-record%2FWOS:000317005500006","View Full Record in Web of Science")</f>
        <v>View Full Record in Web of Science</v>
      </c>
    </row>
    <row r="425" spans="1:72" x14ac:dyDescent="0.15">
      <c r="A425" t="s">
        <v>72</v>
      </c>
      <c r="B425" t="s">
        <v>8065</v>
      </c>
      <c r="C425" t="s">
        <v>74</v>
      </c>
      <c r="D425" t="s">
        <v>74</v>
      </c>
      <c r="E425" t="s">
        <v>74</v>
      </c>
      <c r="F425" t="s">
        <v>8066</v>
      </c>
      <c r="G425" t="s">
        <v>74</v>
      </c>
      <c r="H425" t="s">
        <v>74</v>
      </c>
      <c r="I425" t="s">
        <v>8067</v>
      </c>
      <c r="J425" t="s">
        <v>4238</v>
      </c>
      <c r="K425" t="s">
        <v>74</v>
      </c>
      <c r="L425" t="s">
        <v>74</v>
      </c>
      <c r="M425" t="s">
        <v>78</v>
      </c>
      <c r="N425" t="s">
        <v>79</v>
      </c>
      <c r="O425" t="s">
        <v>74</v>
      </c>
      <c r="P425" t="s">
        <v>74</v>
      </c>
      <c r="Q425" t="s">
        <v>74</v>
      </c>
      <c r="R425" t="s">
        <v>74</v>
      </c>
      <c r="S425" t="s">
        <v>74</v>
      </c>
      <c r="T425" t="s">
        <v>74</v>
      </c>
      <c r="U425" t="s">
        <v>8068</v>
      </c>
      <c r="V425" t="s">
        <v>8069</v>
      </c>
      <c r="W425" t="s">
        <v>8070</v>
      </c>
      <c r="X425" t="s">
        <v>8071</v>
      </c>
      <c r="Y425" t="s">
        <v>8072</v>
      </c>
      <c r="Z425" t="s">
        <v>8073</v>
      </c>
      <c r="AA425" t="s">
        <v>8074</v>
      </c>
      <c r="AB425" t="s">
        <v>74</v>
      </c>
      <c r="AC425" t="s">
        <v>8075</v>
      </c>
      <c r="AD425" t="s">
        <v>8076</v>
      </c>
      <c r="AE425" t="s">
        <v>8077</v>
      </c>
      <c r="AF425" t="s">
        <v>74</v>
      </c>
      <c r="AG425">
        <v>63</v>
      </c>
      <c r="AH425">
        <v>31</v>
      </c>
      <c r="AI425">
        <v>38</v>
      </c>
      <c r="AJ425">
        <v>1</v>
      </c>
      <c r="AK425">
        <v>29</v>
      </c>
      <c r="AL425" t="s">
        <v>4248</v>
      </c>
      <c r="AM425" t="s">
        <v>4249</v>
      </c>
      <c r="AN425" t="s">
        <v>4250</v>
      </c>
      <c r="AO425" t="s">
        <v>4251</v>
      </c>
      <c r="AP425" t="s">
        <v>4252</v>
      </c>
      <c r="AQ425" t="s">
        <v>74</v>
      </c>
      <c r="AR425" t="s">
        <v>4238</v>
      </c>
      <c r="AS425" t="s">
        <v>4253</v>
      </c>
      <c r="AT425" t="s">
        <v>74</v>
      </c>
      <c r="AU425">
        <v>2013</v>
      </c>
      <c r="AV425">
        <v>7</v>
      </c>
      <c r="AW425">
        <v>2</v>
      </c>
      <c r="AX425" t="s">
        <v>74</v>
      </c>
      <c r="AY425" t="s">
        <v>74</v>
      </c>
      <c r="AZ425" t="s">
        <v>74</v>
      </c>
      <c r="BA425" t="s">
        <v>74</v>
      </c>
      <c r="BB425">
        <v>515</v>
      </c>
      <c r="BC425">
        <v>535</v>
      </c>
      <c r="BD425" t="s">
        <v>74</v>
      </c>
      <c r="BE425" t="s">
        <v>8078</v>
      </c>
      <c r="BF425" t="str">
        <f>HYPERLINK("http://dx.doi.org/10.5194/tc-7-515-2013","http://dx.doi.org/10.5194/tc-7-515-2013")</f>
        <v>http://dx.doi.org/10.5194/tc-7-515-2013</v>
      </c>
      <c r="BG425" t="s">
        <v>74</v>
      </c>
      <c r="BH425" t="s">
        <v>74</v>
      </c>
      <c r="BI425">
        <v>21</v>
      </c>
      <c r="BJ425" t="s">
        <v>2261</v>
      </c>
      <c r="BK425" t="s">
        <v>102</v>
      </c>
      <c r="BL425" t="s">
        <v>2262</v>
      </c>
      <c r="BM425" t="s">
        <v>8063</v>
      </c>
      <c r="BN425" t="s">
        <v>74</v>
      </c>
      <c r="BO425" t="s">
        <v>4132</v>
      </c>
      <c r="BP425" t="s">
        <v>74</v>
      </c>
      <c r="BQ425" t="s">
        <v>74</v>
      </c>
      <c r="BR425" t="s">
        <v>105</v>
      </c>
      <c r="BS425" t="s">
        <v>8079</v>
      </c>
      <c r="BT425" t="str">
        <f>HYPERLINK("https%3A%2F%2Fwww.webofscience.com%2Fwos%2Fwoscc%2Ffull-record%2FWOS:000317005500011","View Full Record in Web of Science")</f>
        <v>View Full Record in Web of Science</v>
      </c>
    </row>
    <row r="426" spans="1:72" x14ac:dyDescent="0.15">
      <c r="A426" t="s">
        <v>72</v>
      </c>
      <c r="B426" t="s">
        <v>8080</v>
      </c>
      <c r="C426" t="s">
        <v>74</v>
      </c>
      <c r="D426" t="s">
        <v>74</v>
      </c>
      <c r="E426" t="s">
        <v>74</v>
      </c>
      <c r="F426" t="s">
        <v>8081</v>
      </c>
      <c r="G426" t="s">
        <v>74</v>
      </c>
      <c r="H426" t="s">
        <v>74</v>
      </c>
      <c r="I426" t="s">
        <v>8082</v>
      </c>
      <c r="J426" t="s">
        <v>4238</v>
      </c>
      <c r="K426" t="s">
        <v>74</v>
      </c>
      <c r="L426" t="s">
        <v>74</v>
      </c>
      <c r="M426" t="s">
        <v>78</v>
      </c>
      <c r="N426" t="s">
        <v>79</v>
      </c>
      <c r="O426" t="s">
        <v>74</v>
      </c>
      <c r="P426" t="s">
        <v>74</v>
      </c>
      <c r="Q426" t="s">
        <v>74</v>
      </c>
      <c r="R426" t="s">
        <v>74</v>
      </c>
      <c r="S426" t="s">
        <v>74</v>
      </c>
      <c r="T426" t="s">
        <v>74</v>
      </c>
      <c r="U426" t="s">
        <v>8083</v>
      </c>
      <c r="V426" t="s">
        <v>8084</v>
      </c>
      <c r="W426" t="s">
        <v>8085</v>
      </c>
      <c r="X426" t="s">
        <v>8086</v>
      </c>
      <c r="Y426" t="s">
        <v>8087</v>
      </c>
      <c r="Z426" t="s">
        <v>8088</v>
      </c>
      <c r="AA426" t="s">
        <v>8089</v>
      </c>
      <c r="AB426" t="s">
        <v>8090</v>
      </c>
      <c r="AC426" t="s">
        <v>8091</v>
      </c>
      <c r="AD426" t="s">
        <v>8092</v>
      </c>
      <c r="AE426" t="s">
        <v>8093</v>
      </c>
      <c r="AF426" t="s">
        <v>74</v>
      </c>
      <c r="AG426">
        <v>54</v>
      </c>
      <c r="AH426">
        <v>121</v>
      </c>
      <c r="AI426">
        <v>123</v>
      </c>
      <c r="AJ426">
        <v>0</v>
      </c>
      <c r="AK426">
        <v>25</v>
      </c>
      <c r="AL426" t="s">
        <v>4248</v>
      </c>
      <c r="AM426" t="s">
        <v>4249</v>
      </c>
      <c r="AN426" t="s">
        <v>4250</v>
      </c>
      <c r="AO426" t="s">
        <v>4251</v>
      </c>
      <c r="AP426" t="s">
        <v>4252</v>
      </c>
      <c r="AQ426" t="s">
        <v>74</v>
      </c>
      <c r="AR426" t="s">
        <v>4238</v>
      </c>
      <c r="AS426" t="s">
        <v>4253</v>
      </c>
      <c r="AT426" t="s">
        <v>74</v>
      </c>
      <c r="AU426">
        <v>2013</v>
      </c>
      <c r="AV426">
        <v>7</v>
      </c>
      <c r="AW426">
        <v>2</v>
      </c>
      <c r="AX426" t="s">
        <v>74</v>
      </c>
      <c r="AY426" t="s">
        <v>74</v>
      </c>
      <c r="AZ426" t="s">
        <v>74</v>
      </c>
      <c r="BA426" t="s">
        <v>74</v>
      </c>
      <c r="BB426">
        <v>569</v>
      </c>
      <c r="BC426">
        <v>582</v>
      </c>
      <c r="BD426" t="s">
        <v>74</v>
      </c>
      <c r="BE426" t="s">
        <v>8094</v>
      </c>
      <c r="BF426" t="str">
        <f>HYPERLINK("http://dx.doi.org/10.5194/tc-7-569-2013","http://dx.doi.org/10.5194/tc-7-569-2013")</f>
        <v>http://dx.doi.org/10.5194/tc-7-569-2013</v>
      </c>
      <c r="BG426" t="s">
        <v>74</v>
      </c>
      <c r="BH426" t="s">
        <v>74</v>
      </c>
      <c r="BI426">
        <v>14</v>
      </c>
      <c r="BJ426" t="s">
        <v>2261</v>
      </c>
      <c r="BK426" t="s">
        <v>102</v>
      </c>
      <c r="BL426" t="s">
        <v>2262</v>
      </c>
      <c r="BM426" t="s">
        <v>8063</v>
      </c>
      <c r="BN426" t="s">
        <v>74</v>
      </c>
      <c r="BO426" t="s">
        <v>4132</v>
      </c>
      <c r="BP426" t="s">
        <v>74</v>
      </c>
      <c r="BQ426" t="s">
        <v>74</v>
      </c>
      <c r="BR426" t="s">
        <v>105</v>
      </c>
      <c r="BS426" t="s">
        <v>8095</v>
      </c>
      <c r="BT426" t="str">
        <f>HYPERLINK("https%3A%2F%2Fwww.webofscience.com%2Fwos%2Fwoscc%2Ffull-record%2FWOS:000317005500014","View Full Record in Web of Science")</f>
        <v>View Full Record in Web of Science</v>
      </c>
    </row>
    <row r="427" spans="1:72" x14ac:dyDescent="0.15">
      <c r="A427" t="s">
        <v>72</v>
      </c>
      <c r="B427" t="s">
        <v>8096</v>
      </c>
      <c r="C427" t="s">
        <v>74</v>
      </c>
      <c r="D427" t="s">
        <v>74</v>
      </c>
      <c r="E427" t="s">
        <v>74</v>
      </c>
      <c r="F427" t="s">
        <v>8097</v>
      </c>
      <c r="G427" t="s">
        <v>74</v>
      </c>
      <c r="H427" t="s">
        <v>74</v>
      </c>
      <c r="I427" t="s">
        <v>8098</v>
      </c>
      <c r="J427" t="s">
        <v>8099</v>
      </c>
      <c r="K427" t="s">
        <v>74</v>
      </c>
      <c r="L427" t="s">
        <v>74</v>
      </c>
      <c r="M427" t="s">
        <v>78</v>
      </c>
      <c r="N427" t="s">
        <v>79</v>
      </c>
      <c r="O427" t="s">
        <v>74</v>
      </c>
      <c r="P427" t="s">
        <v>74</v>
      </c>
      <c r="Q427" t="s">
        <v>74</v>
      </c>
      <c r="R427" t="s">
        <v>74</v>
      </c>
      <c r="S427" t="s">
        <v>74</v>
      </c>
      <c r="T427" t="s">
        <v>8100</v>
      </c>
      <c r="U427" t="s">
        <v>8101</v>
      </c>
      <c r="V427" t="s">
        <v>8102</v>
      </c>
      <c r="W427" t="s">
        <v>8103</v>
      </c>
      <c r="X427" t="s">
        <v>8104</v>
      </c>
      <c r="Y427" t="s">
        <v>8105</v>
      </c>
      <c r="Z427" t="s">
        <v>8106</v>
      </c>
      <c r="AA427" t="s">
        <v>8107</v>
      </c>
      <c r="AB427" t="s">
        <v>8108</v>
      </c>
      <c r="AC427" t="s">
        <v>8109</v>
      </c>
      <c r="AD427" t="s">
        <v>8109</v>
      </c>
      <c r="AE427" t="s">
        <v>8110</v>
      </c>
      <c r="AF427" t="s">
        <v>74</v>
      </c>
      <c r="AG427">
        <v>49</v>
      </c>
      <c r="AH427">
        <v>14</v>
      </c>
      <c r="AI427">
        <v>17</v>
      </c>
      <c r="AJ427">
        <v>0</v>
      </c>
      <c r="AK427">
        <v>24</v>
      </c>
      <c r="AL427" t="s">
        <v>146</v>
      </c>
      <c r="AM427" t="s">
        <v>147</v>
      </c>
      <c r="AN427" t="s">
        <v>148</v>
      </c>
      <c r="AO427" t="s">
        <v>8111</v>
      </c>
      <c r="AP427" t="s">
        <v>8112</v>
      </c>
      <c r="AQ427" t="s">
        <v>74</v>
      </c>
      <c r="AR427" t="s">
        <v>8113</v>
      </c>
      <c r="AS427" t="s">
        <v>8114</v>
      </c>
      <c r="AT427" t="s">
        <v>5170</v>
      </c>
      <c r="AU427">
        <v>2013</v>
      </c>
      <c r="AV427">
        <v>85</v>
      </c>
      <c r="AW427" t="s">
        <v>74</v>
      </c>
      <c r="AX427" t="s">
        <v>74</v>
      </c>
      <c r="AY427" t="s">
        <v>74</v>
      </c>
      <c r="AZ427" t="s">
        <v>221</v>
      </c>
      <c r="BA427" t="s">
        <v>74</v>
      </c>
      <c r="BB427">
        <v>244</v>
      </c>
      <c r="BC427">
        <v>260</v>
      </c>
      <c r="BD427" t="s">
        <v>74</v>
      </c>
      <c r="BE427" t="s">
        <v>8115</v>
      </c>
      <c r="BF427" t="str">
        <f>HYPERLINK("http://dx.doi.org/10.1016/j.dsr2.2012.07.033","http://dx.doi.org/10.1016/j.dsr2.2012.07.033")</f>
        <v>http://dx.doi.org/10.1016/j.dsr2.2012.07.033</v>
      </c>
      <c r="BG427" t="s">
        <v>74</v>
      </c>
      <c r="BH427" t="s">
        <v>74</v>
      </c>
      <c r="BI427">
        <v>17</v>
      </c>
      <c r="BJ427" t="s">
        <v>303</v>
      </c>
      <c r="BK427" t="s">
        <v>102</v>
      </c>
      <c r="BL427" t="s">
        <v>303</v>
      </c>
      <c r="BM427" t="s">
        <v>8116</v>
      </c>
      <c r="BN427" t="s">
        <v>74</v>
      </c>
      <c r="BO427" t="s">
        <v>74</v>
      </c>
      <c r="BP427" t="s">
        <v>74</v>
      </c>
      <c r="BQ427" t="s">
        <v>74</v>
      </c>
      <c r="BR427" t="s">
        <v>105</v>
      </c>
      <c r="BS427" t="s">
        <v>8117</v>
      </c>
      <c r="BT427" t="str">
        <f>HYPERLINK("https%3A%2F%2Fwww.webofscience.com%2Fwos%2Fwoscc%2Ffull-record%2FWOS:000316713200020","View Full Record in Web of Science")</f>
        <v>View Full Record in Web of Science</v>
      </c>
    </row>
    <row r="428" spans="1:72" x14ac:dyDescent="0.15">
      <c r="A428" t="s">
        <v>72</v>
      </c>
      <c r="B428" t="s">
        <v>8118</v>
      </c>
      <c r="C428" t="s">
        <v>74</v>
      </c>
      <c r="D428" t="s">
        <v>74</v>
      </c>
      <c r="E428" t="s">
        <v>74</v>
      </c>
      <c r="F428" t="s">
        <v>8119</v>
      </c>
      <c r="G428" t="s">
        <v>74</v>
      </c>
      <c r="H428" t="s">
        <v>74</v>
      </c>
      <c r="I428" t="s">
        <v>8120</v>
      </c>
      <c r="J428" t="s">
        <v>8121</v>
      </c>
      <c r="K428" t="s">
        <v>74</v>
      </c>
      <c r="L428" t="s">
        <v>74</v>
      </c>
      <c r="M428" t="s">
        <v>78</v>
      </c>
      <c r="N428" t="s">
        <v>79</v>
      </c>
      <c r="O428" t="s">
        <v>74</v>
      </c>
      <c r="P428" t="s">
        <v>74</v>
      </c>
      <c r="Q428" t="s">
        <v>74</v>
      </c>
      <c r="R428" t="s">
        <v>74</v>
      </c>
      <c r="S428" t="s">
        <v>74</v>
      </c>
      <c r="T428" t="s">
        <v>8122</v>
      </c>
      <c r="U428" t="s">
        <v>8123</v>
      </c>
      <c r="V428" t="s">
        <v>8124</v>
      </c>
      <c r="W428" t="s">
        <v>8125</v>
      </c>
      <c r="X428" t="s">
        <v>8126</v>
      </c>
      <c r="Y428" t="s">
        <v>8127</v>
      </c>
      <c r="Z428" t="s">
        <v>8128</v>
      </c>
      <c r="AA428" t="s">
        <v>8129</v>
      </c>
      <c r="AB428" t="s">
        <v>8130</v>
      </c>
      <c r="AC428" t="s">
        <v>8131</v>
      </c>
      <c r="AD428" t="s">
        <v>8132</v>
      </c>
      <c r="AE428" t="s">
        <v>8133</v>
      </c>
      <c r="AF428" t="s">
        <v>74</v>
      </c>
      <c r="AG428">
        <v>91</v>
      </c>
      <c r="AH428">
        <v>31</v>
      </c>
      <c r="AI428">
        <v>36</v>
      </c>
      <c r="AJ428">
        <v>7</v>
      </c>
      <c r="AK428">
        <v>96</v>
      </c>
      <c r="AL428" t="s">
        <v>257</v>
      </c>
      <c r="AM428" t="s">
        <v>215</v>
      </c>
      <c r="AN428" t="s">
        <v>216</v>
      </c>
      <c r="AO428" t="s">
        <v>8134</v>
      </c>
      <c r="AP428" t="s">
        <v>8135</v>
      </c>
      <c r="AQ428" t="s">
        <v>74</v>
      </c>
      <c r="AR428" t="s">
        <v>8136</v>
      </c>
      <c r="AS428" t="s">
        <v>8137</v>
      </c>
      <c r="AT428" t="s">
        <v>74</v>
      </c>
      <c r="AU428">
        <v>2013</v>
      </c>
      <c r="AV428">
        <v>22</v>
      </c>
      <c r="AW428">
        <v>3</v>
      </c>
      <c r="AX428" t="s">
        <v>74</v>
      </c>
      <c r="AY428" t="s">
        <v>74</v>
      </c>
      <c r="AZ428" t="s">
        <v>74</v>
      </c>
      <c r="BA428" t="s">
        <v>74</v>
      </c>
      <c r="BB428">
        <v>154</v>
      </c>
      <c r="BC428">
        <v>173</v>
      </c>
      <c r="BD428" t="s">
        <v>74</v>
      </c>
      <c r="BE428" t="s">
        <v>8138</v>
      </c>
      <c r="BF428" t="str">
        <f>HYPERLINK("http://dx.doi.org/10.1111/fog.12011","http://dx.doi.org/10.1111/fog.12011")</f>
        <v>http://dx.doi.org/10.1111/fog.12011</v>
      </c>
      <c r="BG428" t="s">
        <v>74</v>
      </c>
      <c r="BH428" t="s">
        <v>74</v>
      </c>
      <c r="BI428">
        <v>20</v>
      </c>
      <c r="BJ428" t="s">
        <v>8139</v>
      </c>
      <c r="BK428" t="s">
        <v>102</v>
      </c>
      <c r="BL428" t="s">
        <v>8139</v>
      </c>
      <c r="BM428" t="s">
        <v>8140</v>
      </c>
      <c r="BN428" t="s">
        <v>74</v>
      </c>
      <c r="BO428" t="s">
        <v>74</v>
      </c>
      <c r="BP428" t="s">
        <v>74</v>
      </c>
      <c r="BQ428" t="s">
        <v>74</v>
      </c>
      <c r="BR428" t="s">
        <v>105</v>
      </c>
      <c r="BS428" t="s">
        <v>8141</v>
      </c>
      <c r="BT428" t="str">
        <f>HYPERLINK("https%3A%2F%2Fwww.webofscience.com%2Fwos%2Fwoscc%2Ffull-record%2FWOS:000317072600002","View Full Record in Web of Science")</f>
        <v>View Full Record in Web of Science</v>
      </c>
    </row>
    <row r="429" spans="1:72" x14ac:dyDescent="0.15">
      <c r="A429" t="s">
        <v>72</v>
      </c>
      <c r="B429" t="s">
        <v>8142</v>
      </c>
      <c r="C429" t="s">
        <v>74</v>
      </c>
      <c r="D429" t="s">
        <v>74</v>
      </c>
      <c r="E429" t="s">
        <v>74</v>
      </c>
      <c r="F429" t="s">
        <v>8143</v>
      </c>
      <c r="G429" t="s">
        <v>74</v>
      </c>
      <c r="H429" t="s">
        <v>74</v>
      </c>
      <c r="I429" t="s">
        <v>8144</v>
      </c>
      <c r="J429" t="s">
        <v>8145</v>
      </c>
      <c r="K429" t="s">
        <v>74</v>
      </c>
      <c r="L429" t="s">
        <v>74</v>
      </c>
      <c r="M429" t="s">
        <v>78</v>
      </c>
      <c r="N429" t="s">
        <v>79</v>
      </c>
      <c r="O429" t="s">
        <v>74</v>
      </c>
      <c r="P429" t="s">
        <v>74</v>
      </c>
      <c r="Q429" t="s">
        <v>74</v>
      </c>
      <c r="R429" t="s">
        <v>74</v>
      </c>
      <c r="S429" t="s">
        <v>74</v>
      </c>
      <c r="T429" t="s">
        <v>8146</v>
      </c>
      <c r="U429" t="s">
        <v>8147</v>
      </c>
      <c r="V429" t="s">
        <v>8148</v>
      </c>
      <c r="W429" t="s">
        <v>8149</v>
      </c>
      <c r="X429" t="s">
        <v>8150</v>
      </c>
      <c r="Y429" t="s">
        <v>8151</v>
      </c>
      <c r="Z429" t="s">
        <v>8152</v>
      </c>
      <c r="AA429" t="s">
        <v>8153</v>
      </c>
      <c r="AB429" t="s">
        <v>8154</v>
      </c>
      <c r="AC429" t="s">
        <v>8155</v>
      </c>
      <c r="AD429" t="s">
        <v>8155</v>
      </c>
      <c r="AE429" t="s">
        <v>8156</v>
      </c>
      <c r="AF429" t="s">
        <v>74</v>
      </c>
      <c r="AG429">
        <v>9</v>
      </c>
      <c r="AH429">
        <v>9</v>
      </c>
      <c r="AI429">
        <v>9</v>
      </c>
      <c r="AJ429">
        <v>0</v>
      </c>
      <c r="AK429">
        <v>3</v>
      </c>
      <c r="AL429" t="s">
        <v>7469</v>
      </c>
      <c r="AM429" t="s">
        <v>7470</v>
      </c>
      <c r="AN429" t="s">
        <v>7471</v>
      </c>
      <c r="AO429" t="s">
        <v>8157</v>
      </c>
      <c r="AP429" t="s">
        <v>74</v>
      </c>
      <c r="AQ429" t="s">
        <v>74</v>
      </c>
      <c r="AR429" t="s">
        <v>8158</v>
      </c>
      <c r="AS429" t="s">
        <v>8159</v>
      </c>
      <c r="AT429" t="s">
        <v>74</v>
      </c>
      <c r="AU429">
        <v>2013</v>
      </c>
      <c r="AV429">
        <v>72</v>
      </c>
      <c r="AW429" t="s">
        <v>74</v>
      </c>
      <c r="AX429" t="s">
        <v>74</v>
      </c>
      <c r="AY429" t="s">
        <v>74</v>
      </c>
      <c r="AZ429" t="s">
        <v>74</v>
      </c>
      <c r="BA429" t="s">
        <v>74</v>
      </c>
      <c r="BB429" t="s">
        <v>74</v>
      </c>
      <c r="BC429" t="s">
        <v>74</v>
      </c>
      <c r="BD429">
        <v>20175</v>
      </c>
      <c r="BE429" t="s">
        <v>8160</v>
      </c>
      <c r="BF429" t="str">
        <f>HYPERLINK("http://dx.doi.org/10.3402/ijch.v72i0.20175","http://dx.doi.org/10.3402/ijch.v72i0.20175")</f>
        <v>http://dx.doi.org/10.3402/ijch.v72i0.20175</v>
      </c>
      <c r="BG429" t="s">
        <v>74</v>
      </c>
      <c r="BH429" t="s">
        <v>74</v>
      </c>
      <c r="BI429">
        <v>3</v>
      </c>
      <c r="BJ429" t="s">
        <v>8161</v>
      </c>
      <c r="BK429" t="s">
        <v>1803</v>
      </c>
      <c r="BL429" t="s">
        <v>8161</v>
      </c>
      <c r="BM429" t="s">
        <v>8162</v>
      </c>
      <c r="BN429">
        <v>23423959</v>
      </c>
      <c r="BO429" t="s">
        <v>2815</v>
      </c>
      <c r="BP429" t="s">
        <v>74</v>
      </c>
      <c r="BQ429" t="s">
        <v>74</v>
      </c>
      <c r="BR429" t="s">
        <v>105</v>
      </c>
      <c r="BS429" t="s">
        <v>8163</v>
      </c>
      <c r="BT429" t="str">
        <f>HYPERLINK("https%3A%2F%2Fwww.webofscience.com%2Fwos%2Fwoscc%2Ffull-record%2FWOS:000317052700001","View Full Record in Web of Science")</f>
        <v>View Full Record in Web of Science</v>
      </c>
    </row>
    <row r="430" spans="1:72" x14ac:dyDescent="0.15">
      <c r="A430" t="s">
        <v>72</v>
      </c>
      <c r="B430" t="s">
        <v>8164</v>
      </c>
      <c r="C430" t="s">
        <v>74</v>
      </c>
      <c r="D430" t="s">
        <v>74</v>
      </c>
      <c r="E430" t="s">
        <v>74</v>
      </c>
      <c r="F430" t="s">
        <v>8165</v>
      </c>
      <c r="G430" t="s">
        <v>74</v>
      </c>
      <c r="H430" t="s">
        <v>74</v>
      </c>
      <c r="I430" t="s">
        <v>8166</v>
      </c>
      <c r="J430" t="s">
        <v>4472</v>
      </c>
      <c r="K430" t="s">
        <v>74</v>
      </c>
      <c r="L430" t="s">
        <v>74</v>
      </c>
      <c r="M430" t="s">
        <v>78</v>
      </c>
      <c r="N430" t="s">
        <v>79</v>
      </c>
      <c r="O430" t="s">
        <v>74</v>
      </c>
      <c r="P430" t="s">
        <v>74</v>
      </c>
      <c r="Q430" t="s">
        <v>74</v>
      </c>
      <c r="R430" t="s">
        <v>74</v>
      </c>
      <c r="S430" t="s">
        <v>74</v>
      </c>
      <c r="T430" t="s">
        <v>74</v>
      </c>
      <c r="U430" t="s">
        <v>8167</v>
      </c>
      <c r="V430" t="s">
        <v>8168</v>
      </c>
      <c r="W430" t="s">
        <v>8169</v>
      </c>
      <c r="X430" t="s">
        <v>8170</v>
      </c>
      <c r="Y430" t="s">
        <v>8171</v>
      </c>
      <c r="Z430" t="s">
        <v>8172</v>
      </c>
      <c r="AA430" t="s">
        <v>74</v>
      </c>
      <c r="AB430" t="s">
        <v>74</v>
      </c>
      <c r="AC430" t="s">
        <v>74</v>
      </c>
      <c r="AD430" t="s">
        <v>74</v>
      </c>
      <c r="AE430" t="s">
        <v>74</v>
      </c>
      <c r="AF430" t="s">
        <v>74</v>
      </c>
      <c r="AG430">
        <v>15</v>
      </c>
      <c r="AH430">
        <v>0</v>
      </c>
      <c r="AI430">
        <v>0</v>
      </c>
      <c r="AJ430">
        <v>0</v>
      </c>
      <c r="AK430">
        <v>6</v>
      </c>
      <c r="AL430" t="s">
        <v>816</v>
      </c>
      <c r="AM430" t="s">
        <v>2038</v>
      </c>
      <c r="AN430" t="s">
        <v>4484</v>
      </c>
      <c r="AO430" t="s">
        <v>4485</v>
      </c>
      <c r="AP430" t="s">
        <v>4486</v>
      </c>
      <c r="AQ430" t="s">
        <v>74</v>
      </c>
      <c r="AR430" t="s">
        <v>4487</v>
      </c>
      <c r="AS430" t="s">
        <v>4488</v>
      </c>
      <c r="AT430" t="s">
        <v>74</v>
      </c>
      <c r="AU430">
        <v>2013</v>
      </c>
      <c r="AV430">
        <v>59</v>
      </c>
      <c r="AW430">
        <v>213</v>
      </c>
      <c r="AX430" t="s">
        <v>74</v>
      </c>
      <c r="AY430" t="s">
        <v>74</v>
      </c>
      <c r="AZ430" t="s">
        <v>74</v>
      </c>
      <c r="BA430" t="s">
        <v>74</v>
      </c>
      <c r="BB430">
        <v>81</v>
      </c>
      <c r="BC430">
        <v>86</v>
      </c>
      <c r="BD430" t="s">
        <v>74</v>
      </c>
      <c r="BE430" t="s">
        <v>8173</v>
      </c>
      <c r="BF430" t="str">
        <f>HYPERLINK("http://dx.doi.org/10.3189/2013JoG12J102","http://dx.doi.org/10.3189/2013JoG12J102")</f>
        <v>http://dx.doi.org/10.3189/2013JoG12J102</v>
      </c>
      <c r="BG430" t="s">
        <v>74</v>
      </c>
      <c r="BH430" t="s">
        <v>74</v>
      </c>
      <c r="BI430">
        <v>6</v>
      </c>
      <c r="BJ430" t="s">
        <v>2261</v>
      </c>
      <c r="BK430" t="s">
        <v>102</v>
      </c>
      <c r="BL430" t="s">
        <v>2262</v>
      </c>
      <c r="BM430" t="s">
        <v>8174</v>
      </c>
      <c r="BN430" t="s">
        <v>74</v>
      </c>
      <c r="BO430" t="s">
        <v>2019</v>
      </c>
      <c r="BP430" t="s">
        <v>74</v>
      </c>
      <c r="BQ430" t="s">
        <v>74</v>
      </c>
      <c r="BR430" t="s">
        <v>105</v>
      </c>
      <c r="BS430" t="s">
        <v>8175</v>
      </c>
      <c r="BT430" t="str">
        <f>HYPERLINK("https%3A%2F%2Fwww.webofscience.com%2Fwos%2Fwoscc%2Ffull-record%2FWOS:000316373500009","View Full Record in Web of Science")</f>
        <v>View Full Record in Web of Science</v>
      </c>
    </row>
    <row r="431" spans="1:72" x14ac:dyDescent="0.15">
      <c r="A431" t="s">
        <v>72</v>
      </c>
      <c r="B431" t="s">
        <v>8176</v>
      </c>
      <c r="C431" t="s">
        <v>74</v>
      </c>
      <c r="D431" t="s">
        <v>74</v>
      </c>
      <c r="E431" t="s">
        <v>74</v>
      </c>
      <c r="F431" t="s">
        <v>8177</v>
      </c>
      <c r="G431" t="s">
        <v>74</v>
      </c>
      <c r="H431" t="s">
        <v>74</v>
      </c>
      <c r="I431" t="s">
        <v>8178</v>
      </c>
      <c r="J431" t="s">
        <v>4472</v>
      </c>
      <c r="K431" t="s">
        <v>74</v>
      </c>
      <c r="L431" t="s">
        <v>74</v>
      </c>
      <c r="M431" t="s">
        <v>78</v>
      </c>
      <c r="N431" t="s">
        <v>79</v>
      </c>
      <c r="O431" t="s">
        <v>74</v>
      </c>
      <c r="P431" t="s">
        <v>74</v>
      </c>
      <c r="Q431" t="s">
        <v>74</v>
      </c>
      <c r="R431" t="s">
        <v>74</v>
      </c>
      <c r="S431" t="s">
        <v>74</v>
      </c>
      <c r="T431" t="s">
        <v>74</v>
      </c>
      <c r="U431" t="s">
        <v>8179</v>
      </c>
      <c r="V431" t="s">
        <v>8180</v>
      </c>
      <c r="W431" t="s">
        <v>8181</v>
      </c>
      <c r="X431" t="s">
        <v>6283</v>
      </c>
      <c r="Y431" t="s">
        <v>8182</v>
      </c>
      <c r="Z431" t="s">
        <v>8183</v>
      </c>
      <c r="AA431" t="s">
        <v>8184</v>
      </c>
      <c r="AB431" t="s">
        <v>8185</v>
      </c>
      <c r="AC431" t="s">
        <v>8186</v>
      </c>
      <c r="AD431" t="s">
        <v>8187</v>
      </c>
      <c r="AE431" t="s">
        <v>8188</v>
      </c>
      <c r="AF431" t="s">
        <v>74</v>
      </c>
      <c r="AG431">
        <v>32</v>
      </c>
      <c r="AH431">
        <v>3</v>
      </c>
      <c r="AI431">
        <v>4</v>
      </c>
      <c r="AJ431">
        <v>0</v>
      </c>
      <c r="AK431">
        <v>5</v>
      </c>
      <c r="AL431" t="s">
        <v>5814</v>
      </c>
      <c r="AM431" t="s">
        <v>2038</v>
      </c>
      <c r="AN431" t="s">
        <v>5815</v>
      </c>
      <c r="AO431" t="s">
        <v>4485</v>
      </c>
      <c r="AP431" t="s">
        <v>4486</v>
      </c>
      <c r="AQ431" t="s">
        <v>74</v>
      </c>
      <c r="AR431" t="s">
        <v>4487</v>
      </c>
      <c r="AS431" t="s">
        <v>4488</v>
      </c>
      <c r="AT431" t="s">
        <v>74</v>
      </c>
      <c r="AU431">
        <v>2013</v>
      </c>
      <c r="AV431">
        <v>59</v>
      </c>
      <c r="AW431">
        <v>213</v>
      </c>
      <c r="AX431" t="s">
        <v>74</v>
      </c>
      <c r="AY431" t="s">
        <v>74</v>
      </c>
      <c r="AZ431" t="s">
        <v>74</v>
      </c>
      <c r="BA431" t="s">
        <v>74</v>
      </c>
      <c r="BB431">
        <v>129</v>
      </c>
      <c r="BC431">
        <v>136</v>
      </c>
      <c r="BD431" t="s">
        <v>74</v>
      </c>
      <c r="BE431" t="s">
        <v>8189</v>
      </c>
      <c r="BF431" t="str">
        <f>HYPERLINK("http://dx.doi.org/10.3189/2013JoG12J042","http://dx.doi.org/10.3189/2013JoG12J042")</f>
        <v>http://dx.doi.org/10.3189/2013JoG12J042</v>
      </c>
      <c r="BG431" t="s">
        <v>74</v>
      </c>
      <c r="BH431" t="s">
        <v>74</v>
      </c>
      <c r="BI431">
        <v>8</v>
      </c>
      <c r="BJ431" t="s">
        <v>2261</v>
      </c>
      <c r="BK431" t="s">
        <v>102</v>
      </c>
      <c r="BL431" t="s">
        <v>2262</v>
      </c>
      <c r="BM431" t="s">
        <v>8174</v>
      </c>
      <c r="BN431" t="s">
        <v>74</v>
      </c>
      <c r="BO431" t="s">
        <v>128</v>
      </c>
      <c r="BP431" t="s">
        <v>74</v>
      </c>
      <c r="BQ431" t="s">
        <v>74</v>
      </c>
      <c r="BR431" t="s">
        <v>105</v>
      </c>
      <c r="BS431" t="s">
        <v>8190</v>
      </c>
      <c r="BT431" t="str">
        <f>HYPERLINK("https%3A%2F%2Fwww.webofscience.com%2Fwos%2Fwoscc%2Ffull-record%2FWOS:000316373500013","View Full Record in Web of Science")</f>
        <v>View Full Record in Web of Science</v>
      </c>
    </row>
    <row r="432" spans="1:72" x14ac:dyDescent="0.15">
      <c r="A432" t="s">
        <v>72</v>
      </c>
      <c r="B432" t="s">
        <v>8191</v>
      </c>
      <c r="C432" t="s">
        <v>74</v>
      </c>
      <c r="D432" t="s">
        <v>74</v>
      </c>
      <c r="E432" t="s">
        <v>74</v>
      </c>
      <c r="F432" t="s">
        <v>8192</v>
      </c>
      <c r="G432" t="s">
        <v>74</v>
      </c>
      <c r="H432" t="s">
        <v>74</v>
      </c>
      <c r="I432" t="s">
        <v>8193</v>
      </c>
      <c r="J432" t="s">
        <v>5060</v>
      </c>
      <c r="K432" t="s">
        <v>74</v>
      </c>
      <c r="L432" t="s">
        <v>74</v>
      </c>
      <c r="M432" t="s">
        <v>78</v>
      </c>
      <c r="N432" t="s">
        <v>79</v>
      </c>
      <c r="O432" t="s">
        <v>74</v>
      </c>
      <c r="P432" t="s">
        <v>74</v>
      </c>
      <c r="Q432" t="s">
        <v>74</v>
      </c>
      <c r="R432" t="s">
        <v>74</v>
      </c>
      <c r="S432" t="s">
        <v>74</v>
      </c>
      <c r="T432" t="s">
        <v>8194</v>
      </c>
      <c r="U432" t="s">
        <v>8195</v>
      </c>
      <c r="V432" t="s">
        <v>8196</v>
      </c>
      <c r="W432" t="s">
        <v>8197</v>
      </c>
      <c r="X432" t="s">
        <v>8198</v>
      </c>
      <c r="Y432" t="s">
        <v>8199</v>
      </c>
      <c r="Z432" t="s">
        <v>8200</v>
      </c>
      <c r="AA432" t="s">
        <v>74</v>
      </c>
      <c r="AB432" t="s">
        <v>8201</v>
      </c>
      <c r="AC432" t="s">
        <v>8202</v>
      </c>
      <c r="AD432" t="s">
        <v>8203</v>
      </c>
      <c r="AE432" t="s">
        <v>8204</v>
      </c>
      <c r="AF432" t="s">
        <v>74</v>
      </c>
      <c r="AG432">
        <v>64</v>
      </c>
      <c r="AH432">
        <v>5</v>
      </c>
      <c r="AI432">
        <v>5</v>
      </c>
      <c r="AJ432">
        <v>0</v>
      </c>
      <c r="AK432">
        <v>38</v>
      </c>
      <c r="AL432" t="s">
        <v>4363</v>
      </c>
      <c r="AM432" t="s">
        <v>4364</v>
      </c>
      <c r="AN432" t="s">
        <v>4365</v>
      </c>
      <c r="AO432" t="s">
        <v>5073</v>
      </c>
      <c r="AP432" t="s">
        <v>5074</v>
      </c>
      <c r="AQ432" t="s">
        <v>74</v>
      </c>
      <c r="AR432" t="s">
        <v>5075</v>
      </c>
      <c r="AS432" t="s">
        <v>5076</v>
      </c>
      <c r="AT432" t="s">
        <v>74</v>
      </c>
      <c r="AU432">
        <v>2013</v>
      </c>
      <c r="AV432">
        <v>478</v>
      </c>
      <c r="AW432" t="s">
        <v>74</v>
      </c>
      <c r="AX432" t="s">
        <v>74</v>
      </c>
      <c r="AY432" t="s">
        <v>74</v>
      </c>
      <c r="AZ432" t="s">
        <v>74</v>
      </c>
      <c r="BA432" t="s">
        <v>74</v>
      </c>
      <c r="BB432">
        <v>287</v>
      </c>
      <c r="BC432" t="s">
        <v>99</v>
      </c>
      <c r="BD432" t="s">
        <v>74</v>
      </c>
      <c r="BE432" t="s">
        <v>8205</v>
      </c>
      <c r="BF432" t="str">
        <f>HYPERLINK("http://dx.doi.org/10.3354/meps10196","http://dx.doi.org/10.3354/meps10196")</f>
        <v>http://dx.doi.org/10.3354/meps10196</v>
      </c>
      <c r="BG432" t="s">
        <v>74</v>
      </c>
      <c r="BH432" t="s">
        <v>74</v>
      </c>
      <c r="BI432">
        <v>19</v>
      </c>
      <c r="BJ432" t="s">
        <v>5078</v>
      </c>
      <c r="BK432" t="s">
        <v>102</v>
      </c>
      <c r="BL432" t="s">
        <v>5079</v>
      </c>
      <c r="BM432" t="s">
        <v>8206</v>
      </c>
      <c r="BN432" t="s">
        <v>74</v>
      </c>
      <c r="BO432" t="s">
        <v>1427</v>
      </c>
      <c r="BP432" t="s">
        <v>74</v>
      </c>
      <c r="BQ432" t="s">
        <v>74</v>
      </c>
      <c r="BR432" t="s">
        <v>105</v>
      </c>
      <c r="BS432" t="s">
        <v>8207</v>
      </c>
      <c r="BT432" t="str">
        <f>HYPERLINK("https%3A%2F%2Fwww.webofscience.com%2Fwos%2Fwoscc%2Ffull-record%2FWOS:000316617800022","View Full Record in Web of Science")</f>
        <v>View Full Record in Web of Science</v>
      </c>
    </row>
    <row r="433" spans="1:72" x14ac:dyDescent="0.15">
      <c r="A433" t="s">
        <v>72</v>
      </c>
      <c r="B433" t="s">
        <v>8208</v>
      </c>
      <c r="C433" t="s">
        <v>74</v>
      </c>
      <c r="D433" t="s">
        <v>74</v>
      </c>
      <c r="E433" t="s">
        <v>74</v>
      </c>
      <c r="F433" t="s">
        <v>8209</v>
      </c>
      <c r="G433" t="s">
        <v>74</v>
      </c>
      <c r="H433" t="s">
        <v>74</v>
      </c>
      <c r="I433" t="s">
        <v>8210</v>
      </c>
      <c r="J433" t="s">
        <v>8211</v>
      </c>
      <c r="K433" t="s">
        <v>74</v>
      </c>
      <c r="L433" t="s">
        <v>74</v>
      </c>
      <c r="M433" t="s">
        <v>78</v>
      </c>
      <c r="N433" t="s">
        <v>79</v>
      </c>
      <c r="O433" t="s">
        <v>74</v>
      </c>
      <c r="P433" t="s">
        <v>74</v>
      </c>
      <c r="Q433" t="s">
        <v>74</v>
      </c>
      <c r="R433" t="s">
        <v>74</v>
      </c>
      <c r="S433" t="s">
        <v>74</v>
      </c>
      <c r="T433" t="s">
        <v>74</v>
      </c>
      <c r="U433" t="s">
        <v>8212</v>
      </c>
      <c r="V433" t="s">
        <v>8213</v>
      </c>
      <c r="W433" t="s">
        <v>8214</v>
      </c>
      <c r="X433" t="s">
        <v>8215</v>
      </c>
      <c r="Y433" t="s">
        <v>8216</v>
      </c>
      <c r="Z433" t="s">
        <v>74</v>
      </c>
      <c r="AA433" t="s">
        <v>74</v>
      </c>
      <c r="AB433" t="s">
        <v>8217</v>
      </c>
      <c r="AC433" t="s">
        <v>8218</v>
      </c>
      <c r="AD433" t="s">
        <v>8219</v>
      </c>
      <c r="AE433" t="s">
        <v>8220</v>
      </c>
      <c r="AF433" t="s">
        <v>74</v>
      </c>
      <c r="AG433">
        <v>77</v>
      </c>
      <c r="AH433">
        <v>5</v>
      </c>
      <c r="AI433">
        <v>5</v>
      </c>
      <c r="AJ433">
        <v>0</v>
      </c>
      <c r="AK433">
        <v>30</v>
      </c>
      <c r="AL433" t="s">
        <v>6321</v>
      </c>
      <c r="AM433" t="s">
        <v>2038</v>
      </c>
      <c r="AN433" t="s">
        <v>6322</v>
      </c>
      <c r="AO433" t="s">
        <v>8221</v>
      </c>
      <c r="AP433" t="s">
        <v>8222</v>
      </c>
      <c r="AQ433" t="s">
        <v>74</v>
      </c>
      <c r="AR433" t="s">
        <v>8223</v>
      </c>
      <c r="AS433" t="s">
        <v>8224</v>
      </c>
      <c r="AT433" t="s">
        <v>74</v>
      </c>
      <c r="AU433">
        <v>2013</v>
      </c>
      <c r="AV433">
        <v>15</v>
      </c>
      <c r="AW433">
        <v>17</v>
      </c>
      <c r="AX433" t="s">
        <v>74</v>
      </c>
      <c r="AY433" t="s">
        <v>74</v>
      </c>
      <c r="AZ433" t="s">
        <v>74</v>
      </c>
      <c r="BA433" t="s">
        <v>74</v>
      </c>
      <c r="BB433">
        <v>6355</v>
      </c>
      <c r="BC433">
        <v>6367</v>
      </c>
      <c r="BD433" t="s">
        <v>74</v>
      </c>
      <c r="BE433" t="s">
        <v>8225</v>
      </c>
      <c r="BF433" t="str">
        <f>HYPERLINK("http://dx.doi.org/10.1039/c3cp00139c","http://dx.doi.org/10.1039/c3cp00139c")</f>
        <v>http://dx.doi.org/10.1039/c3cp00139c</v>
      </c>
      <c r="BG433" t="s">
        <v>74</v>
      </c>
      <c r="BH433" t="s">
        <v>74</v>
      </c>
      <c r="BI433">
        <v>13</v>
      </c>
      <c r="BJ433" t="s">
        <v>8226</v>
      </c>
      <c r="BK433" t="s">
        <v>102</v>
      </c>
      <c r="BL433" t="s">
        <v>8227</v>
      </c>
      <c r="BM433" t="s">
        <v>8228</v>
      </c>
      <c r="BN433">
        <v>23525408</v>
      </c>
      <c r="BO433" t="s">
        <v>429</v>
      </c>
      <c r="BP433" t="s">
        <v>74</v>
      </c>
      <c r="BQ433" t="s">
        <v>74</v>
      </c>
      <c r="BR433" t="s">
        <v>105</v>
      </c>
      <c r="BS433" t="s">
        <v>8229</v>
      </c>
      <c r="BT433" t="str">
        <f>HYPERLINK("https%3A%2F%2Fwww.webofscience.com%2Fwos%2Fwoscc%2Ffull-record%2FWOS:000317012800027","View Full Record in Web of Science")</f>
        <v>View Full Record in Web of Science</v>
      </c>
    </row>
    <row r="434" spans="1:72" x14ac:dyDescent="0.15">
      <c r="A434" t="s">
        <v>72</v>
      </c>
      <c r="B434" t="s">
        <v>8230</v>
      </c>
      <c r="C434" t="s">
        <v>74</v>
      </c>
      <c r="D434" t="s">
        <v>74</v>
      </c>
      <c r="E434" t="s">
        <v>74</v>
      </c>
      <c r="F434" t="s">
        <v>8231</v>
      </c>
      <c r="G434" t="s">
        <v>74</v>
      </c>
      <c r="H434" t="s">
        <v>74</v>
      </c>
      <c r="I434" t="s">
        <v>8232</v>
      </c>
      <c r="J434" t="s">
        <v>8233</v>
      </c>
      <c r="K434" t="s">
        <v>74</v>
      </c>
      <c r="L434" t="s">
        <v>74</v>
      </c>
      <c r="M434" t="s">
        <v>78</v>
      </c>
      <c r="N434" t="s">
        <v>79</v>
      </c>
      <c r="O434" t="s">
        <v>74</v>
      </c>
      <c r="P434" t="s">
        <v>74</v>
      </c>
      <c r="Q434" t="s">
        <v>74</v>
      </c>
      <c r="R434" t="s">
        <v>74</v>
      </c>
      <c r="S434" t="s">
        <v>74</v>
      </c>
      <c r="T434" t="s">
        <v>8234</v>
      </c>
      <c r="U434" t="s">
        <v>8235</v>
      </c>
      <c r="V434" t="s">
        <v>8236</v>
      </c>
      <c r="W434" t="s">
        <v>8237</v>
      </c>
      <c r="X434" t="s">
        <v>8238</v>
      </c>
      <c r="Y434" t="s">
        <v>8239</v>
      </c>
      <c r="Z434" t="s">
        <v>8240</v>
      </c>
      <c r="AA434" t="s">
        <v>74</v>
      </c>
      <c r="AB434" t="s">
        <v>74</v>
      </c>
      <c r="AC434" t="s">
        <v>8241</v>
      </c>
      <c r="AD434" t="s">
        <v>8242</v>
      </c>
      <c r="AE434" t="s">
        <v>8243</v>
      </c>
      <c r="AF434" t="s">
        <v>74</v>
      </c>
      <c r="AG434">
        <v>39</v>
      </c>
      <c r="AH434">
        <v>10</v>
      </c>
      <c r="AI434">
        <v>10</v>
      </c>
      <c r="AJ434">
        <v>0</v>
      </c>
      <c r="AK434">
        <v>16</v>
      </c>
      <c r="AL434" t="s">
        <v>257</v>
      </c>
      <c r="AM434" t="s">
        <v>215</v>
      </c>
      <c r="AN434" t="s">
        <v>216</v>
      </c>
      <c r="AO434" t="s">
        <v>8244</v>
      </c>
      <c r="AP434" t="s">
        <v>8245</v>
      </c>
      <c r="AQ434" t="s">
        <v>74</v>
      </c>
      <c r="AR434" t="s">
        <v>8246</v>
      </c>
      <c r="AS434" t="s">
        <v>8247</v>
      </c>
      <c r="AT434" t="s">
        <v>5170</v>
      </c>
      <c r="AU434">
        <v>2013</v>
      </c>
      <c r="AV434">
        <v>139</v>
      </c>
      <c r="AW434">
        <v>671</v>
      </c>
      <c r="AX434" t="s">
        <v>3251</v>
      </c>
      <c r="AY434" t="s">
        <v>74</v>
      </c>
      <c r="AZ434" t="s">
        <v>221</v>
      </c>
      <c r="BA434" t="s">
        <v>74</v>
      </c>
      <c r="BB434">
        <v>451</v>
      </c>
      <c r="BC434">
        <v>466</v>
      </c>
      <c r="BD434" t="s">
        <v>74</v>
      </c>
      <c r="BE434" t="s">
        <v>8248</v>
      </c>
      <c r="BF434" t="str">
        <f>HYPERLINK("http://dx.doi.org/10.1002/qj.1983","http://dx.doi.org/10.1002/qj.1983")</f>
        <v>http://dx.doi.org/10.1002/qj.1983</v>
      </c>
      <c r="BG434" t="s">
        <v>74</v>
      </c>
      <c r="BH434" t="s">
        <v>74</v>
      </c>
      <c r="BI434">
        <v>16</v>
      </c>
      <c r="BJ434" t="s">
        <v>101</v>
      </c>
      <c r="BK434" t="s">
        <v>102</v>
      </c>
      <c r="BL434" t="s">
        <v>101</v>
      </c>
      <c r="BM434" t="s">
        <v>8249</v>
      </c>
      <c r="BN434" t="s">
        <v>74</v>
      </c>
      <c r="BO434" t="s">
        <v>429</v>
      </c>
      <c r="BP434" t="s">
        <v>74</v>
      </c>
      <c r="BQ434" t="s">
        <v>74</v>
      </c>
      <c r="BR434" t="s">
        <v>105</v>
      </c>
      <c r="BS434" t="s">
        <v>8250</v>
      </c>
      <c r="BT434" t="str">
        <f>HYPERLINK("https%3A%2F%2Fwww.webofscience.com%2Fwos%2Fwoscc%2Ffull-record%2FWOS:000316623700016","View Full Record in Web of Science")</f>
        <v>View Full Record in Web of Science</v>
      </c>
    </row>
    <row r="435" spans="1:72" x14ac:dyDescent="0.15">
      <c r="A435" t="s">
        <v>72</v>
      </c>
      <c r="B435" t="s">
        <v>8251</v>
      </c>
      <c r="C435" t="s">
        <v>74</v>
      </c>
      <c r="D435" t="s">
        <v>74</v>
      </c>
      <c r="E435" t="s">
        <v>74</v>
      </c>
      <c r="F435" t="s">
        <v>8252</v>
      </c>
      <c r="G435" t="s">
        <v>74</v>
      </c>
      <c r="H435" t="s">
        <v>74</v>
      </c>
      <c r="I435" t="s">
        <v>8253</v>
      </c>
      <c r="J435" t="s">
        <v>4352</v>
      </c>
      <c r="K435" t="s">
        <v>74</v>
      </c>
      <c r="L435" t="s">
        <v>74</v>
      </c>
      <c r="M435" t="s">
        <v>78</v>
      </c>
      <c r="N435" t="s">
        <v>79</v>
      </c>
      <c r="O435" t="s">
        <v>74</v>
      </c>
      <c r="P435" t="s">
        <v>74</v>
      </c>
      <c r="Q435" t="s">
        <v>74</v>
      </c>
      <c r="R435" t="s">
        <v>74</v>
      </c>
      <c r="S435" t="s">
        <v>74</v>
      </c>
      <c r="T435" t="s">
        <v>8254</v>
      </c>
      <c r="U435" t="s">
        <v>8255</v>
      </c>
      <c r="V435" t="s">
        <v>8256</v>
      </c>
      <c r="W435" t="s">
        <v>8257</v>
      </c>
      <c r="X435" t="s">
        <v>8258</v>
      </c>
      <c r="Y435" t="s">
        <v>8259</v>
      </c>
      <c r="Z435" t="s">
        <v>8260</v>
      </c>
      <c r="AA435" t="s">
        <v>8261</v>
      </c>
      <c r="AB435" t="s">
        <v>8262</v>
      </c>
      <c r="AC435" t="s">
        <v>8263</v>
      </c>
      <c r="AD435" t="s">
        <v>8264</v>
      </c>
      <c r="AE435" t="s">
        <v>8265</v>
      </c>
      <c r="AF435" t="s">
        <v>74</v>
      </c>
      <c r="AG435">
        <v>62</v>
      </c>
      <c r="AH435">
        <v>18</v>
      </c>
      <c r="AI435">
        <v>19</v>
      </c>
      <c r="AJ435">
        <v>0</v>
      </c>
      <c r="AK435">
        <v>82</v>
      </c>
      <c r="AL435" t="s">
        <v>4363</v>
      </c>
      <c r="AM435" t="s">
        <v>4364</v>
      </c>
      <c r="AN435" t="s">
        <v>4365</v>
      </c>
      <c r="AO435" t="s">
        <v>4366</v>
      </c>
      <c r="AP435" t="s">
        <v>4367</v>
      </c>
      <c r="AQ435" t="s">
        <v>74</v>
      </c>
      <c r="AR435" t="s">
        <v>4368</v>
      </c>
      <c r="AS435" t="s">
        <v>4369</v>
      </c>
      <c r="AT435" t="s">
        <v>74</v>
      </c>
      <c r="AU435">
        <v>2013</v>
      </c>
      <c r="AV435">
        <v>68</v>
      </c>
      <c r="AW435">
        <v>3</v>
      </c>
      <c r="AX435" t="s">
        <v>74</v>
      </c>
      <c r="AY435" t="s">
        <v>74</v>
      </c>
      <c r="AZ435" t="s">
        <v>74</v>
      </c>
      <c r="BA435" t="s">
        <v>74</v>
      </c>
      <c r="BB435">
        <v>185</v>
      </c>
      <c r="BC435">
        <v>194</v>
      </c>
      <c r="BD435" t="s">
        <v>74</v>
      </c>
      <c r="BE435" t="s">
        <v>8266</v>
      </c>
      <c r="BF435" t="str">
        <f>HYPERLINK("http://dx.doi.org/10.3354/ame01611","http://dx.doi.org/10.3354/ame01611")</f>
        <v>http://dx.doi.org/10.3354/ame01611</v>
      </c>
      <c r="BG435" t="s">
        <v>74</v>
      </c>
      <c r="BH435" t="s">
        <v>74</v>
      </c>
      <c r="BI435">
        <v>10</v>
      </c>
      <c r="BJ435" t="s">
        <v>4371</v>
      </c>
      <c r="BK435" t="s">
        <v>102</v>
      </c>
      <c r="BL435" t="s">
        <v>4372</v>
      </c>
      <c r="BM435" t="s">
        <v>8267</v>
      </c>
      <c r="BN435" t="s">
        <v>74</v>
      </c>
      <c r="BO435" t="s">
        <v>128</v>
      </c>
      <c r="BP435" t="s">
        <v>74</v>
      </c>
      <c r="BQ435" t="s">
        <v>74</v>
      </c>
      <c r="BR435" t="s">
        <v>105</v>
      </c>
      <c r="BS435" t="s">
        <v>8268</v>
      </c>
      <c r="BT435" t="str">
        <f>HYPERLINK("https%3A%2F%2Fwww.webofscience.com%2Fwos%2Fwoscc%2Ffull-record%2FWOS:000316361700001","View Full Record in Web of Science")</f>
        <v>View Full Record in Web of Science</v>
      </c>
    </row>
    <row r="436" spans="1:72" x14ac:dyDescent="0.15">
      <c r="A436" t="s">
        <v>72</v>
      </c>
      <c r="B436" t="s">
        <v>8269</v>
      </c>
      <c r="C436" t="s">
        <v>74</v>
      </c>
      <c r="D436" t="s">
        <v>74</v>
      </c>
      <c r="E436" t="s">
        <v>74</v>
      </c>
      <c r="F436" t="s">
        <v>8270</v>
      </c>
      <c r="G436" t="s">
        <v>74</v>
      </c>
      <c r="H436" t="s">
        <v>74</v>
      </c>
      <c r="I436" t="s">
        <v>8271</v>
      </c>
      <c r="J436" t="s">
        <v>8272</v>
      </c>
      <c r="K436" t="s">
        <v>74</v>
      </c>
      <c r="L436" t="s">
        <v>74</v>
      </c>
      <c r="M436" t="s">
        <v>78</v>
      </c>
      <c r="N436" t="s">
        <v>79</v>
      </c>
      <c r="O436" t="s">
        <v>74</v>
      </c>
      <c r="P436" t="s">
        <v>74</v>
      </c>
      <c r="Q436" t="s">
        <v>74</v>
      </c>
      <c r="R436" t="s">
        <v>74</v>
      </c>
      <c r="S436" t="s">
        <v>74</v>
      </c>
      <c r="T436" t="s">
        <v>8273</v>
      </c>
      <c r="U436" t="s">
        <v>8274</v>
      </c>
      <c r="V436" t="s">
        <v>8275</v>
      </c>
      <c r="W436" t="s">
        <v>8276</v>
      </c>
      <c r="X436" t="s">
        <v>8277</v>
      </c>
      <c r="Y436" t="s">
        <v>8278</v>
      </c>
      <c r="Z436" t="s">
        <v>8279</v>
      </c>
      <c r="AA436" t="s">
        <v>74</v>
      </c>
      <c r="AB436" t="s">
        <v>74</v>
      </c>
      <c r="AC436" t="s">
        <v>8280</v>
      </c>
      <c r="AD436" t="s">
        <v>8280</v>
      </c>
      <c r="AE436" t="s">
        <v>8281</v>
      </c>
      <c r="AF436" t="s">
        <v>74</v>
      </c>
      <c r="AG436">
        <v>58</v>
      </c>
      <c r="AH436">
        <v>10</v>
      </c>
      <c r="AI436">
        <v>10</v>
      </c>
      <c r="AJ436">
        <v>4</v>
      </c>
      <c r="AK436">
        <v>53</v>
      </c>
      <c r="AL436" t="s">
        <v>5541</v>
      </c>
      <c r="AM436" t="s">
        <v>5542</v>
      </c>
      <c r="AN436" t="s">
        <v>5543</v>
      </c>
      <c r="AO436" t="s">
        <v>8282</v>
      </c>
      <c r="AP436" t="s">
        <v>8283</v>
      </c>
      <c r="AQ436" t="s">
        <v>74</v>
      </c>
      <c r="AR436" t="s">
        <v>8284</v>
      </c>
      <c r="AS436" t="s">
        <v>8285</v>
      </c>
      <c r="AT436" t="s">
        <v>74</v>
      </c>
      <c r="AU436">
        <v>2013</v>
      </c>
      <c r="AV436">
        <v>35</v>
      </c>
      <c r="AW436">
        <v>1</v>
      </c>
      <c r="AX436" t="s">
        <v>74</v>
      </c>
      <c r="AY436" t="s">
        <v>74</v>
      </c>
      <c r="AZ436" t="s">
        <v>74</v>
      </c>
      <c r="BA436" t="s">
        <v>74</v>
      </c>
      <c r="BB436">
        <v>93</v>
      </c>
      <c r="BC436">
        <v>100</v>
      </c>
      <c r="BD436" t="s">
        <v>74</v>
      </c>
      <c r="BE436" t="s">
        <v>8286</v>
      </c>
      <c r="BF436" t="str">
        <f>HYPERLINK("http://dx.doi.org/10.1071/AM12037","http://dx.doi.org/10.1071/AM12037")</f>
        <v>http://dx.doi.org/10.1071/AM12037</v>
      </c>
      <c r="BG436" t="s">
        <v>74</v>
      </c>
      <c r="BH436" t="s">
        <v>74</v>
      </c>
      <c r="BI436">
        <v>8</v>
      </c>
      <c r="BJ436" t="s">
        <v>3023</v>
      </c>
      <c r="BK436" t="s">
        <v>102</v>
      </c>
      <c r="BL436" t="s">
        <v>3023</v>
      </c>
      <c r="BM436" t="s">
        <v>8287</v>
      </c>
      <c r="BN436" t="s">
        <v>74</v>
      </c>
      <c r="BO436" t="s">
        <v>74</v>
      </c>
      <c r="BP436" t="s">
        <v>74</v>
      </c>
      <c r="BQ436" t="s">
        <v>74</v>
      </c>
      <c r="BR436" t="s">
        <v>105</v>
      </c>
      <c r="BS436" t="s">
        <v>8288</v>
      </c>
      <c r="BT436" t="str">
        <f>HYPERLINK("https%3A%2F%2Fwww.webofscience.com%2Fwos%2Fwoscc%2Ffull-record%2FWOS:000316247100012","View Full Record in Web of Science")</f>
        <v>View Full Record in Web of Science</v>
      </c>
    </row>
    <row r="437" spans="1:72" x14ac:dyDescent="0.15">
      <c r="A437" t="s">
        <v>72</v>
      </c>
      <c r="B437" t="s">
        <v>8289</v>
      </c>
      <c r="C437" t="s">
        <v>74</v>
      </c>
      <c r="D437" t="s">
        <v>74</v>
      </c>
      <c r="E437" t="s">
        <v>74</v>
      </c>
      <c r="F437" t="s">
        <v>8290</v>
      </c>
      <c r="G437" t="s">
        <v>74</v>
      </c>
      <c r="H437" t="s">
        <v>74</v>
      </c>
      <c r="I437" t="s">
        <v>8291</v>
      </c>
      <c r="J437" t="s">
        <v>8292</v>
      </c>
      <c r="K437" t="s">
        <v>74</v>
      </c>
      <c r="L437" t="s">
        <v>74</v>
      </c>
      <c r="M437" t="s">
        <v>78</v>
      </c>
      <c r="N437" t="s">
        <v>79</v>
      </c>
      <c r="O437" t="s">
        <v>74</v>
      </c>
      <c r="P437" t="s">
        <v>74</v>
      </c>
      <c r="Q437" t="s">
        <v>74</v>
      </c>
      <c r="R437" t="s">
        <v>74</v>
      </c>
      <c r="S437" t="s">
        <v>74</v>
      </c>
      <c r="T437" t="s">
        <v>8293</v>
      </c>
      <c r="U437" t="s">
        <v>8294</v>
      </c>
      <c r="V437" t="s">
        <v>8295</v>
      </c>
      <c r="W437" t="s">
        <v>8296</v>
      </c>
      <c r="X437" t="s">
        <v>8297</v>
      </c>
      <c r="Y437" t="s">
        <v>8298</v>
      </c>
      <c r="Z437" t="s">
        <v>8299</v>
      </c>
      <c r="AA437" t="s">
        <v>8300</v>
      </c>
      <c r="AB437" t="s">
        <v>8301</v>
      </c>
      <c r="AC437" t="s">
        <v>8302</v>
      </c>
      <c r="AD437" t="s">
        <v>8303</v>
      </c>
      <c r="AE437" t="s">
        <v>8304</v>
      </c>
      <c r="AF437" t="s">
        <v>74</v>
      </c>
      <c r="AG437">
        <v>26</v>
      </c>
      <c r="AH437">
        <v>8</v>
      </c>
      <c r="AI437">
        <v>9</v>
      </c>
      <c r="AJ437">
        <v>0</v>
      </c>
      <c r="AK437">
        <v>44</v>
      </c>
      <c r="AL437" t="s">
        <v>1343</v>
      </c>
      <c r="AM437" t="s">
        <v>1344</v>
      </c>
      <c r="AN437" t="s">
        <v>8305</v>
      </c>
      <c r="AO437" t="s">
        <v>8306</v>
      </c>
      <c r="AP437" t="s">
        <v>8307</v>
      </c>
      <c r="AQ437" t="s">
        <v>74</v>
      </c>
      <c r="AR437" t="s">
        <v>8308</v>
      </c>
      <c r="AS437" t="s">
        <v>8309</v>
      </c>
      <c r="AT437" t="s">
        <v>5170</v>
      </c>
      <c r="AU437">
        <v>2013</v>
      </c>
      <c r="AV437">
        <v>77</v>
      </c>
      <c r="AW437">
        <v>1</v>
      </c>
      <c r="AX437" t="s">
        <v>74</v>
      </c>
      <c r="AY437" t="s">
        <v>74</v>
      </c>
      <c r="AZ437" t="s">
        <v>74</v>
      </c>
      <c r="BA437" t="s">
        <v>74</v>
      </c>
      <c r="BB437">
        <v>17</v>
      </c>
      <c r="BC437">
        <v>21</v>
      </c>
      <c r="BD437" t="s">
        <v>74</v>
      </c>
      <c r="BE437" t="s">
        <v>8310</v>
      </c>
      <c r="BF437" t="str">
        <f>HYPERLINK("http://dx.doi.org/10.1271/bbb.120104","http://dx.doi.org/10.1271/bbb.120104")</f>
        <v>http://dx.doi.org/10.1271/bbb.120104</v>
      </c>
      <c r="BG437" t="s">
        <v>74</v>
      </c>
      <c r="BH437" t="s">
        <v>74</v>
      </c>
      <c r="BI437">
        <v>5</v>
      </c>
      <c r="BJ437" t="s">
        <v>8311</v>
      </c>
      <c r="BK437" t="s">
        <v>102</v>
      </c>
      <c r="BL437" t="s">
        <v>8312</v>
      </c>
      <c r="BM437" t="s">
        <v>8313</v>
      </c>
      <c r="BN437">
        <v>23291744</v>
      </c>
      <c r="BO437" t="s">
        <v>74</v>
      </c>
      <c r="BP437" t="s">
        <v>74</v>
      </c>
      <c r="BQ437" t="s">
        <v>74</v>
      </c>
      <c r="BR437" t="s">
        <v>105</v>
      </c>
      <c r="BS437" t="s">
        <v>8314</v>
      </c>
      <c r="BT437" t="str">
        <f>HYPERLINK("https%3A%2F%2Fwww.webofscience.com%2Fwos%2Fwoscc%2Ffull-record%2FWOS:000316164800003","View Full Record in Web of Science")</f>
        <v>View Full Record in Web of Science</v>
      </c>
    </row>
    <row r="438" spans="1:72" x14ac:dyDescent="0.15">
      <c r="A438" t="s">
        <v>72</v>
      </c>
      <c r="B438" t="s">
        <v>8315</v>
      </c>
      <c r="C438" t="s">
        <v>74</v>
      </c>
      <c r="D438" t="s">
        <v>74</v>
      </c>
      <c r="E438" t="s">
        <v>74</v>
      </c>
      <c r="F438" t="s">
        <v>8316</v>
      </c>
      <c r="G438" t="s">
        <v>74</v>
      </c>
      <c r="H438" t="s">
        <v>74</v>
      </c>
      <c r="I438" t="s">
        <v>8317</v>
      </c>
      <c r="J438" t="s">
        <v>8318</v>
      </c>
      <c r="K438" t="s">
        <v>74</v>
      </c>
      <c r="L438" t="s">
        <v>74</v>
      </c>
      <c r="M438" t="s">
        <v>78</v>
      </c>
      <c r="N438" t="s">
        <v>79</v>
      </c>
      <c r="O438" t="s">
        <v>74</v>
      </c>
      <c r="P438" t="s">
        <v>74</v>
      </c>
      <c r="Q438" t="s">
        <v>74</v>
      </c>
      <c r="R438" t="s">
        <v>74</v>
      </c>
      <c r="S438" t="s">
        <v>74</v>
      </c>
      <c r="T438" t="s">
        <v>74</v>
      </c>
      <c r="U438" t="s">
        <v>8319</v>
      </c>
      <c r="V438" t="s">
        <v>8320</v>
      </c>
      <c r="W438" t="s">
        <v>8321</v>
      </c>
      <c r="X438" t="s">
        <v>8322</v>
      </c>
      <c r="Y438" t="s">
        <v>8323</v>
      </c>
      <c r="Z438" t="s">
        <v>8324</v>
      </c>
      <c r="AA438" t="s">
        <v>74</v>
      </c>
      <c r="AB438" t="s">
        <v>8325</v>
      </c>
      <c r="AC438" t="s">
        <v>8326</v>
      </c>
      <c r="AD438" t="s">
        <v>8327</v>
      </c>
      <c r="AE438" t="s">
        <v>8328</v>
      </c>
      <c r="AF438" t="s">
        <v>74</v>
      </c>
      <c r="AG438">
        <v>94</v>
      </c>
      <c r="AH438">
        <v>50</v>
      </c>
      <c r="AI438">
        <v>52</v>
      </c>
      <c r="AJ438">
        <v>0</v>
      </c>
      <c r="AK438">
        <v>23</v>
      </c>
      <c r="AL438" t="s">
        <v>257</v>
      </c>
      <c r="AM438" t="s">
        <v>215</v>
      </c>
      <c r="AN438" t="s">
        <v>216</v>
      </c>
      <c r="AO438" t="s">
        <v>8329</v>
      </c>
      <c r="AP438" t="s">
        <v>8330</v>
      </c>
      <c r="AQ438" t="s">
        <v>74</v>
      </c>
      <c r="AR438" t="s">
        <v>8318</v>
      </c>
      <c r="AS438" t="s">
        <v>8331</v>
      </c>
      <c r="AT438" t="s">
        <v>5170</v>
      </c>
      <c r="AU438">
        <v>2013</v>
      </c>
      <c r="AV438">
        <v>42</v>
      </c>
      <c r="AW438">
        <v>1</v>
      </c>
      <c r="AX438" t="s">
        <v>74</v>
      </c>
      <c r="AY438" t="s">
        <v>74</v>
      </c>
      <c r="AZ438" t="s">
        <v>74</v>
      </c>
      <c r="BA438" t="s">
        <v>74</v>
      </c>
      <c r="BB438">
        <v>84</v>
      </c>
      <c r="BC438">
        <v>107</v>
      </c>
      <c r="BD438" t="s">
        <v>74</v>
      </c>
      <c r="BE438" t="s">
        <v>8332</v>
      </c>
      <c r="BF438" t="str">
        <f>HYPERLINK("http://dx.doi.org/10.1111/j.1502-3885.2012.00273.x","http://dx.doi.org/10.1111/j.1502-3885.2012.00273.x")</f>
        <v>http://dx.doi.org/10.1111/j.1502-3885.2012.00273.x</v>
      </c>
      <c r="BG438" t="s">
        <v>74</v>
      </c>
      <c r="BH438" t="s">
        <v>74</v>
      </c>
      <c r="BI438">
        <v>24</v>
      </c>
      <c r="BJ438" t="s">
        <v>2261</v>
      </c>
      <c r="BK438" t="s">
        <v>102</v>
      </c>
      <c r="BL438" t="s">
        <v>2262</v>
      </c>
      <c r="BM438" t="s">
        <v>8333</v>
      </c>
      <c r="BN438" t="s">
        <v>74</v>
      </c>
      <c r="BO438" t="s">
        <v>74</v>
      </c>
      <c r="BP438" t="s">
        <v>74</v>
      </c>
      <c r="BQ438" t="s">
        <v>74</v>
      </c>
      <c r="BR438" t="s">
        <v>105</v>
      </c>
      <c r="BS438" t="s">
        <v>8334</v>
      </c>
      <c r="BT438" t="str">
        <f>HYPERLINK("https%3A%2F%2Fwww.webofscience.com%2Fwos%2Fwoscc%2Ffull-record%2FWOS:000316342600006","View Full Record in Web of Science")</f>
        <v>View Full Record in Web of Science</v>
      </c>
    </row>
    <row r="439" spans="1:72" x14ac:dyDescent="0.15">
      <c r="A439" t="s">
        <v>72</v>
      </c>
      <c r="B439" t="s">
        <v>8335</v>
      </c>
      <c r="C439" t="s">
        <v>74</v>
      </c>
      <c r="D439" t="s">
        <v>74</v>
      </c>
      <c r="E439" t="s">
        <v>74</v>
      </c>
      <c r="F439" t="s">
        <v>8336</v>
      </c>
      <c r="G439" t="s">
        <v>74</v>
      </c>
      <c r="H439" t="s">
        <v>74</v>
      </c>
      <c r="I439" t="s">
        <v>8337</v>
      </c>
      <c r="J439" t="s">
        <v>4659</v>
      </c>
      <c r="K439" t="s">
        <v>74</v>
      </c>
      <c r="L439" t="s">
        <v>74</v>
      </c>
      <c r="M439" t="s">
        <v>78</v>
      </c>
      <c r="N439" t="s">
        <v>79</v>
      </c>
      <c r="O439" t="s">
        <v>74</v>
      </c>
      <c r="P439" t="s">
        <v>74</v>
      </c>
      <c r="Q439" t="s">
        <v>74</v>
      </c>
      <c r="R439" t="s">
        <v>74</v>
      </c>
      <c r="S439" t="s">
        <v>74</v>
      </c>
      <c r="T439" t="s">
        <v>8338</v>
      </c>
      <c r="U439" t="s">
        <v>8339</v>
      </c>
      <c r="V439" t="s">
        <v>8340</v>
      </c>
      <c r="W439" t="s">
        <v>8341</v>
      </c>
      <c r="X439" t="s">
        <v>8342</v>
      </c>
      <c r="Y439" t="s">
        <v>8343</v>
      </c>
      <c r="Z439" t="s">
        <v>8344</v>
      </c>
      <c r="AA439" t="s">
        <v>74</v>
      </c>
      <c r="AB439" t="s">
        <v>74</v>
      </c>
      <c r="AC439" t="s">
        <v>8345</v>
      </c>
      <c r="AD439" t="s">
        <v>8346</v>
      </c>
      <c r="AE439" t="s">
        <v>8347</v>
      </c>
      <c r="AF439" t="s">
        <v>74</v>
      </c>
      <c r="AG439">
        <v>15</v>
      </c>
      <c r="AH439">
        <v>5</v>
      </c>
      <c r="AI439">
        <v>5</v>
      </c>
      <c r="AJ439">
        <v>0</v>
      </c>
      <c r="AK439">
        <v>17</v>
      </c>
      <c r="AL439" t="s">
        <v>8348</v>
      </c>
      <c r="AM439" t="s">
        <v>5988</v>
      </c>
      <c r="AN439" t="s">
        <v>8349</v>
      </c>
      <c r="AO439" t="s">
        <v>8350</v>
      </c>
      <c r="AP439" t="s">
        <v>74</v>
      </c>
      <c r="AQ439" t="s">
        <v>74</v>
      </c>
      <c r="AR439" t="s">
        <v>4674</v>
      </c>
      <c r="AS439" t="s">
        <v>4675</v>
      </c>
      <c r="AT439" t="s">
        <v>74</v>
      </c>
      <c r="AU439">
        <v>2013</v>
      </c>
      <c r="AV439">
        <v>65</v>
      </c>
      <c r="AW439">
        <v>2</v>
      </c>
      <c r="AX439" t="s">
        <v>74</v>
      </c>
      <c r="AY439" t="s">
        <v>74</v>
      </c>
      <c r="AZ439" t="s">
        <v>74</v>
      </c>
      <c r="BA439" t="s">
        <v>74</v>
      </c>
      <c r="BB439">
        <v>103</v>
      </c>
      <c r="BC439">
        <v>108</v>
      </c>
      <c r="BD439" t="s">
        <v>74</v>
      </c>
      <c r="BE439" t="s">
        <v>8351</v>
      </c>
      <c r="BF439" t="str">
        <f>HYPERLINK("http://dx.doi.org/10.5047/eps.2012.06.011","http://dx.doi.org/10.5047/eps.2012.06.011")</f>
        <v>http://dx.doi.org/10.5047/eps.2012.06.011</v>
      </c>
      <c r="BG439" t="s">
        <v>74</v>
      </c>
      <c r="BH439" t="s">
        <v>74</v>
      </c>
      <c r="BI439">
        <v>6</v>
      </c>
      <c r="BJ439" t="s">
        <v>1604</v>
      </c>
      <c r="BK439" t="s">
        <v>102</v>
      </c>
      <c r="BL439" t="s">
        <v>1605</v>
      </c>
      <c r="BM439" t="s">
        <v>8352</v>
      </c>
      <c r="BN439" t="s">
        <v>74</v>
      </c>
      <c r="BO439" t="s">
        <v>104</v>
      </c>
      <c r="BP439" t="s">
        <v>74</v>
      </c>
      <c r="BQ439" t="s">
        <v>74</v>
      </c>
      <c r="BR439" t="s">
        <v>105</v>
      </c>
      <c r="BS439" t="s">
        <v>8353</v>
      </c>
      <c r="BT439" t="str">
        <f>HYPERLINK("https%3A%2F%2Fwww.webofscience.com%2Fwos%2Fwoscc%2Ffull-record%2FWOS:000316339700006","View Full Record in Web of Science")</f>
        <v>View Full Record in Web of Science</v>
      </c>
    </row>
    <row r="440" spans="1:72" x14ac:dyDescent="0.15">
      <c r="A440" t="s">
        <v>72</v>
      </c>
      <c r="B440" t="s">
        <v>8354</v>
      </c>
      <c r="C440" t="s">
        <v>74</v>
      </c>
      <c r="D440" t="s">
        <v>74</v>
      </c>
      <c r="E440" t="s">
        <v>74</v>
      </c>
      <c r="F440" t="s">
        <v>8355</v>
      </c>
      <c r="G440" t="s">
        <v>74</v>
      </c>
      <c r="H440" t="s">
        <v>74</v>
      </c>
      <c r="I440" t="s">
        <v>8356</v>
      </c>
      <c r="J440" t="s">
        <v>1860</v>
      </c>
      <c r="K440" t="s">
        <v>74</v>
      </c>
      <c r="L440" t="s">
        <v>74</v>
      </c>
      <c r="M440" t="s">
        <v>78</v>
      </c>
      <c r="N440" t="s">
        <v>79</v>
      </c>
      <c r="O440" t="s">
        <v>74</v>
      </c>
      <c r="P440" t="s">
        <v>74</v>
      </c>
      <c r="Q440" t="s">
        <v>74</v>
      </c>
      <c r="R440" t="s">
        <v>74</v>
      </c>
      <c r="S440" t="s">
        <v>74</v>
      </c>
      <c r="T440" t="s">
        <v>74</v>
      </c>
      <c r="U440" t="s">
        <v>8357</v>
      </c>
      <c r="V440" t="s">
        <v>8358</v>
      </c>
      <c r="W440" t="s">
        <v>8359</v>
      </c>
      <c r="X440" t="s">
        <v>8360</v>
      </c>
      <c r="Y440" t="s">
        <v>8361</v>
      </c>
      <c r="Z440" t="s">
        <v>8362</v>
      </c>
      <c r="AA440" t="s">
        <v>8363</v>
      </c>
      <c r="AB440" t="s">
        <v>8364</v>
      </c>
      <c r="AC440" t="s">
        <v>8365</v>
      </c>
      <c r="AD440" t="s">
        <v>8366</v>
      </c>
      <c r="AE440" t="s">
        <v>8367</v>
      </c>
      <c r="AF440" t="s">
        <v>74</v>
      </c>
      <c r="AG440">
        <v>38</v>
      </c>
      <c r="AH440">
        <v>11</v>
      </c>
      <c r="AI440">
        <v>12</v>
      </c>
      <c r="AJ440">
        <v>0</v>
      </c>
      <c r="AK440">
        <v>5</v>
      </c>
      <c r="AL440" t="s">
        <v>1872</v>
      </c>
      <c r="AM440" t="s">
        <v>474</v>
      </c>
      <c r="AN440" t="s">
        <v>2131</v>
      </c>
      <c r="AO440" t="s">
        <v>1874</v>
      </c>
      <c r="AP440" t="s">
        <v>1875</v>
      </c>
      <c r="AQ440" t="s">
        <v>74</v>
      </c>
      <c r="AR440" t="s">
        <v>1876</v>
      </c>
      <c r="AS440" t="s">
        <v>1877</v>
      </c>
      <c r="AT440" t="s">
        <v>5170</v>
      </c>
      <c r="AU440">
        <v>2013</v>
      </c>
      <c r="AV440">
        <v>63</v>
      </c>
      <c r="AW440" t="s">
        <v>74</v>
      </c>
      <c r="AX440">
        <v>1</v>
      </c>
      <c r="AY440" t="s">
        <v>74</v>
      </c>
      <c r="AZ440" t="s">
        <v>74</v>
      </c>
      <c r="BA440" t="s">
        <v>74</v>
      </c>
      <c r="BB440">
        <v>241</v>
      </c>
      <c r="BC440">
        <v>248</v>
      </c>
      <c r="BD440" t="s">
        <v>74</v>
      </c>
      <c r="BE440" t="s">
        <v>8368</v>
      </c>
      <c r="BF440" t="str">
        <f>HYPERLINK("http://dx.doi.org/10.1099/ijs.0.038232-0","http://dx.doi.org/10.1099/ijs.0.038232-0")</f>
        <v>http://dx.doi.org/10.1099/ijs.0.038232-0</v>
      </c>
      <c r="BG440" t="s">
        <v>74</v>
      </c>
      <c r="BH440" t="s">
        <v>74</v>
      </c>
      <c r="BI440">
        <v>8</v>
      </c>
      <c r="BJ440" t="s">
        <v>1139</v>
      </c>
      <c r="BK440" t="s">
        <v>102</v>
      </c>
      <c r="BL440" t="s">
        <v>1139</v>
      </c>
      <c r="BM440" t="s">
        <v>8369</v>
      </c>
      <c r="BN440">
        <v>22389286</v>
      </c>
      <c r="BO440" t="s">
        <v>74</v>
      </c>
      <c r="BP440" t="s">
        <v>74</v>
      </c>
      <c r="BQ440" t="s">
        <v>74</v>
      </c>
      <c r="BR440" t="s">
        <v>105</v>
      </c>
      <c r="BS440" t="s">
        <v>8370</v>
      </c>
      <c r="BT440" t="str">
        <f>HYPERLINK("https%3A%2F%2Fwww.webofscience.com%2Fwos%2Fwoscc%2Ffull-record%2FWOS:000315829700039","View Full Record in Web of Science")</f>
        <v>View Full Record in Web of Science</v>
      </c>
    </row>
    <row r="441" spans="1:72" x14ac:dyDescent="0.15">
      <c r="A441" t="s">
        <v>72</v>
      </c>
      <c r="B441" t="s">
        <v>8371</v>
      </c>
      <c r="C441" t="s">
        <v>74</v>
      </c>
      <c r="D441" t="s">
        <v>74</v>
      </c>
      <c r="E441" t="s">
        <v>74</v>
      </c>
      <c r="F441" t="s">
        <v>8372</v>
      </c>
      <c r="G441" t="s">
        <v>74</v>
      </c>
      <c r="H441" t="s">
        <v>74</v>
      </c>
      <c r="I441" t="s">
        <v>8373</v>
      </c>
      <c r="J441" t="s">
        <v>4814</v>
      </c>
      <c r="K441" t="s">
        <v>74</v>
      </c>
      <c r="L441" t="s">
        <v>74</v>
      </c>
      <c r="M441" t="s">
        <v>78</v>
      </c>
      <c r="N441" t="s">
        <v>79</v>
      </c>
      <c r="O441" t="s">
        <v>74</v>
      </c>
      <c r="P441" t="s">
        <v>74</v>
      </c>
      <c r="Q441" t="s">
        <v>74</v>
      </c>
      <c r="R441" t="s">
        <v>74</v>
      </c>
      <c r="S441" t="s">
        <v>74</v>
      </c>
      <c r="T441" t="s">
        <v>8374</v>
      </c>
      <c r="U441" t="s">
        <v>8375</v>
      </c>
      <c r="V441" t="s">
        <v>8376</v>
      </c>
      <c r="W441" t="s">
        <v>8377</v>
      </c>
      <c r="X441" t="s">
        <v>8378</v>
      </c>
      <c r="Y441" t="s">
        <v>8379</v>
      </c>
      <c r="Z441" t="s">
        <v>8380</v>
      </c>
      <c r="AA441" t="s">
        <v>8381</v>
      </c>
      <c r="AB441" t="s">
        <v>8382</v>
      </c>
      <c r="AC441" t="s">
        <v>5773</v>
      </c>
      <c r="AD441" t="s">
        <v>5774</v>
      </c>
      <c r="AE441" t="s">
        <v>5775</v>
      </c>
      <c r="AF441" t="s">
        <v>74</v>
      </c>
      <c r="AG441">
        <v>68</v>
      </c>
      <c r="AH441">
        <v>24</v>
      </c>
      <c r="AI441">
        <v>24</v>
      </c>
      <c r="AJ441">
        <v>0</v>
      </c>
      <c r="AK441">
        <v>26</v>
      </c>
      <c r="AL441" t="s">
        <v>4827</v>
      </c>
      <c r="AM441" t="s">
        <v>4828</v>
      </c>
      <c r="AN441" t="s">
        <v>4829</v>
      </c>
      <c r="AO441" t="s">
        <v>4830</v>
      </c>
      <c r="AP441" t="s">
        <v>4831</v>
      </c>
      <c r="AQ441" t="s">
        <v>74</v>
      </c>
      <c r="AR441" t="s">
        <v>4832</v>
      </c>
      <c r="AS441" t="s">
        <v>4833</v>
      </c>
      <c r="AT441" t="s">
        <v>74</v>
      </c>
      <c r="AU441">
        <v>2013</v>
      </c>
      <c r="AV441">
        <v>34</v>
      </c>
      <c r="AW441">
        <v>1</v>
      </c>
      <c r="AX441" t="s">
        <v>74</v>
      </c>
      <c r="AY441" t="s">
        <v>74</v>
      </c>
      <c r="AZ441" t="s">
        <v>74</v>
      </c>
      <c r="BA441" t="s">
        <v>74</v>
      </c>
      <c r="BB441">
        <v>55</v>
      </c>
      <c r="BC441">
        <v>66</v>
      </c>
      <c r="BD441" t="s">
        <v>74</v>
      </c>
      <c r="BE441" t="s">
        <v>8383</v>
      </c>
      <c r="BF441" t="str">
        <f>HYPERLINK("http://dx.doi.org/10.2478/popore-2013-0005","http://dx.doi.org/10.2478/popore-2013-0005")</f>
        <v>http://dx.doi.org/10.2478/popore-2013-0005</v>
      </c>
      <c r="BG441" t="s">
        <v>74</v>
      </c>
      <c r="BH441" t="s">
        <v>74</v>
      </c>
      <c r="BI441">
        <v>12</v>
      </c>
      <c r="BJ441" t="s">
        <v>4835</v>
      </c>
      <c r="BK441" t="s">
        <v>102</v>
      </c>
      <c r="BL441" t="s">
        <v>4836</v>
      </c>
      <c r="BM441" t="s">
        <v>8384</v>
      </c>
      <c r="BN441" t="s">
        <v>74</v>
      </c>
      <c r="BO441" t="s">
        <v>155</v>
      </c>
      <c r="BP441" t="s">
        <v>74</v>
      </c>
      <c r="BQ441" t="s">
        <v>74</v>
      </c>
      <c r="BR441" t="s">
        <v>105</v>
      </c>
      <c r="BS441" t="s">
        <v>8385</v>
      </c>
      <c r="BT441" t="str">
        <f>HYPERLINK("https%3A%2F%2Fwww.webofscience.com%2Fwos%2Fwoscc%2Ffull-record%2FWOS:000316170800004","View Full Record in Web of Science")</f>
        <v>View Full Record in Web of Science</v>
      </c>
    </row>
    <row r="442" spans="1:72" x14ac:dyDescent="0.15">
      <c r="A442" t="s">
        <v>72</v>
      </c>
      <c r="B442" t="s">
        <v>8386</v>
      </c>
      <c r="C442" t="s">
        <v>74</v>
      </c>
      <c r="D442" t="s">
        <v>74</v>
      </c>
      <c r="E442" t="s">
        <v>74</v>
      </c>
      <c r="F442" t="s">
        <v>8387</v>
      </c>
      <c r="G442" t="s">
        <v>74</v>
      </c>
      <c r="H442" t="s">
        <v>74</v>
      </c>
      <c r="I442" t="s">
        <v>8388</v>
      </c>
      <c r="J442" t="s">
        <v>4814</v>
      </c>
      <c r="K442" t="s">
        <v>74</v>
      </c>
      <c r="L442" t="s">
        <v>74</v>
      </c>
      <c r="M442" t="s">
        <v>78</v>
      </c>
      <c r="N442" t="s">
        <v>79</v>
      </c>
      <c r="O442" t="s">
        <v>74</v>
      </c>
      <c r="P442" t="s">
        <v>74</v>
      </c>
      <c r="Q442" t="s">
        <v>74</v>
      </c>
      <c r="R442" t="s">
        <v>74</v>
      </c>
      <c r="S442" t="s">
        <v>74</v>
      </c>
      <c r="T442" t="s">
        <v>8389</v>
      </c>
      <c r="U442" t="s">
        <v>8390</v>
      </c>
      <c r="V442" t="s">
        <v>8391</v>
      </c>
      <c r="W442" t="s">
        <v>8392</v>
      </c>
      <c r="X442" t="s">
        <v>8393</v>
      </c>
      <c r="Y442" t="s">
        <v>8394</v>
      </c>
      <c r="Z442" t="s">
        <v>8395</v>
      </c>
      <c r="AA442" t="s">
        <v>8396</v>
      </c>
      <c r="AB442" t="s">
        <v>8397</v>
      </c>
      <c r="AC442" t="s">
        <v>74</v>
      </c>
      <c r="AD442" t="s">
        <v>74</v>
      </c>
      <c r="AE442" t="s">
        <v>74</v>
      </c>
      <c r="AF442" t="s">
        <v>74</v>
      </c>
      <c r="AG442">
        <v>26</v>
      </c>
      <c r="AH442">
        <v>6</v>
      </c>
      <c r="AI442">
        <v>8</v>
      </c>
      <c r="AJ442">
        <v>0</v>
      </c>
      <c r="AK442">
        <v>10</v>
      </c>
      <c r="AL442" t="s">
        <v>4870</v>
      </c>
      <c r="AM442" t="s">
        <v>4828</v>
      </c>
      <c r="AN442" t="s">
        <v>4871</v>
      </c>
      <c r="AO442" t="s">
        <v>4830</v>
      </c>
      <c r="AP442" t="s">
        <v>4831</v>
      </c>
      <c r="AQ442" t="s">
        <v>74</v>
      </c>
      <c r="AR442" t="s">
        <v>4832</v>
      </c>
      <c r="AS442" t="s">
        <v>4833</v>
      </c>
      <c r="AT442" t="s">
        <v>74</v>
      </c>
      <c r="AU442">
        <v>2013</v>
      </c>
      <c r="AV442">
        <v>34</v>
      </c>
      <c r="AW442">
        <v>1</v>
      </c>
      <c r="AX442" t="s">
        <v>74</v>
      </c>
      <c r="AY442" t="s">
        <v>74</v>
      </c>
      <c r="AZ442" t="s">
        <v>74</v>
      </c>
      <c r="BA442" t="s">
        <v>74</v>
      </c>
      <c r="BB442">
        <v>67</v>
      </c>
      <c r="BC442">
        <v>86</v>
      </c>
      <c r="BD442" t="s">
        <v>74</v>
      </c>
      <c r="BE442" t="s">
        <v>8398</v>
      </c>
      <c r="BF442" t="str">
        <f>HYPERLINK("http://dx.doi.org/10.2478/popore-2013-0003","http://dx.doi.org/10.2478/popore-2013-0003")</f>
        <v>http://dx.doi.org/10.2478/popore-2013-0003</v>
      </c>
      <c r="BG442" t="s">
        <v>74</v>
      </c>
      <c r="BH442" t="s">
        <v>74</v>
      </c>
      <c r="BI442">
        <v>20</v>
      </c>
      <c r="BJ442" t="s">
        <v>4835</v>
      </c>
      <c r="BK442" t="s">
        <v>102</v>
      </c>
      <c r="BL442" t="s">
        <v>4836</v>
      </c>
      <c r="BM442" t="s">
        <v>8384</v>
      </c>
      <c r="BN442" t="s">
        <v>74</v>
      </c>
      <c r="BO442" t="s">
        <v>429</v>
      </c>
      <c r="BP442" t="s">
        <v>74</v>
      </c>
      <c r="BQ442" t="s">
        <v>74</v>
      </c>
      <c r="BR442" t="s">
        <v>105</v>
      </c>
      <c r="BS442" t="s">
        <v>8399</v>
      </c>
      <c r="BT442" t="str">
        <f>HYPERLINK("https%3A%2F%2Fwww.webofscience.com%2Fwos%2Fwoscc%2Ffull-record%2FWOS:000316170800005","View Full Record in Web of Science")</f>
        <v>View Full Record in Web of Science</v>
      </c>
    </row>
    <row r="443" spans="1:72" x14ac:dyDescent="0.15">
      <c r="A443" t="s">
        <v>72</v>
      </c>
      <c r="B443" t="s">
        <v>8400</v>
      </c>
      <c r="C443" t="s">
        <v>74</v>
      </c>
      <c r="D443" t="s">
        <v>74</v>
      </c>
      <c r="E443" t="s">
        <v>74</v>
      </c>
      <c r="F443" t="s">
        <v>8401</v>
      </c>
      <c r="G443" t="s">
        <v>74</v>
      </c>
      <c r="H443" t="s">
        <v>74</v>
      </c>
      <c r="I443" t="s">
        <v>8402</v>
      </c>
      <c r="J443" t="s">
        <v>4814</v>
      </c>
      <c r="K443" t="s">
        <v>74</v>
      </c>
      <c r="L443" t="s">
        <v>74</v>
      </c>
      <c r="M443" t="s">
        <v>78</v>
      </c>
      <c r="N443" t="s">
        <v>79</v>
      </c>
      <c r="O443" t="s">
        <v>74</v>
      </c>
      <c r="P443" t="s">
        <v>74</v>
      </c>
      <c r="Q443" t="s">
        <v>74</v>
      </c>
      <c r="R443" t="s">
        <v>74</v>
      </c>
      <c r="S443" t="s">
        <v>74</v>
      </c>
      <c r="T443" t="s">
        <v>8403</v>
      </c>
      <c r="U443" t="s">
        <v>8404</v>
      </c>
      <c r="V443" t="s">
        <v>8405</v>
      </c>
      <c r="W443" t="s">
        <v>8406</v>
      </c>
      <c r="X443" t="s">
        <v>8407</v>
      </c>
      <c r="Y443" t="s">
        <v>8408</v>
      </c>
      <c r="Z443" t="s">
        <v>8409</v>
      </c>
      <c r="AA443" t="s">
        <v>8410</v>
      </c>
      <c r="AB443" t="s">
        <v>8411</v>
      </c>
      <c r="AC443" t="s">
        <v>8412</v>
      </c>
      <c r="AD443" t="s">
        <v>5774</v>
      </c>
      <c r="AE443" t="s">
        <v>8413</v>
      </c>
      <c r="AF443" t="s">
        <v>74</v>
      </c>
      <c r="AG443">
        <v>48</v>
      </c>
      <c r="AH443">
        <v>14</v>
      </c>
      <c r="AI443">
        <v>14</v>
      </c>
      <c r="AJ443">
        <v>2</v>
      </c>
      <c r="AK443">
        <v>39</v>
      </c>
      <c r="AL443" t="s">
        <v>4870</v>
      </c>
      <c r="AM443" t="s">
        <v>4828</v>
      </c>
      <c r="AN443" t="s">
        <v>4871</v>
      </c>
      <c r="AO443" t="s">
        <v>4830</v>
      </c>
      <c r="AP443" t="s">
        <v>4831</v>
      </c>
      <c r="AQ443" t="s">
        <v>74</v>
      </c>
      <c r="AR443" t="s">
        <v>4832</v>
      </c>
      <c r="AS443" t="s">
        <v>4833</v>
      </c>
      <c r="AT443" t="s">
        <v>74</v>
      </c>
      <c r="AU443">
        <v>2013</v>
      </c>
      <c r="AV443">
        <v>34</v>
      </c>
      <c r="AW443">
        <v>1</v>
      </c>
      <c r="AX443" t="s">
        <v>74</v>
      </c>
      <c r="AY443" t="s">
        <v>74</v>
      </c>
      <c r="AZ443" t="s">
        <v>74</v>
      </c>
      <c r="BA443" t="s">
        <v>74</v>
      </c>
      <c r="BB443">
        <v>87</v>
      </c>
      <c r="BC443">
        <v>99</v>
      </c>
      <c r="BD443" t="s">
        <v>74</v>
      </c>
      <c r="BE443" t="s">
        <v>8414</v>
      </c>
      <c r="BF443" t="str">
        <f>HYPERLINK("http://dx.doi.org/10.2478/popore-2013-0002","http://dx.doi.org/10.2478/popore-2013-0002")</f>
        <v>http://dx.doi.org/10.2478/popore-2013-0002</v>
      </c>
      <c r="BG443" t="s">
        <v>74</v>
      </c>
      <c r="BH443" t="s">
        <v>74</v>
      </c>
      <c r="BI443">
        <v>13</v>
      </c>
      <c r="BJ443" t="s">
        <v>4835</v>
      </c>
      <c r="BK443" t="s">
        <v>102</v>
      </c>
      <c r="BL443" t="s">
        <v>4836</v>
      </c>
      <c r="BM443" t="s">
        <v>8384</v>
      </c>
      <c r="BN443" t="s">
        <v>74</v>
      </c>
      <c r="BO443" t="s">
        <v>155</v>
      </c>
      <c r="BP443" t="s">
        <v>74</v>
      </c>
      <c r="BQ443" t="s">
        <v>74</v>
      </c>
      <c r="BR443" t="s">
        <v>105</v>
      </c>
      <c r="BS443" t="s">
        <v>8415</v>
      </c>
      <c r="BT443" t="str">
        <f>HYPERLINK("https%3A%2F%2Fwww.webofscience.com%2Fwos%2Fwoscc%2Ffull-record%2FWOS:000316170800006","View Full Record in Web of Science")</f>
        <v>View Full Record in Web of Science</v>
      </c>
    </row>
    <row r="444" spans="1:72" x14ac:dyDescent="0.15">
      <c r="A444" t="s">
        <v>72</v>
      </c>
      <c r="B444" t="s">
        <v>8416</v>
      </c>
      <c r="C444" t="s">
        <v>74</v>
      </c>
      <c r="D444" t="s">
        <v>74</v>
      </c>
      <c r="E444" t="s">
        <v>74</v>
      </c>
      <c r="F444" t="s">
        <v>8417</v>
      </c>
      <c r="G444" t="s">
        <v>74</v>
      </c>
      <c r="H444" t="s">
        <v>74</v>
      </c>
      <c r="I444" t="s">
        <v>8418</v>
      </c>
      <c r="J444" t="s">
        <v>8419</v>
      </c>
      <c r="K444" t="s">
        <v>74</v>
      </c>
      <c r="L444" t="s">
        <v>74</v>
      </c>
      <c r="M444" t="s">
        <v>78</v>
      </c>
      <c r="N444" t="s">
        <v>79</v>
      </c>
      <c r="O444" t="s">
        <v>74</v>
      </c>
      <c r="P444" t="s">
        <v>74</v>
      </c>
      <c r="Q444" t="s">
        <v>74</v>
      </c>
      <c r="R444" t="s">
        <v>74</v>
      </c>
      <c r="S444" t="s">
        <v>74</v>
      </c>
      <c r="T444" t="s">
        <v>8420</v>
      </c>
      <c r="U444" t="s">
        <v>8421</v>
      </c>
      <c r="V444" t="s">
        <v>8422</v>
      </c>
      <c r="W444" t="s">
        <v>8423</v>
      </c>
      <c r="X444" t="s">
        <v>8424</v>
      </c>
      <c r="Y444" t="s">
        <v>8425</v>
      </c>
      <c r="Z444" t="s">
        <v>8426</v>
      </c>
      <c r="AA444" t="s">
        <v>8427</v>
      </c>
      <c r="AB444" t="s">
        <v>8428</v>
      </c>
      <c r="AC444" t="s">
        <v>8429</v>
      </c>
      <c r="AD444" t="s">
        <v>8430</v>
      </c>
      <c r="AE444" t="s">
        <v>8431</v>
      </c>
      <c r="AF444" t="s">
        <v>74</v>
      </c>
      <c r="AG444">
        <v>23</v>
      </c>
      <c r="AH444">
        <v>7</v>
      </c>
      <c r="AI444">
        <v>7</v>
      </c>
      <c r="AJ444">
        <v>0</v>
      </c>
      <c r="AK444">
        <v>6</v>
      </c>
      <c r="AL444" t="s">
        <v>3287</v>
      </c>
      <c r="AM444" t="s">
        <v>3288</v>
      </c>
      <c r="AN444" t="s">
        <v>3289</v>
      </c>
      <c r="AO444" t="s">
        <v>8432</v>
      </c>
      <c r="AP444" t="s">
        <v>8433</v>
      </c>
      <c r="AQ444" t="s">
        <v>74</v>
      </c>
      <c r="AR444" t="s">
        <v>8434</v>
      </c>
      <c r="AS444" t="s">
        <v>8435</v>
      </c>
      <c r="AT444" t="s">
        <v>74</v>
      </c>
      <c r="AU444">
        <v>2013</v>
      </c>
      <c r="AV444">
        <v>115</v>
      </c>
      <c r="AW444">
        <v>2</v>
      </c>
      <c r="AX444" t="s">
        <v>74</v>
      </c>
      <c r="AY444" t="s">
        <v>74</v>
      </c>
      <c r="AZ444" t="s">
        <v>74</v>
      </c>
      <c r="BA444" t="s">
        <v>74</v>
      </c>
      <c r="BB444">
        <v>185</v>
      </c>
      <c r="BC444">
        <v>189</v>
      </c>
      <c r="BD444" t="s">
        <v>74</v>
      </c>
      <c r="BE444" t="s">
        <v>8436</v>
      </c>
      <c r="BF444" t="str">
        <f>HYPERLINK("http://dx.doi.org/10.1016/j.acthis.2012.03.002","http://dx.doi.org/10.1016/j.acthis.2012.03.002")</f>
        <v>http://dx.doi.org/10.1016/j.acthis.2012.03.002</v>
      </c>
      <c r="BG444" t="s">
        <v>74</v>
      </c>
      <c r="BH444" t="s">
        <v>74</v>
      </c>
      <c r="BI444">
        <v>5</v>
      </c>
      <c r="BJ444" t="s">
        <v>8437</v>
      </c>
      <c r="BK444" t="s">
        <v>102</v>
      </c>
      <c r="BL444" t="s">
        <v>8437</v>
      </c>
      <c r="BM444" t="s">
        <v>8438</v>
      </c>
      <c r="BN444">
        <v>22494613</v>
      </c>
      <c r="BO444" t="s">
        <v>74</v>
      </c>
      <c r="BP444" t="s">
        <v>74</v>
      </c>
      <c r="BQ444" t="s">
        <v>74</v>
      </c>
      <c r="BR444" t="s">
        <v>105</v>
      </c>
      <c r="BS444" t="s">
        <v>8439</v>
      </c>
      <c r="BT444" t="str">
        <f>HYPERLINK("https%3A%2F%2Fwww.webofscience.com%2Fwos%2Fwoscc%2Ffull-record%2FWOS:000315934400012","View Full Record in Web of Science")</f>
        <v>View Full Record in Web of Science</v>
      </c>
    </row>
    <row r="445" spans="1:72" x14ac:dyDescent="0.15">
      <c r="A445" t="s">
        <v>72</v>
      </c>
      <c r="B445" t="s">
        <v>8440</v>
      </c>
      <c r="C445" t="s">
        <v>74</v>
      </c>
      <c r="D445" t="s">
        <v>74</v>
      </c>
      <c r="E445" t="s">
        <v>74</v>
      </c>
      <c r="F445" t="s">
        <v>8441</v>
      </c>
      <c r="G445" t="s">
        <v>74</v>
      </c>
      <c r="H445" t="s">
        <v>74</v>
      </c>
      <c r="I445" t="s">
        <v>8442</v>
      </c>
      <c r="J445" t="s">
        <v>8443</v>
      </c>
      <c r="K445" t="s">
        <v>74</v>
      </c>
      <c r="L445" t="s">
        <v>74</v>
      </c>
      <c r="M445" t="s">
        <v>78</v>
      </c>
      <c r="N445" t="s">
        <v>1120</v>
      </c>
      <c r="O445" t="s">
        <v>74</v>
      </c>
      <c r="P445" t="s">
        <v>74</v>
      </c>
      <c r="Q445" t="s">
        <v>74</v>
      </c>
      <c r="R445" t="s">
        <v>74</v>
      </c>
      <c r="S445" t="s">
        <v>74</v>
      </c>
      <c r="T445" t="s">
        <v>74</v>
      </c>
      <c r="U445" t="s">
        <v>8444</v>
      </c>
      <c r="V445" t="s">
        <v>8445</v>
      </c>
      <c r="W445" t="s">
        <v>8446</v>
      </c>
      <c r="X445" t="s">
        <v>8447</v>
      </c>
      <c r="Y445" t="s">
        <v>8448</v>
      </c>
      <c r="Z445" t="s">
        <v>8449</v>
      </c>
      <c r="AA445" t="s">
        <v>8450</v>
      </c>
      <c r="AB445" t="s">
        <v>8451</v>
      </c>
      <c r="AC445" t="s">
        <v>8452</v>
      </c>
      <c r="AD445" t="s">
        <v>8453</v>
      </c>
      <c r="AE445" t="s">
        <v>8454</v>
      </c>
      <c r="AF445" t="s">
        <v>74</v>
      </c>
      <c r="AG445">
        <v>99</v>
      </c>
      <c r="AH445">
        <v>4</v>
      </c>
      <c r="AI445">
        <v>5</v>
      </c>
      <c r="AJ445">
        <v>0</v>
      </c>
      <c r="AK445">
        <v>5</v>
      </c>
      <c r="AL445" t="s">
        <v>4800</v>
      </c>
      <c r="AM445" t="s">
        <v>474</v>
      </c>
      <c r="AN445" t="s">
        <v>4801</v>
      </c>
      <c r="AO445" t="s">
        <v>8455</v>
      </c>
      <c r="AP445" t="s">
        <v>8456</v>
      </c>
      <c r="AQ445" t="s">
        <v>74</v>
      </c>
      <c r="AR445" t="s">
        <v>8457</v>
      </c>
      <c r="AS445" t="s">
        <v>8458</v>
      </c>
      <c r="AT445" t="s">
        <v>74</v>
      </c>
      <c r="AU445">
        <v>2013</v>
      </c>
      <c r="AV445">
        <v>2013</v>
      </c>
      <c r="AW445" t="s">
        <v>74</v>
      </c>
      <c r="AX445" t="s">
        <v>74</v>
      </c>
      <c r="AY445" t="s">
        <v>74</v>
      </c>
      <c r="AZ445" t="s">
        <v>74</v>
      </c>
      <c r="BA445" t="s">
        <v>74</v>
      </c>
      <c r="BB445" t="s">
        <v>74</v>
      </c>
      <c r="BC445" t="s">
        <v>74</v>
      </c>
      <c r="BD445">
        <v>680584</v>
      </c>
      <c r="BE445" t="s">
        <v>8459</v>
      </c>
      <c r="BF445" t="str">
        <f>HYPERLINK("http://dx.doi.org/10.1155/2013/680584","http://dx.doi.org/10.1155/2013/680584")</f>
        <v>http://dx.doi.org/10.1155/2013/680584</v>
      </c>
      <c r="BG445" t="s">
        <v>74</v>
      </c>
      <c r="BH445" t="s">
        <v>74</v>
      </c>
      <c r="BI445">
        <v>20</v>
      </c>
      <c r="BJ445" t="s">
        <v>3833</v>
      </c>
      <c r="BK445" t="s">
        <v>102</v>
      </c>
      <c r="BL445" t="s">
        <v>3834</v>
      </c>
      <c r="BM445" t="s">
        <v>8460</v>
      </c>
      <c r="BN445" t="s">
        <v>74</v>
      </c>
      <c r="BO445" t="s">
        <v>4621</v>
      </c>
      <c r="BP445" t="s">
        <v>74</v>
      </c>
      <c r="BQ445" t="s">
        <v>74</v>
      </c>
      <c r="BR445" t="s">
        <v>105</v>
      </c>
      <c r="BS445" t="s">
        <v>8461</v>
      </c>
      <c r="BT445" t="str">
        <f>HYPERLINK("https%3A%2F%2Fwww.webofscience.com%2Fwos%2Fwoscc%2Ffull-record%2FWOS:000315872300001","View Full Record in Web of Science")</f>
        <v>View Full Record in Web of Science</v>
      </c>
    </row>
    <row r="446" spans="1:72" x14ac:dyDescent="0.15">
      <c r="A446" t="s">
        <v>72</v>
      </c>
      <c r="B446" t="s">
        <v>8462</v>
      </c>
      <c r="C446" t="s">
        <v>74</v>
      </c>
      <c r="D446" t="s">
        <v>74</v>
      </c>
      <c r="E446" t="s">
        <v>74</v>
      </c>
      <c r="F446" t="s">
        <v>8463</v>
      </c>
      <c r="G446" t="s">
        <v>74</v>
      </c>
      <c r="H446" t="s">
        <v>74</v>
      </c>
      <c r="I446" t="s">
        <v>8464</v>
      </c>
      <c r="J446" t="s">
        <v>5060</v>
      </c>
      <c r="K446" t="s">
        <v>74</v>
      </c>
      <c r="L446" t="s">
        <v>74</v>
      </c>
      <c r="M446" t="s">
        <v>78</v>
      </c>
      <c r="N446" t="s">
        <v>79</v>
      </c>
      <c r="O446" t="s">
        <v>74</v>
      </c>
      <c r="P446" t="s">
        <v>74</v>
      </c>
      <c r="Q446" t="s">
        <v>74</v>
      </c>
      <c r="R446" t="s">
        <v>74</v>
      </c>
      <c r="S446" t="s">
        <v>74</v>
      </c>
      <c r="T446" t="s">
        <v>8465</v>
      </c>
      <c r="U446" t="s">
        <v>8466</v>
      </c>
      <c r="V446" t="s">
        <v>8467</v>
      </c>
      <c r="W446" t="s">
        <v>8468</v>
      </c>
      <c r="X446" t="s">
        <v>8469</v>
      </c>
      <c r="Y446" t="s">
        <v>8470</v>
      </c>
      <c r="Z446" t="s">
        <v>8471</v>
      </c>
      <c r="AA446" t="s">
        <v>8472</v>
      </c>
      <c r="AB446" t="s">
        <v>8473</v>
      </c>
      <c r="AC446" t="s">
        <v>8474</v>
      </c>
      <c r="AD446" t="s">
        <v>8475</v>
      </c>
      <c r="AE446" t="s">
        <v>8476</v>
      </c>
      <c r="AF446" t="s">
        <v>74</v>
      </c>
      <c r="AG446">
        <v>93</v>
      </c>
      <c r="AH446">
        <v>28</v>
      </c>
      <c r="AI446">
        <v>30</v>
      </c>
      <c r="AJ446">
        <v>0</v>
      </c>
      <c r="AK446">
        <v>49</v>
      </c>
      <c r="AL446" t="s">
        <v>4363</v>
      </c>
      <c r="AM446" t="s">
        <v>4364</v>
      </c>
      <c r="AN446" t="s">
        <v>4365</v>
      </c>
      <c r="AO446" t="s">
        <v>5073</v>
      </c>
      <c r="AP446" t="s">
        <v>5074</v>
      </c>
      <c r="AQ446" t="s">
        <v>74</v>
      </c>
      <c r="AR446" t="s">
        <v>5075</v>
      </c>
      <c r="AS446" t="s">
        <v>5076</v>
      </c>
      <c r="AT446" t="s">
        <v>74</v>
      </c>
      <c r="AU446">
        <v>2013</v>
      </c>
      <c r="AV446">
        <v>477</v>
      </c>
      <c r="AW446" t="s">
        <v>74</v>
      </c>
      <c r="AX446" t="s">
        <v>74</v>
      </c>
      <c r="AY446" t="s">
        <v>74</v>
      </c>
      <c r="AZ446" t="s">
        <v>74</v>
      </c>
      <c r="BA446" t="s">
        <v>74</v>
      </c>
      <c r="BB446">
        <v>93</v>
      </c>
      <c r="BC446">
        <v>106</v>
      </c>
      <c r="BD446" t="s">
        <v>74</v>
      </c>
      <c r="BE446" t="s">
        <v>8477</v>
      </c>
      <c r="BF446" t="str">
        <f>HYPERLINK("http://dx.doi.org/10.3354/meps10152","http://dx.doi.org/10.3354/meps10152")</f>
        <v>http://dx.doi.org/10.3354/meps10152</v>
      </c>
      <c r="BG446" t="s">
        <v>74</v>
      </c>
      <c r="BH446" t="s">
        <v>74</v>
      </c>
      <c r="BI446">
        <v>14</v>
      </c>
      <c r="BJ446" t="s">
        <v>5078</v>
      </c>
      <c r="BK446" t="s">
        <v>102</v>
      </c>
      <c r="BL446" t="s">
        <v>5079</v>
      </c>
      <c r="BM446" t="s">
        <v>8478</v>
      </c>
      <c r="BN446" t="s">
        <v>74</v>
      </c>
      <c r="BO446" t="s">
        <v>1396</v>
      </c>
      <c r="BP446" t="s">
        <v>74</v>
      </c>
      <c r="BQ446" t="s">
        <v>74</v>
      </c>
      <c r="BR446" t="s">
        <v>105</v>
      </c>
      <c r="BS446" t="s">
        <v>8479</v>
      </c>
      <c r="BT446" t="str">
        <f>HYPERLINK("https%3A%2F%2Fwww.webofscience.com%2Fwos%2Fwoscc%2Ffull-record%2FWOS:000315953300009","View Full Record in Web of Science")</f>
        <v>View Full Record in Web of Science</v>
      </c>
    </row>
    <row r="447" spans="1:72" x14ac:dyDescent="0.15">
      <c r="A447" t="s">
        <v>72</v>
      </c>
      <c r="B447" t="s">
        <v>8480</v>
      </c>
      <c r="C447" t="s">
        <v>74</v>
      </c>
      <c r="D447" t="s">
        <v>74</v>
      </c>
      <c r="E447" t="s">
        <v>74</v>
      </c>
      <c r="F447" t="s">
        <v>8481</v>
      </c>
      <c r="G447" t="s">
        <v>74</v>
      </c>
      <c r="H447" t="s">
        <v>74</v>
      </c>
      <c r="I447" t="s">
        <v>8482</v>
      </c>
      <c r="J447" t="s">
        <v>5060</v>
      </c>
      <c r="K447" t="s">
        <v>74</v>
      </c>
      <c r="L447" t="s">
        <v>74</v>
      </c>
      <c r="M447" t="s">
        <v>78</v>
      </c>
      <c r="N447" t="s">
        <v>79</v>
      </c>
      <c r="O447" t="s">
        <v>74</v>
      </c>
      <c r="P447" t="s">
        <v>74</v>
      </c>
      <c r="Q447" t="s">
        <v>74</v>
      </c>
      <c r="R447" t="s">
        <v>74</v>
      </c>
      <c r="S447" t="s">
        <v>74</v>
      </c>
      <c r="T447" t="s">
        <v>8483</v>
      </c>
      <c r="U447" t="s">
        <v>8484</v>
      </c>
      <c r="V447" t="s">
        <v>8485</v>
      </c>
      <c r="W447" t="s">
        <v>8486</v>
      </c>
      <c r="X447" t="s">
        <v>8487</v>
      </c>
      <c r="Y447" t="s">
        <v>8488</v>
      </c>
      <c r="Z447" t="s">
        <v>8489</v>
      </c>
      <c r="AA447" t="s">
        <v>8490</v>
      </c>
      <c r="AB447" t="s">
        <v>8491</v>
      </c>
      <c r="AC447" t="s">
        <v>8492</v>
      </c>
      <c r="AD447" t="s">
        <v>8493</v>
      </c>
      <c r="AE447" t="s">
        <v>8494</v>
      </c>
      <c r="AF447" t="s">
        <v>74</v>
      </c>
      <c r="AG447">
        <v>104</v>
      </c>
      <c r="AH447">
        <v>22</v>
      </c>
      <c r="AI447">
        <v>23</v>
      </c>
      <c r="AJ447">
        <v>0</v>
      </c>
      <c r="AK447">
        <v>68</v>
      </c>
      <c r="AL447" t="s">
        <v>4363</v>
      </c>
      <c r="AM447" t="s">
        <v>4364</v>
      </c>
      <c r="AN447" t="s">
        <v>4365</v>
      </c>
      <c r="AO447" t="s">
        <v>5073</v>
      </c>
      <c r="AP447" t="s">
        <v>5074</v>
      </c>
      <c r="AQ447" t="s">
        <v>74</v>
      </c>
      <c r="AR447" t="s">
        <v>5075</v>
      </c>
      <c r="AS447" t="s">
        <v>5076</v>
      </c>
      <c r="AT447" t="s">
        <v>74</v>
      </c>
      <c r="AU447">
        <v>2013</v>
      </c>
      <c r="AV447">
        <v>477</v>
      </c>
      <c r="AW447" t="s">
        <v>74</v>
      </c>
      <c r="AX447" t="s">
        <v>74</v>
      </c>
      <c r="AY447" t="s">
        <v>74</v>
      </c>
      <c r="AZ447" t="s">
        <v>74</v>
      </c>
      <c r="BA447" t="s">
        <v>74</v>
      </c>
      <c r="BB447">
        <v>285</v>
      </c>
      <c r="BC447">
        <v>302</v>
      </c>
      <c r="BD447" t="s">
        <v>74</v>
      </c>
      <c r="BE447" t="s">
        <v>8495</v>
      </c>
      <c r="BF447" t="str">
        <f>HYPERLINK("http://dx.doi.org/10.3354/meps10110","http://dx.doi.org/10.3354/meps10110")</f>
        <v>http://dx.doi.org/10.3354/meps10110</v>
      </c>
      <c r="BG447" t="s">
        <v>74</v>
      </c>
      <c r="BH447" t="s">
        <v>74</v>
      </c>
      <c r="BI447">
        <v>18</v>
      </c>
      <c r="BJ447" t="s">
        <v>5078</v>
      </c>
      <c r="BK447" t="s">
        <v>102</v>
      </c>
      <c r="BL447" t="s">
        <v>5079</v>
      </c>
      <c r="BM447" t="s">
        <v>8478</v>
      </c>
      <c r="BN447" t="s">
        <v>74</v>
      </c>
      <c r="BO447" t="s">
        <v>1396</v>
      </c>
      <c r="BP447" t="s">
        <v>74</v>
      </c>
      <c r="BQ447" t="s">
        <v>74</v>
      </c>
      <c r="BR447" t="s">
        <v>105</v>
      </c>
      <c r="BS447" t="s">
        <v>8496</v>
      </c>
      <c r="BT447" t="str">
        <f>HYPERLINK("https%3A%2F%2Fwww.webofscience.com%2Fwos%2Fwoscc%2Ffull-record%2FWOS:000315953300023","View Full Record in Web of Science")</f>
        <v>View Full Record in Web of Science</v>
      </c>
    </row>
    <row r="448" spans="1:72" x14ac:dyDescent="0.15">
      <c r="A448" t="s">
        <v>72</v>
      </c>
      <c r="B448" t="s">
        <v>8497</v>
      </c>
      <c r="C448" t="s">
        <v>74</v>
      </c>
      <c r="D448" t="s">
        <v>74</v>
      </c>
      <c r="E448" t="s">
        <v>74</v>
      </c>
      <c r="F448" t="s">
        <v>8498</v>
      </c>
      <c r="G448" t="s">
        <v>74</v>
      </c>
      <c r="H448" t="s">
        <v>74</v>
      </c>
      <c r="I448" t="s">
        <v>8499</v>
      </c>
      <c r="J448" t="s">
        <v>4495</v>
      </c>
      <c r="K448" t="s">
        <v>74</v>
      </c>
      <c r="L448" t="s">
        <v>74</v>
      </c>
      <c r="M448" t="s">
        <v>78</v>
      </c>
      <c r="N448" t="s">
        <v>79</v>
      </c>
      <c r="O448" t="s">
        <v>74</v>
      </c>
      <c r="P448" t="s">
        <v>74</v>
      </c>
      <c r="Q448" t="s">
        <v>74</v>
      </c>
      <c r="R448" t="s">
        <v>74</v>
      </c>
      <c r="S448" t="s">
        <v>74</v>
      </c>
      <c r="T448" t="s">
        <v>8500</v>
      </c>
      <c r="U448" t="s">
        <v>8501</v>
      </c>
      <c r="V448" t="s">
        <v>8502</v>
      </c>
      <c r="W448" t="s">
        <v>8503</v>
      </c>
      <c r="X448" t="s">
        <v>8504</v>
      </c>
      <c r="Y448" t="s">
        <v>8505</v>
      </c>
      <c r="Z448" t="s">
        <v>8506</v>
      </c>
      <c r="AA448" t="s">
        <v>7240</v>
      </c>
      <c r="AB448" t="s">
        <v>8507</v>
      </c>
      <c r="AC448" t="s">
        <v>8508</v>
      </c>
      <c r="AD448" t="s">
        <v>8508</v>
      </c>
      <c r="AE448" t="s">
        <v>8509</v>
      </c>
      <c r="AF448" t="s">
        <v>74</v>
      </c>
      <c r="AG448">
        <v>54</v>
      </c>
      <c r="AH448">
        <v>11</v>
      </c>
      <c r="AI448">
        <v>11</v>
      </c>
      <c r="AJ448">
        <v>3</v>
      </c>
      <c r="AK448">
        <v>58</v>
      </c>
      <c r="AL448" t="s">
        <v>8510</v>
      </c>
      <c r="AM448" t="s">
        <v>8511</v>
      </c>
      <c r="AN448" t="s">
        <v>8512</v>
      </c>
      <c r="AO448" t="s">
        <v>4509</v>
      </c>
      <c r="AP448" t="s">
        <v>4510</v>
      </c>
      <c r="AQ448" t="s">
        <v>74</v>
      </c>
      <c r="AR448" t="s">
        <v>8513</v>
      </c>
      <c r="AS448" t="s">
        <v>4512</v>
      </c>
      <c r="AT448" t="s">
        <v>74</v>
      </c>
      <c r="AU448">
        <v>2013</v>
      </c>
      <c r="AV448">
        <v>32</v>
      </c>
      <c r="AW448" t="s">
        <v>74</v>
      </c>
      <c r="AX448" t="s">
        <v>74</v>
      </c>
      <c r="AY448" t="s">
        <v>74</v>
      </c>
      <c r="AZ448" t="s">
        <v>74</v>
      </c>
      <c r="BA448" t="s">
        <v>74</v>
      </c>
      <c r="BB448" t="s">
        <v>74</v>
      </c>
      <c r="BC448" t="s">
        <v>74</v>
      </c>
      <c r="BD448">
        <v>11133</v>
      </c>
      <c r="BE448" t="s">
        <v>8514</v>
      </c>
      <c r="BF448" t="str">
        <f>HYPERLINK("http://dx.doi.org/10.3402/polar.v32i0.11133","http://dx.doi.org/10.3402/polar.v32i0.11133")</f>
        <v>http://dx.doi.org/10.3402/polar.v32i0.11133</v>
      </c>
      <c r="BG448" t="s">
        <v>74</v>
      </c>
      <c r="BH448" t="s">
        <v>74</v>
      </c>
      <c r="BI448">
        <v>7</v>
      </c>
      <c r="BJ448" t="s">
        <v>4514</v>
      </c>
      <c r="BK448" t="s">
        <v>102</v>
      </c>
      <c r="BL448" t="s">
        <v>4515</v>
      </c>
      <c r="BM448" t="s">
        <v>8515</v>
      </c>
      <c r="BN448" t="s">
        <v>74</v>
      </c>
      <c r="BO448" t="s">
        <v>2629</v>
      </c>
      <c r="BP448" t="s">
        <v>74</v>
      </c>
      <c r="BQ448" t="s">
        <v>74</v>
      </c>
      <c r="BR448" t="s">
        <v>105</v>
      </c>
      <c r="BS448" t="s">
        <v>8516</v>
      </c>
      <c r="BT448" t="str">
        <f>HYPERLINK("https%3A%2F%2Fwww.webofscience.com%2Fwos%2Fwoscc%2Ffull-record%2FWOS:000315812600001","View Full Record in Web of Science")</f>
        <v>View Full Record in Web of Science</v>
      </c>
    </row>
    <row r="449" spans="1:72" x14ac:dyDescent="0.15">
      <c r="A449" t="s">
        <v>72</v>
      </c>
      <c r="B449" t="s">
        <v>8517</v>
      </c>
      <c r="C449" t="s">
        <v>74</v>
      </c>
      <c r="D449" t="s">
        <v>74</v>
      </c>
      <c r="E449" t="s">
        <v>74</v>
      </c>
      <c r="F449" t="s">
        <v>8518</v>
      </c>
      <c r="G449" t="s">
        <v>74</v>
      </c>
      <c r="H449" t="s">
        <v>74</v>
      </c>
      <c r="I449" t="s">
        <v>8519</v>
      </c>
      <c r="J449" t="s">
        <v>8520</v>
      </c>
      <c r="K449" t="s">
        <v>74</v>
      </c>
      <c r="L449" t="s">
        <v>74</v>
      </c>
      <c r="M449" t="s">
        <v>78</v>
      </c>
      <c r="N449" t="s">
        <v>79</v>
      </c>
      <c r="O449" t="s">
        <v>74</v>
      </c>
      <c r="P449" t="s">
        <v>74</v>
      </c>
      <c r="Q449" t="s">
        <v>74</v>
      </c>
      <c r="R449" t="s">
        <v>74</v>
      </c>
      <c r="S449" t="s">
        <v>74</v>
      </c>
      <c r="T449" t="s">
        <v>8521</v>
      </c>
      <c r="U449" t="s">
        <v>8522</v>
      </c>
      <c r="V449" t="s">
        <v>8523</v>
      </c>
      <c r="W449" t="s">
        <v>8524</v>
      </c>
      <c r="X449" t="s">
        <v>74</v>
      </c>
      <c r="Y449" t="s">
        <v>8525</v>
      </c>
      <c r="Z449" t="s">
        <v>8526</v>
      </c>
      <c r="AA449" t="s">
        <v>8527</v>
      </c>
      <c r="AB449" t="s">
        <v>8528</v>
      </c>
      <c r="AC449" t="s">
        <v>8529</v>
      </c>
      <c r="AD449" t="s">
        <v>8530</v>
      </c>
      <c r="AE449" t="s">
        <v>8531</v>
      </c>
      <c r="AF449" t="s">
        <v>74</v>
      </c>
      <c r="AG449">
        <v>27</v>
      </c>
      <c r="AH449">
        <v>1</v>
      </c>
      <c r="AI449">
        <v>1</v>
      </c>
      <c r="AJ449">
        <v>0</v>
      </c>
      <c r="AK449">
        <v>13</v>
      </c>
      <c r="AL449" t="s">
        <v>1343</v>
      </c>
      <c r="AM449" t="s">
        <v>1344</v>
      </c>
      <c r="AN449" t="s">
        <v>1345</v>
      </c>
      <c r="AO449" t="s">
        <v>8532</v>
      </c>
      <c r="AP449" t="s">
        <v>74</v>
      </c>
      <c r="AQ449" t="s">
        <v>74</v>
      </c>
      <c r="AR449" t="s">
        <v>8533</v>
      </c>
      <c r="AS449" t="s">
        <v>8534</v>
      </c>
      <c r="AT449" t="s">
        <v>74</v>
      </c>
      <c r="AU449">
        <v>2013</v>
      </c>
      <c r="AV449">
        <v>65</v>
      </c>
      <c r="AW449" t="s">
        <v>74</v>
      </c>
      <c r="AX449" t="s">
        <v>74</v>
      </c>
      <c r="AY449" t="s">
        <v>74</v>
      </c>
      <c r="AZ449" t="s">
        <v>74</v>
      </c>
      <c r="BA449" t="s">
        <v>74</v>
      </c>
      <c r="BB449" t="s">
        <v>74</v>
      </c>
      <c r="BC449" t="s">
        <v>74</v>
      </c>
      <c r="BD449">
        <v>20254</v>
      </c>
      <c r="BE449" t="s">
        <v>8535</v>
      </c>
      <c r="BF449" t="str">
        <f>HYPERLINK("http://dx.doi.org/10.3402/tellusa.v65i0.20254","http://dx.doi.org/10.3402/tellusa.v65i0.20254")</f>
        <v>http://dx.doi.org/10.3402/tellusa.v65i0.20254</v>
      </c>
      <c r="BG449" t="s">
        <v>74</v>
      </c>
      <c r="BH449" t="s">
        <v>74</v>
      </c>
      <c r="BI449">
        <v>24</v>
      </c>
      <c r="BJ449" t="s">
        <v>617</v>
      </c>
      <c r="BK449" t="s">
        <v>102</v>
      </c>
      <c r="BL449" t="s">
        <v>617</v>
      </c>
      <c r="BM449" t="s">
        <v>8536</v>
      </c>
      <c r="BN449" t="s">
        <v>74</v>
      </c>
      <c r="BO449" t="s">
        <v>1719</v>
      </c>
      <c r="BP449" t="s">
        <v>74</v>
      </c>
      <c r="BQ449" t="s">
        <v>74</v>
      </c>
      <c r="BR449" t="s">
        <v>105</v>
      </c>
      <c r="BS449" t="s">
        <v>8537</v>
      </c>
      <c r="BT449" t="str">
        <f>HYPERLINK("https%3A%2F%2Fwww.webofscience.com%2Fwos%2Fwoscc%2Ffull-record%2FWOS:000316117000001","View Full Record in Web of Science")</f>
        <v>View Full Record in Web of Science</v>
      </c>
    </row>
    <row r="450" spans="1:72" x14ac:dyDescent="0.15">
      <c r="A450" t="s">
        <v>72</v>
      </c>
      <c r="B450" t="s">
        <v>8538</v>
      </c>
      <c r="C450" t="s">
        <v>74</v>
      </c>
      <c r="D450" t="s">
        <v>74</v>
      </c>
      <c r="E450" t="s">
        <v>74</v>
      </c>
      <c r="F450" t="s">
        <v>8539</v>
      </c>
      <c r="G450" t="s">
        <v>74</v>
      </c>
      <c r="H450" t="s">
        <v>74</v>
      </c>
      <c r="I450" t="s">
        <v>8540</v>
      </c>
      <c r="J450" t="s">
        <v>8541</v>
      </c>
      <c r="K450" t="s">
        <v>74</v>
      </c>
      <c r="L450" t="s">
        <v>74</v>
      </c>
      <c r="M450" t="s">
        <v>78</v>
      </c>
      <c r="N450" t="s">
        <v>79</v>
      </c>
      <c r="O450" t="s">
        <v>74</v>
      </c>
      <c r="P450" t="s">
        <v>74</v>
      </c>
      <c r="Q450" t="s">
        <v>74</v>
      </c>
      <c r="R450" t="s">
        <v>74</v>
      </c>
      <c r="S450" t="s">
        <v>74</v>
      </c>
      <c r="T450" t="s">
        <v>8542</v>
      </c>
      <c r="U450" t="s">
        <v>8543</v>
      </c>
      <c r="V450" t="s">
        <v>8544</v>
      </c>
      <c r="W450" t="s">
        <v>8545</v>
      </c>
      <c r="X450" t="s">
        <v>8546</v>
      </c>
      <c r="Y450" t="s">
        <v>8547</v>
      </c>
      <c r="Z450" t="s">
        <v>8548</v>
      </c>
      <c r="AA450" t="s">
        <v>74</v>
      </c>
      <c r="AB450" t="s">
        <v>74</v>
      </c>
      <c r="AC450" t="s">
        <v>74</v>
      </c>
      <c r="AD450" t="s">
        <v>74</v>
      </c>
      <c r="AE450" t="s">
        <v>74</v>
      </c>
      <c r="AF450" t="s">
        <v>74</v>
      </c>
      <c r="AG450">
        <v>39</v>
      </c>
      <c r="AH450">
        <v>2</v>
      </c>
      <c r="AI450">
        <v>2</v>
      </c>
      <c r="AJ450">
        <v>0</v>
      </c>
      <c r="AK450">
        <v>29</v>
      </c>
      <c r="AL450" t="s">
        <v>8549</v>
      </c>
      <c r="AM450" t="s">
        <v>8550</v>
      </c>
      <c r="AN450" t="s">
        <v>8551</v>
      </c>
      <c r="AO450" t="s">
        <v>8552</v>
      </c>
      <c r="AP450" t="s">
        <v>74</v>
      </c>
      <c r="AQ450" t="s">
        <v>74</v>
      </c>
      <c r="AR450" t="s">
        <v>8553</v>
      </c>
      <c r="AS450" t="s">
        <v>8554</v>
      </c>
      <c r="AT450" t="s">
        <v>74</v>
      </c>
      <c r="AU450">
        <v>2013</v>
      </c>
      <c r="AV450">
        <v>65</v>
      </c>
      <c r="AW450" t="s">
        <v>74</v>
      </c>
      <c r="AX450" t="s">
        <v>74</v>
      </c>
      <c r="AY450" t="s">
        <v>74</v>
      </c>
      <c r="AZ450" t="s">
        <v>74</v>
      </c>
      <c r="BA450" t="s">
        <v>74</v>
      </c>
      <c r="BB450" t="s">
        <v>74</v>
      </c>
      <c r="BC450" t="s">
        <v>74</v>
      </c>
      <c r="BD450">
        <v>20189</v>
      </c>
      <c r="BE450" t="s">
        <v>8555</v>
      </c>
      <c r="BF450" t="str">
        <f>HYPERLINK("http://dx.doi.org/10.3402/tellusb.v65i0.20189","http://dx.doi.org/10.3402/tellusb.v65i0.20189")</f>
        <v>http://dx.doi.org/10.3402/tellusb.v65i0.20189</v>
      </c>
      <c r="BG450" t="s">
        <v>74</v>
      </c>
      <c r="BH450" t="s">
        <v>74</v>
      </c>
      <c r="BI450">
        <v>12</v>
      </c>
      <c r="BJ450" t="s">
        <v>101</v>
      </c>
      <c r="BK450" t="s">
        <v>102</v>
      </c>
      <c r="BL450" t="s">
        <v>101</v>
      </c>
      <c r="BM450" t="s">
        <v>8556</v>
      </c>
      <c r="BN450" t="s">
        <v>74</v>
      </c>
      <c r="BO450" t="s">
        <v>4556</v>
      </c>
      <c r="BP450" t="s">
        <v>74</v>
      </c>
      <c r="BQ450" t="s">
        <v>74</v>
      </c>
      <c r="BR450" t="s">
        <v>105</v>
      </c>
      <c r="BS450" t="s">
        <v>8557</v>
      </c>
      <c r="BT450" t="str">
        <f>HYPERLINK("https%3A%2F%2Fwww.webofscience.com%2Fwos%2Fwoscc%2Ffull-record%2FWOS:000316117400001","View Full Record in Web of Science")</f>
        <v>View Full Record in Web of Science</v>
      </c>
    </row>
    <row r="451" spans="1:72" x14ac:dyDescent="0.15">
      <c r="A451" t="s">
        <v>72</v>
      </c>
      <c r="B451" t="s">
        <v>8558</v>
      </c>
      <c r="C451" t="s">
        <v>74</v>
      </c>
      <c r="D451" t="s">
        <v>74</v>
      </c>
      <c r="E451" t="s">
        <v>74</v>
      </c>
      <c r="F451" t="s">
        <v>8559</v>
      </c>
      <c r="G451" t="s">
        <v>74</v>
      </c>
      <c r="H451" t="s">
        <v>74</v>
      </c>
      <c r="I451" t="s">
        <v>8560</v>
      </c>
      <c r="J451" t="s">
        <v>4521</v>
      </c>
      <c r="K451" t="s">
        <v>74</v>
      </c>
      <c r="L451" t="s">
        <v>74</v>
      </c>
      <c r="M451" t="s">
        <v>78</v>
      </c>
      <c r="N451" t="s">
        <v>79</v>
      </c>
      <c r="O451" t="s">
        <v>74</v>
      </c>
      <c r="P451" t="s">
        <v>74</v>
      </c>
      <c r="Q451" t="s">
        <v>74</v>
      </c>
      <c r="R451" t="s">
        <v>74</v>
      </c>
      <c r="S451" t="s">
        <v>74</v>
      </c>
      <c r="T451" t="s">
        <v>74</v>
      </c>
      <c r="U451" t="s">
        <v>8561</v>
      </c>
      <c r="V451" t="s">
        <v>8562</v>
      </c>
      <c r="W451" t="s">
        <v>8563</v>
      </c>
      <c r="X451" t="s">
        <v>8564</v>
      </c>
      <c r="Y451" t="s">
        <v>8565</v>
      </c>
      <c r="Z451" t="s">
        <v>8566</v>
      </c>
      <c r="AA451" t="s">
        <v>8567</v>
      </c>
      <c r="AB451" t="s">
        <v>8568</v>
      </c>
      <c r="AC451" t="s">
        <v>8569</v>
      </c>
      <c r="AD451" t="s">
        <v>8570</v>
      </c>
      <c r="AE451" t="s">
        <v>8571</v>
      </c>
      <c r="AF451" t="s">
        <v>74</v>
      </c>
      <c r="AG451">
        <v>110</v>
      </c>
      <c r="AH451">
        <v>13</v>
      </c>
      <c r="AI451">
        <v>15</v>
      </c>
      <c r="AJ451">
        <v>0</v>
      </c>
      <c r="AK451">
        <v>20</v>
      </c>
      <c r="AL451" t="s">
        <v>4248</v>
      </c>
      <c r="AM451" t="s">
        <v>4249</v>
      </c>
      <c r="AN451" t="s">
        <v>4250</v>
      </c>
      <c r="AO451" t="s">
        <v>4533</v>
      </c>
      <c r="AP451" t="s">
        <v>4534</v>
      </c>
      <c r="AQ451" t="s">
        <v>74</v>
      </c>
      <c r="AR451" t="s">
        <v>4535</v>
      </c>
      <c r="AS451" t="s">
        <v>4536</v>
      </c>
      <c r="AT451" t="s">
        <v>74</v>
      </c>
      <c r="AU451">
        <v>2013</v>
      </c>
      <c r="AV451">
        <v>13</v>
      </c>
      <c r="AW451">
        <v>4</v>
      </c>
      <c r="AX451" t="s">
        <v>74</v>
      </c>
      <c r="AY451" t="s">
        <v>74</v>
      </c>
      <c r="AZ451" t="s">
        <v>74</v>
      </c>
      <c r="BA451" t="s">
        <v>74</v>
      </c>
      <c r="BB451">
        <v>1809</v>
      </c>
      <c r="BC451">
        <v>1835</v>
      </c>
      <c r="BD451" t="s">
        <v>74</v>
      </c>
      <c r="BE451" t="s">
        <v>8572</v>
      </c>
      <c r="BF451" t="str">
        <f>HYPERLINK("http://dx.doi.org/10.5194/acp-13-1809-2013","http://dx.doi.org/10.5194/acp-13-1809-2013")</f>
        <v>http://dx.doi.org/10.5194/acp-13-1809-2013</v>
      </c>
      <c r="BG451" t="s">
        <v>74</v>
      </c>
      <c r="BH451" t="s">
        <v>74</v>
      </c>
      <c r="BI451">
        <v>27</v>
      </c>
      <c r="BJ451" t="s">
        <v>1627</v>
      </c>
      <c r="BK451" t="s">
        <v>102</v>
      </c>
      <c r="BL451" t="s">
        <v>1628</v>
      </c>
      <c r="BM451" t="s">
        <v>8573</v>
      </c>
      <c r="BN451" t="s">
        <v>74</v>
      </c>
      <c r="BO451" t="s">
        <v>5344</v>
      </c>
      <c r="BP451" t="s">
        <v>74</v>
      </c>
      <c r="BQ451" t="s">
        <v>74</v>
      </c>
      <c r="BR451" t="s">
        <v>105</v>
      </c>
      <c r="BS451" t="s">
        <v>8574</v>
      </c>
      <c r="BT451" t="str">
        <f>HYPERLINK("https%3A%2F%2Fwww.webofscience.com%2Fwos%2Fwoscc%2Ffull-record%2FWOS:000315406600008","View Full Record in Web of Science")</f>
        <v>View Full Record in Web of Science</v>
      </c>
    </row>
    <row r="452" spans="1:72" x14ac:dyDescent="0.15">
      <c r="A452" t="s">
        <v>72</v>
      </c>
      <c r="B452" t="s">
        <v>8575</v>
      </c>
      <c r="C452" t="s">
        <v>74</v>
      </c>
      <c r="D452" t="s">
        <v>74</v>
      </c>
      <c r="E452" t="s">
        <v>74</v>
      </c>
      <c r="F452" t="s">
        <v>8576</v>
      </c>
      <c r="G452" t="s">
        <v>74</v>
      </c>
      <c r="H452" t="s">
        <v>74</v>
      </c>
      <c r="I452" t="s">
        <v>8577</v>
      </c>
      <c r="J452" t="s">
        <v>4521</v>
      </c>
      <c r="K452" t="s">
        <v>74</v>
      </c>
      <c r="L452" t="s">
        <v>74</v>
      </c>
      <c r="M452" t="s">
        <v>78</v>
      </c>
      <c r="N452" t="s">
        <v>79</v>
      </c>
      <c r="O452" t="s">
        <v>74</v>
      </c>
      <c r="P452" t="s">
        <v>74</v>
      </c>
      <c r="Q452" t="s">
        <v>74</v>
      </c>
      <c r="R452" t="s">
        <v>74</v>
      </c>
      <c r="S452" t="s">
        <v>74</v>
      </c>
      <c r="T452" t="s">
        <v>74</v>
      </c>
      <c r="U452" t="s">
        <v>8578</v>
      </c>
      <c r="V452" t="s">
        <v>8579</v>
      </c>
      <c r="W452" t="s">
        <v>8580</v>
      </c>
      <c r="X452" t="s">
        <v>8581</v>
      </c>
      <c r="Y452" t="s">
        <v>8582</v>
      </c>
      <c r="Z452" t="s">
        <v>8583</v>
      </c>
      <c r="AA452" t="s">
        <v>8584</v>
      </c>
      <c r="AB452" t="s">
        <v>8585</v>
      </c>
      <c r="AC452" t="s">
        <v>8586</v>
      </c>
      <c r="AD452" t="s">
        <v>8587</v>
      </c>
      <c r="AE452" t="s">
        <v>8588</v>
      </c>
      <c r="AF452" t="s">
        <v>74</v>
      </c>
      <c r="AG452">
        <v>61</v>
      </c>
      <c r="AH452">
        <v>16</v>
      </c>
      <c r="AI452">
        <v>16</v>
      </c>
      <c r="AJ452">
        <v>0</v>
      </c>
      <c r="AK452">
        <v>29</v>
      </c>
      <c r="AL452" t="s">
        <v>4248</v>
      </c>
      <c r="AM452" t="s">
        <v>4249</v>
      </c>
      <c r="AN452" t="s">
        <v>4250</v>
      </c>
      <c r="AO452" t="s">
        <v>4533</v>
      </c>
      <c r="AP452" t="s">
        <v>4534</v>
      </c>
      <c r="AQ452" t="s">
        <v>74</v>
      </c>
      <c r="AR452" t="s">
        <v>4535</v>
      </c>
      <c r="AS452" t="s">
        <v>4536</v>
      </c>
      <c r="AT452" t="s">
        <v>74</v>
      </c>
      <c r="AU452">
        <v>2013</v>
      </c>
      <c r="AV452">
        <v>13</v>
      </c>
      <c r="AW452">
        <v>4</v>
      </c>
      <c r="AX452" t="s">
        <v>74</v>
      </c>
      <c r="AY452" t="s">
        <v>74</v>
      </c>
      <c r="AZ452" t="s">
        <v>74</v>
      </c>
      <c r="BA452" t="s">
        <v>74</v>
      </c>
      <c r="BB452">
        <v>2165</v>
      </c>
      <c r="BC452">
        <v>2175</v>
      </c>
      <c r="BD452" t="s">
        <v>74</v>
      </c>
      <c r="BE452" t="s">
        <v>8589</v>
      </c>
      <c r="BF452" t="str">
        <f>HYPERLINK("http://dx.doi.org/10.5194/acp-13-2165-2013","http://dx.doi.org/10.5194/acp-13-2165-2013")</f>
        <v>http://dx.doi.org/10.5194/acp-13-2165-2013</v>
      </c>
      <c r="BG452" t="s">
        <v>74</v>
      </c>
      <c r="BH452" t="s">
        <v>74</v>
      </c>
      <c r="BI452">
        <v>11</v>
      </c>
      <c r="BJ452" t="s">
        <v>1627</v>
      </c>
      <c r="BK452" t="s">
        <v>102</v>
      </c>
      <c r="BL452" t="s">
        <v>1628</v>
      </c>
      <c r="BM452" t="s">
        <v>8573</v>
      </c>
      <c r="BN452" t="s">
        <v>74</v>
      </c>
      <c r="BO452" t="s">
        <v>4132</v>
      </c>
      <c r="BP452" t="s">
        <v>74</v>
      </c>
      <c r="BQ452" t="s">
        <v>74</v>
      </c>
      <c r="BR452" t="s">
        <v>105</v>
      </c>
      <c r="BS452" t="s">
        <v>8590</v>
      </c>
      <c r="BT452" t="str">
        <f>HYPERLINK("https%3A%2F%2Fwww.webofscience.com%2Fwos%2Fwoscc%2Ffull-record%2FWOS:000315406600027","View Full Record in Web of Science")</f>
        <v>View Full Record in Web of Science</v>
      </c>
    </row>
    <row r="453" spans="1:72" x14ac:dyDescent="0.15">
      <c r="A453" t="s">
        <v>72</v>
      </c>
      <c r="B453" t="s">
        <v>8591</v>
      </c>
      <c r="C453" t="s">
        <v>74</v>
      </c>
      <c r="D453" t="s">
        <v>74</v>
      </c>
      <c r="E453" t="s">
        <v>74</v>
      </c>
      <c r="F453" t="s">
        <v>8592</v>
      </c>
      <c r="G453" t="s">
        <v>74</v>
      </c>
      <c r="H453" t="s">
        <v>74</v>
      </c>
      <c r="I453" t="s">
        <v>8593</v>
      </c>
      <c r="J453" t="s">
        <v>8594</v>
      </c>
      <c r="K453" t="s">
        <v>74</v>
      </c>
      <c r="L453" t="s">
        <v>74</v>
      </c>
      <c r="M453" t="s">
        <v>78</v>
      </c>
      <c r="N453" t="s">
        <v>79</v>
      </c>
      <c r="O453" t="s">
        <v>74</v>
      </c>
      <c r="P453" t="s">
        <v>74</v>
      </c>
      <c r="Q453" t="s">
        <v>74</v>
      </c>
      <c r="R453" t="s">
        <v>74</v>
      </c>
      <c r="S453" t="s">
        <v>74</v>
      </c>
      <c r="T453" t="s">
        <v>8595</v>
      </c>
      <c r="U453" t="s">
        <v>8596</v>
      </c>
      <c r="V453" t="s">
        <v>8597</v>
      </c>
      <c r="W453" t="s">
        <v>8598</v>
      </c>
      <c r="X453" t="s">
        <v>8599</v>
      </c>
      <c r="Y453" t="s">
        <v>8600</v>
      </c>
      <c r="Z453" t="s">
        <v>8601</v>
      </c>
      <c r="AA453" t="s">
        <v>8602</v>
      </c>
      <c r="AB453" t="s">
        <v>8603</v>
      </c>
      <c r="AC453" t="s">
        <v>8604</v>
      </c>
      <c r="AD453" t="s">
        <v>8605</v>
      </c>
      <c r="AE453" t="s">
        <v>8606</v>
      </c>
      <c r="AF453" t="s">
        <v>74</v>
      </c>
      <c r="AG453">
        <v>66</v>
      </c>
      <c r="AH453">
        <v>60</v>
      </c>
      <c r="AI453">
        <v>66</v>
      </c>
      <c r="AJ453">
        <v>1</v>
      </c>
      <c r="AK453">
        <v>16</v>
      </c>
      <c r="AL453" t="s">
        <v>586</v>
      </c>
      <c r="AM453" t="s">
        <v>542</v>
      </c>
      <c r="AN453" t="s">
        <v>587</v>
      </c>
      <c r="AO453" t="s">
        <v>8607</v>
      </c>
      <c r="AP453" t="s">
        <v>8608</v>
      </c>
      <c r="AQ453" t="s">
        <v>74</v>
      </c>
      <c r="AR453" t="s">
        <v>8609</v>
      </c>
      <c r="AS453" t="s">
        <v>8610</v>
      </c>
      <c r="AT453" t="s">
        <v>5170</v>
      </c>
      <c r="AU453">
        <v>2013</v>
      </c>
      <c r="AV453">
        <v>100</v>
      </c>
      <c r="AW453" t="s">
        <v>74</v>
      </c>
      <c r="AX453" t="s">
        <v>74</v>
      </c>
      <c r="AY453" t="s">
        <v>74</v>
      </c>
      <c r="AZ453" t="s">
        <v>74</v>
      </c>
      <c r="BA453" t="s">
        <v>74</v>
      </c>
      <c r="BB453">
        <v>70</v>
      </c>
      <c r="BC453">
        <v>84</v>
      </c>
      <c r="BD453" t="s">
        <v>74</v>
      </c>
      <c r="BE453" t="s">
        <v>8611</v>
      </c>
      <c r="BF453" t="str">
        <f>HYPERLINK("http://dx.doi.org/10.1016/j.gloplacha.2012.09.005","http://dx.doi.org/10.1016/j.gloplacha.2012.09.005")</f>
        <v>http://dx.doi.org/10.1016/j.gloplacha.2012.09.005</v>
      </c>
      <c r="BG453" t="s">
        <v>74</v>
      </c>
      <c r="BH453" t="s">
        <v>74</v>
      </c>
      <c r="BI453">
        <v>15</v>
      </c>
      <c r="BJ453" t="s">
        <v>2261</v>
      </c>
      <c r="BK453" t="s">
        <v>102</v>
      </c>
      <c r="BL453" t="s">
        <v>2262</v>
      </c>
      <c r="BM453" t="s">
        <v>8612</v>
      </c>
      <c r="BN453" t="s">
        <v>74</v>
      </c>
      <c r="BO453" t="s">
        <v>74</v>
      </c>
      <c r="BP453" t="s">
        <v>74</v>
      </c>
      <c r="BQ453" t="s">
        <v>74</v>
      </c>
      <c r="BR453" t="s">
        <v>105</v>
      </c>
      <c r="BS453" t="s">
        <v>8613</v>
      </c>
      <c r="BT453" t="str">
        <f>HYPERLINK("https%3A%2F%2Fwww.webofscience.com%2Fwos%2Fwoscc%2Ffull-record%2FWOS:000315557900007","View Full Record in Web of Science")</f>
        <v>View Full Record in Web of Science</v>
      </c>
    </row>
    <row r="454" spans="1:72" x14ac:dyDescent="0.15">
      <c r="A454" t="s">
        <v>72</v>
      </c>
      <c r="B454" t="s">
        <v>8614</v>
      </c>
      <c r="C454" t="s">
        <v>74</v>
      </c>
      <c r="D454" t="s">
        <v>74</v>
      </c>
      <c r="E454" t="s">
        <v>74</v>
      </c>
      <c r="F454" t="s">
        <v>8615</v>
      </c>
      <c r="G454" t="s">
        <v>74</v>
      </c>
      <c r="H454" t="s">
        <v>74</v>
      </c>
      <c r="I454" t="s">
        <v>8616</v>
      </c>
      <c r="J454" t="s">
        <v>8594</v>
      </c>
      <c r="K454" t="s">
        <v>74</v>
      </c>
      <c r="L454" t="s">
        <v>74</v>
      </c>
      <c r="M454" t="s">
        <v>78</v>
      </c>
      <c r="N454" t="s">
        <v>79</v>
      </c>
      <c r="O454" t="s">
        <v>74</v>
      </c>
      <c r="P454" t="s">
        <v>74</v>
      </c>
      <c r="Q454" t="s">
        <v>74</v>
      </c>
      <c r="R454" t="s">
        <v>74</v>
      </c>
      <c r="S454" t="s">
        <v>74</v>
      </c>
      <c r="T454" t="s">
        <v>8617</v>
      </c>
      <c r="U454" t="s">
        <v>8618</v>
      </c>
      <c r="V454" t="s">
        <v>8619</v>
      </c>
      <c r="W454" t="s">
        <v>8620</v>
      </c>
      <c r="X454" t="s">
        <v>8621</v>
      </c>
      <c r="Y454" t="s">
        <v>8622</v>
      </c>
      <c r="Z454" t="s">
        <v>8623</v>
      </c>
      <c r="AA454" t="s">
        <v>74</v>
      </c>
      <c r="AB454" t="s">
        <v>8624</v>
      </c>
      <c r="AC454" t="s">
        <v>8625</v>
      </c>
      <c r="AD454" t="s">
        <v>8626</v>
      </c>
      <c r="AE454" t="s">
        <v>8627</v>
      </c>
      <c r="AF454" t="s">
        <v>74</v>
      </c>
      <c r="AG454">
        <v>59</v>
      </c>
      <c r="AH454">
        <v>5</v>
      </c>
      <c r="AI454">
        <v>5</v>
      </c>
      <c r="AJ454">
        <v>4</v>
      </c>
      <c r="AK454">
        <v>36</v>
      </c>
      <c r="AL454" t="s">
        <v>541</v>
      </c>
      <c r="AM454" t="s">
        <v>542</v>
      </c>
      <c r="AN454" t="s">
        <v>543</v>
      </c>
      <c r="AO454" t="s">
        <v>8607</v>
      </c>
      <c r="AP454" t="s">
        <v>8608</v>
      </c>
      <c r="AQ454" t="s">
        <v>74</v>
      </c>
      <c r="AR454" t="s">
        <v>8609</v>
      </c>
      <c r="AS454" t="s">
        <v>8610</v>
      </c>
      <c r="AT454" t="s">
        <v>5170</v>
      </c>
      <c r="AU454">
        <v>2013</v>
      </c>
      <c r="AV454">
        <v>100</v>
      </c>
      <c r="AW454" t="s">
        <v>74</v>
      </c>
      <c r="AX454" t="s">
        <v>74</v>
      </c>
      <c r="AY454" t="s">
        <v>74</v>
      </c>
      <c r="AZ454" t="s">
        <v>74</v>
      </c>
      <c r="BA454" t="s">
        <v>74</v>
      </c>
      <c r="BB454">
        <v>353</v>
      </c>
      <c r="BC454">
        <v>361</v>
      </c>
      <c r="BD454" t="s">
        <v>74</v>
      </c>
      <c r="BE454" t="s">
        <v>8628</v>
      </c>
      <c r="BF454" t="str">
        <f>HYPERLINK("http://dx.doi.org/10.1016/j.gloplacha.2012.11.014","http://dx.doi.org/10.1016/j.gloplacha.2012.11.014")</f>
        <v>http://dx.doi.org/10.1016/j.gloplacha.2012.11.014</v>
      </c>
      <c r="BG454" t="s">
        <v>74</v>
      </c>
      <c r="BH454" t="s">
        <v>74</v>
      </c>
      <c r="BI454">
        <v>9</v>
      </c>
      <c r="BJ454" t="s">
        <v>2261</v>
      </c>
      <c r="BK454" t="s">
        <v>102</v>
      </c>
      <c r="BL454" t="s">
        <v>2262</v>
      </c>
      <c r="BM454" t="s">
        <v>8612</v>
      </c>
      <c r="BN454" t="s">
        <v>74</v>
      </c>
      <c r="BO454" t="s">
        <v>74</v>
      </c>
      <c r="BP454" t="s">
        <v>74</v>
      </c>
      <c r="BQ454" t="s">
        <v>74</v>
      </c>
      <c r="BR454" t="s">
        <v>105</v>
      </c>
      <c r="BS454" t="s">
        <v>8629</v>
      </c>
      <c r="BT454" t="str">
        <f>HYPERLINK("https%3A%2F%2Fwww.webofscience.com%2Fwos%2Fwoscc%2Ffull-record%2FWOS:000315557900031","View Full Record in Web of Science")</f>
        <v>View Full Record in Web of Science</v>
      </c>
    </row>
    <row r="455" spans="1:72" x14ac:dyDescent="0.15">
      <c r="A455" t="s">
        <v>72</v>
      </c>
      <c r="B455" t="s">
        <v>8630</v>
      </c>
      <c r="C455" t="s">
        <v>74</v>
      </c>
      <c r="D455" t="s">
        <v>74</v>
      </c>
      <c r="E455" t="s">
        <v>74</v>
      </c>
      <c r="F455" t="s">
        <v>8631</v>
      </c>
      <c r="G455" t="s">
        <v>74</v>
      </c>
      <c r="H455" t="s">
        <v>74</v>
      </c>
      <c r="I455" t="s">
        <v>8632</v>
      </c>
      <c r="J455" t="s">
        <v>8594</v>
      </c>
      <c r="K455" t="s">
        <v>74</v>
      </c>
      <c r="L455" t="s">
        <v>74</v>
      </c>
      <c r="M455" t="s">
        <v>78</v>
      </c>
      <c r="N455" t="s">
        <v>79</v>
      </c>
      <c r="O455" t="s">
        <v>74</v>
      </c>
      <c r="P455" t="s">
        <v>74</v>
      </c>
      <c r="Q455" t="s">
        <v>74</v>
      </c>
      <c r="R455" t="s">
        <v>74</v>
      </c>
      <c r="S455" t="s">
        <v>74</v>
      </c>
      <c r="T455" t="s">
        <v>8633</v>
      </c>
      <c r="U455" t="s">
        <v>8634</v>
      </c>
      <c r="V455" t="s">
        <v>8635</v>
      </c>
      <c r="W455" t="s">
        <v>8636</v>
      </c>
      <c r="X455" t="s">
        <v>8637</v>
      </c>
      <c r="Y455" t="s">
        <v>8638</v>
      </c>
      <c r="Z455" t="s">
        <v>8639</v>
      </c>
      <c r="AA455" t="s">
        <v>74</v>
      </c>
      <c r="AB455" t="s">
        <v>74</v>
      </c>
      <c r="AC455" t="s">
        <v>8640</v>
      </c>
      <c r="AD455" t="s">
        <v>8641</v>
      </c>
      <c r="AE455" t="s">
        <v>8642</v>
      </c>
      <c r="AF455" t="s">
        <v>74</v>
      </c>
      <c r="AG455">
        <v>60</v>
      </c>
      <c r="AH455">
        <v>19</v>
      </c>
      <c r="AI455">
        <v>19</v>
      </c>
      <c r="AJ455">
        <v>0</v>
      </c>
      <c r="AK455">
        <v>25</v>
      </c>
      <c r="AL455" t="s">
        <v>586</v>
      </c>
      <c r="AM455" t="s">
        <v>542</v>
      </c>
      <c r="AN455" t="s">
        <v>587</v>
      </c>
      <c r="AO455" t="s">
        <v>8607</v>
      </c>
      <c r="AP455" t="s">
        <v>8608</v>
      </c>
      <c r="AQ455" t="s">
        <v>74</v>
      </c>
      <c r="AR455" t="s">
        <v>8609</v>
      </c>
      <c r="AS455" t="s">
        <v>8610</v>
      </c>
      <c r="AT455" t="s">
        <v>5170</v>
      </c>
      <c r="AU455">
        <v>2013</v>
      </c>
      <c r="AV455">
        <v>100</v>
      </c>
      <c r="AW455" t="s">
        <v>74</v>
      </c>
      <c r="AX455" t="s">
        <v>74</v>
      </c>
      <c r="AY455" t="s">
        <v>74</v>
      </c>
      <c r="AZ455" t="s">
        <v>74</v>
      </c>
      <c r="BA455" t="s">
        <v>74</v>
      </c>
      <c r="BB455">
        <v>362</v>
      </c>
      <c r="BC455">
        <v>370</v>
      </c>
      <c r="BD455" t="s">
        <v>74</v>
      </c>
      <c r="BE455" t="s">
        <v>8643</v>
      </c>
      <c r="BF455" t="str">
        <f>HYPERLINK("http://dx.doi.org/10.1016/j.gloplacha.2012.11.012","http://dx.doi.org/10.1016/j.gloplacha.2012.11.012")</f>
        <v>http://dx.doi.org/10.1016/j.gloplacha.2012.11.012</v>
      </c>
      <c r="BG455" t="s">
        <v>74</v>
      </c>
      <c r="BH455" t="s">
        <v>74</v>
      </c>
      <c r="BI455">
        <v>9</v>
      </c>
      <c r="BJ455" t="s">
        <v>2261</v>
      </c>
      <c r="BK455" t="s">
        <v>102</v>
      </c>
      <c r="BL455" t="s">
        <v>2262</v>
      </c>
      <c r="BM455" t="s">
        <v>8612</v>
      </c>
      <c r="BN455" t="s">
        <v>74</v>
      </c>
      <c r="BO455" t="s">
        <v>74</v>
      </c>
      <c r="BP455" t="s">
        <v>74</v>
      </c>
      <c r="BQ455" t="s">
        <v>74</v>
      </c>
      <c r="BR455" t="s">
        <v>105</v>
      </c>
      <c r="BS455" t="s">
        <v>8644</v>
      </c>
      <c r="BT455" t="str">
        <f>HYPERLINK("https%3A%2F%2Fwww.webofscience.com%2Fwos%2Fwoscc%2Ffull-record%2FWOS:000315557900032","View Full Record in Web of Science")</f>
        <v>View Full Record in Web of Science</v>
      </c>
    </row>
    <row r="456" spans="1:72" x14ac:dyDescent="0.15">
      <c r="A456" t="s">
        <v>72</v>
      </c>
      <c r="B456" t="s">
        <v>8645</v>
      </c>
      <c r="C456" t="s">
        <v>74</v>
      </c>
      <c r="D456" t="s">
        <v>74</v>
      </c>
      <c r="E456" t="s">
        <v>74</v>
      </c>
      <c r="F456" t="s">
        <v>8646</v>
      </c>
      <c r="G456" t="s">
        <v>74</v>
      </c>
      <c r="H456" t="s">
        <v>74</v>
      </c>
      <c r="I456" t="s">
        <v>8647</v>
      </c>
      <c r="J456" t="s">
        <v>5060</v>
      </c>
      <c r="K456" t="s">
        <v>74</v>
      </c>
      <c r="L456" t="s">
        <v>74</v>
      </c>
      <c r="M456" t="s">
        <v>78</v>
      </c>
      <c r="N456" t="s">
        <v>79</v>
      </c>
      <c r="O456" t="s">
        <v>74</v>
      </c>
      <c r="P456" t="s">
        <v>74</v>
      </c>
      <c r="Q456" t="s">
        <v>74</v>
      </c>
      <c r="R456" t="s">
        <v>74</v>
      </c>
      <c r="S456" t="s">
        <v>74</v>
      </c>
      <c r="T456" t="s">
        <v>8648</v>
      </c>
      <c r="U456" t="s">
        <v>8649</v>
      </c>
      <c r="V456" t="s">
        <v>8650</v>
      </c>
      <c r="W456" t="s">
        <v>8651</v>
      </c>
      <c r="X456" t="s">
        <v>8652</v>
      </c>
      <c r="Y456" t="s">
        <v>8653</v>
      </c>
      <c r="Z456" t="s">
        <v>8654</v>
      </c>
      <c r="AA456" t="s">
        <v>8655</v>
      </c>
      <c r="AB456" t="s">
        <v>8656</v>
      </c>
      <c r="AC456" t="s">
        <v>8657</v>
      </c>
      <c r="AD456" t="s">
        <v>8658</v>
      </c>
      <c r="AE456" t="s">
        <v>8659</v>
      </c>
      <c r="AF456" t="s">
        <v>74</v>
      </c>
      <c r="AG456">
        <v>84</v>
      </c>
      <c r="AH456">
        <v>14</v>
      </c>
      <c r="AI456">
        <v>14</v>
      </c>
      <c r="AJ456">
        <v>2</v>
      </c>
      <c r="AK456">
        <v>23</v>
      </c>
      <c r="AL456" t="s">
        <v>4363</v>
      </c>
      <c r="AM456" t="s">
        <v>4364</v>
      </c>
      <c r="AN456" t="s">
        <v>4365</v>
      </c>
      <c r="AO456" t="s">
        <v>5073</v>
      </c>
      <c r="AP456" t="s">
        <v>5074</v>
      </c>
      <c r="AQ456" t="s">
        <v>74</v>
      </c>
      <c r="AR456" t="s">
        <v>5075</v>
      </c>
      <c r="AS456" t="s">
        <v>5076</v>
      </c>
      <c r="AT456" t="s">
        <v>74</v>
      </c>
      <c r="AU456">
        <v>2013</v>
      </c>
      <c r="AV456">
        <v>476</v>
      </c>
      <c r="AW456" t="s">
        <v>74</v>
      </c>
      <c r="AX456" t="s">
        <v>74</v>
      </c>
      <c r="AY456" t="s">
        <v>74</v>
      </c>
      <c r="AZ456" t="s">
        <v>74</v>
      </c>
      <c r="BA456" t="s">
        <v>74</v>
      </c>
      <c r="BB456">
        <v>39</v>
      </c>
      <c r="BC456" t="s">
        <v>99</v>
      </c>
      <c r="BD456" t="s">
        <v>74</v>
      </c>
      <c r="BE456" t="s">
        <v>8660</v>
      </c>
      <c r="BF456" t="str">
        <f>HYPERLINK("http://dx.doi.org/10.3354/meps10142","http://dx.doi.org/10.3354/meps10142")</f>
        <v>http://dx.doi.org/10.3354/meps10142</v>
      </c>
      <c r="BG456" t="s">
        <v>74</v>
      </c>
      <c r="BH456" t="s">
        <v>74</v>
      </c>
      <c r="BI456">
        <v>26</v>
      </c>
      <c r="BJ456" t="s">
        <v>5078</v>
      </c>
      <c r="BK456" t="s">
        <v>102</v>
      </c>
      <c r="BL456" t="s">
        <v>5079</v>
      </c>
      <c r="BM456" t="s">
        <v>8661</v>
      </c>
      <c r="BN456" t="s">
        <v>74</v>
      </c>
      <c r="BO456" t="s">
        <v>128</v>
      </c>
      <c r="BP456" t="s">
        <v>74</v>
      </c>
      <c r="BQ456" t="s">
        <v>74</v>
      </c>
      <c r="BR456" t="s">
        <v>105</v>
      </c>
      <c r="BS456" t="s">
        <v>8662</v>
      </c>
      <c r="BT456" t="str">
        <f>HYPERLINK("https%3A%2F%2Fwww.webofscience.com%2Fwos%2Fwoscc%2Ffull-record%2FWOS:000315465900004","View Full Record in Web of Science")</f>
        <v>View Full Record in Web of Science</v>
      </c>
    </row>
    <row r="457" spans="1:72" x14ac:dyDescent="0.15">
      <c r="A457" t="s">
        <v>72</v>
      </c>
      <c r="B457" t="s">
        <v>8663</v>
      </c>
      <c r="C457" t="s">
        <v>74</v>
      </c>
      <c r="D457" t="s">
        <v>74</v>
      </c>
      <c r="E457" t="s">
        <v>74</v>
      </c>
      <c r="F457" t="s">
        <v>8664</v>
      </c>
      <c r="G457" t="s">
        <v>74</v>
      </c>
      <c r="H457" t="s">
        <v>74</v>
      </c>
      <c r="I457" t="s">
        <v>8665</v>
      </c>
      <c r="J457" t="s">
        <v>4789</v>
      </c>
      <c r="K457" t="s">
        <v>74</v>
      </c>
      <c r="L457" t="s">
        <v>74</v>
      </c>
      <c r="M457" t="s">
        <v>78</v>
      </c>
      <c r="N457" t="s">
        <v>79</v>
      </c>
      <c r="O457" t="s">
        <v>74</v>
      </c>
      <c r="P457" t="s">
        <v>74</v>
      </c>
      <c r="Q457" t="s">
        <v>74</v>
      </c>
      <c r="R457" t="s">
        <v>74</v>
      </c>
      <c r="S457" t="s">
        <v>74</v>
      </c>
      <c r="T457" t="s">
        <v>74</v>
      </c>
      <c r="U457" t="s">
        <v>8666</v>
      </c>
      <c r="V457" t="s">
        <v>8667</v>
      </c>
      <c r="W457" t="s">
        <v>8668</v>
      </c>
      <c r="X457" t="s">
        <v>8669</v>
      </c>
      <c r="Y457" t="s">
        <v>8670</v>
      </c>
      <c r="Z457" t="s">
        <v>8671</v>
      </c>
      <c r="AA457" t="s">
        <v>8672</v>
      </c>
      <c r="AB457" t="s">
        <v>8673</v>
      </c>
      <c r="AC457" t="s">
        <v>8674</v>
      </c>
      <c r="AD457" t="s">
        <v>8675</v>
      </c>
      <c r="AE457" t="s">
        <v>8676</v>
      </c>
      <c r="AF457" t="s">
        <v>74</v>
      </c>
      <c r="AG457">
        <v>39</v>
      </c>
      <c r="AH457">
        <v>9</v>
      </c>
      <c r="AI457">
        <v>9</v>
      </c>
      <c r="AJ457">
        <v>0</v>
      </c>
      <c r="AK457">
        <v>21</v>
      </c>
      <c r="AL457" t="s">
        <v>4800</v>
      </c>
      <c r="AM457" t="s">
        <v>474</v>
      </c>
      <c r="AN457" t="s">
        <v>4801</v>
      </c>
      <c r="AO457" t="s">
        <v>4802</v>
      </c>
      <c r="AP457" t="s">
        <v>4803</v>
      </c>
      <c r="AQ457" t="s">
        <v>74</v>
      </c>
      <c r="AR457" t="s">
        <v>4804</v>
      </c>
      <c r="AS457" t="s">
        <v>4805</v>
      </c>
      <c r="AT457" t="s">
        <v>74</v>
      </c>
      <c r="AU457">
        <v>2013</v>
      </c>
      <c r="AV457">
        <v>2013</v>
      </c>
      <c r="AW457" t="s">
        <v>74</v>
      </c>
      <c r="AX457" t="s">
        <v>74</v>
      </c>
      <c r="AY457" t="s">
        <v>74</v>
      </c>
      <c r="AZ457" t="s">
        <v>74</v>
      </c>
      <c r="BA457" t="s">
        <v>74</v>
      </c>
      <c r="BB457" t="s">
        <v>74</v>
      </c>
      <c r="BC457" t="s">
        <v>74</v>
      </c>
      <c r="BD457">
        <v>243938</v>
      </c>
      <c r="BE457" t="s">
        <v>8677</v>
      </c>
      <c r="BF457" t="str">
        <f>HYPERLINK("http://dx.doi.org/10.1155/2013/243938","http://dx.doi.org/10.1155/2013/243938")</f>
        <v>http://dx.doi.org/10.1155/2013/243938</v>
      </c>
      <c r="BG457" t="s">
        <v>74</v>
      </c>
      <c r="BH457" t="s">
        <v>74</v>
      </c>
      <c r="BI457">
        <v>8</v>
      </c>
      <c r="BJ457" t="s">
        <v>4807</v>
      </c>
      <c r="BK457" t="s">
        <v>102</v>
      </c>
      <c r="BL457" t="s">
        <v>4808</v>
      </c>
      <c r="BM457" t="s">
        <v>8678</v>
      </c>
      <c r="BN457">
        <v>23509694</v>
      </c>
      <c r="BO457" t="s">
        <v>3098</v>
      </c>
      <c r="BP457" t="s">
        <v>74</v>
      </c>
      <c r="BQ457" t="s">
        <v>74</v>
      </c>
      <c r="BR457" t="s">
        <v>105</v>
      </c>
      <c r="BS457" t="s">
        <v>8679</v>
      </c>
      <c r="BT457" t="str">
        <f>HYPERLINK("https%3A%2F%2Fwww.webofscience.com%2Fwos%2Fwoscc%2Ffull-record%2FWOS:000315227800001","View Full Record in Web of Science")</f>
        <v>View Full Record in Web of Science</v>
      </c>
    </row>
    <row r="458" spans="1:72" x14ac:dyDescent="0.15">
      <c r="A458" t="s">
        <v>72</v>
      </c>
      <c r="B458" t="s">
        <v>8680</v>
      </c>
      <c r="C458" t="s">
        <v>74</v>
      </c>
      <c r="D458" t="s">
        <v>74</v>
      </c>
      <c r="E458" t="s">
        <v>74</v>
      </c>
      <c r="F458" t="s">
        <v>8681</v>
      </c>
      <c r="G458" t="s">
        <v>74</v>
      </c>
      <c r="H458" t="s">
        <v>74</v>
      </c>
      <c r="I458" t="s">
        <v>8682</v>
      </c>
      <c r="J458" t="s">
        <v>8683</v>
      </c>
      <c r="K458" t="s">
        <v>74</v>
      </c>
      <c r="L458" t="s">
        <v>74</v>
      </c>
      <c r="M458" t="s">
        <v>78</v>
      </c>
      <c r="N458" t="s">
        <v>79</v>
      </c>
      <c r="O458" t="s">
        <v>74</v>
      </c>
      <c r="P458" t="s">
        <v>74</v>
      </c>
      <c r="Q458" t="s">
        <v>74</v>
      </c>
      <c r="R458" t="s">
        <v>74</v>
      </c>
      <c r="S458" t="s">
        <v>74</v>
      </c>
      <c r="T458" t="s">
        <v>74</v>
      </c>
      <c r="U458" t="s">
        <v>8684</v>
      </c>
      <c r="V458" t="s">
        <v>74</v>
      </c>
      <c r="W458" t="s">
        <v>8685</v>
      </c>
      <c r="X458" t="s">
        <v>8686</v>
      </c>
      <c r="Y458" t="s">
        <v>8687</v>
      </c>
      <c r="Z458" t="s">
        <v>8688</v>
      </c>
      <c r="AA458" t="s">
        <v>74</v>
      </c>
      <c r="AB458" t="s">
        <v>74</v>
      </c>
      <c r="AC458" t="s">
        <v>74</v>
      </c>
      <c r="AD458" t="s">
        <v>74</v>
      </c>
      <c r="AE458" t="s">
        <v>74</v>
      </c>
      <c r="AF458" t="s">
        <v>74</v>
      </c>
      <c r="AG458">
        <v>15</v>
      </c>
      <c r="AH458">
        <v>4</v>
      </c>
      <c r="AI458">
        <v>4</v>
      </c>
      <c r="AJ458">
        <v>0</v>
      </c>
      <c r="AK458">
        <v>2</v>
      </c>
      <c r="AL458" t="s">
        <v>295</v>
      </c>
      <c r="AM458" t="s">
        <v>296</v>
      </c>
      <c r="AN458" t="s">
        <v>297</v>
      </c>
      <c r="AO458" t="s">
        <v>8689</v>
      </c>
      <c r="AP458" t="s">
        <v>74</v>
      </c>
      <c r="AQ458" t="s">
        <v>74</v>
      </c>
      <c r="AR458" t="s">
        <v>8690</v>
      </c>
      <c r="AS458" t="s">
        <v>8691</v>
      </c>
      <c r="AT458" t="s">
        <v>5170</v>
      </c>
      <c r="AU458">
        <v>2013</v>
      </c>
      <c r="AV458">
        <v>448</v>
      </c>
      <c r="AW458">
        <v>1</v>
      </c>
      <c r="AX458" t="s">
        <v>74</v>
      </c>
      <c r="AY458" t="s">
        <v>74</v>
      </c>
      <c r="AZ458" t="s">
        <v>74</v>
      </c>
      <c r="BA458" t="s">
        <v>74</v>
      </c>
      <c r="BB458">
        <v>17</v>
      </c>
      <c r="BC458">
        <v>20</v>
      </c>
      <c r="BD458" t="s">
        <v>74</v>
      </c>
      <c r="BE458" t="s">
        <v>8692</v>
      </c>
      <c r="BF458" t="str">
        <f>HYPERLINK("http://dx.doi.org/10.1134/S1028334X12110116","http://dx.doi.org/10.1134/S1028334X12110116")</f>
        <v>http://dx.doi.org/10.1134/S1028334X12110116</v>
      </c>
      <c r="BG458" t="s">
        <v>74</v>
      </c>
      <c r="BH458" t="s">
        <v>74</v>
      </c>
      <c r="BI458">
        <v>4</v>
      </c>
      <c r="BJ458" t="s">
        <v>1604</v>
      </c>
      <c r="BK458" t="s">
        <v>102</v>
      </c>
      <c r="BL458" t="s">
        <v>1605</v>
      </c>
      <c r="BM458" t="s">
        <v>8693</v>
      </c>
      <c r="BN458" t="s">
        <v>74</v>
      </c>
      <c r="BO458" t="s">
        <v>74</v>
      </c>
      <c r="BP458" t="s">
        <v>74</v>
      </c>
      <c r="BQ458" t="s">
        <v>74</v>
      </c>
      <c r="BR458" t="s">
        <v>105</v>
      </c>
      <c r="BS458" t="s">
        <v>8694</v>
      </c>
      <c r="BT458" t="str">
        <f>HYPERLINK("https%3A%2F%2Fwww.webofscience.com%2Fwos%2Fwoscc%2Ffull-record%2FWOS:000315040400004","View Full Record in Web of Science")</f>
        <v>View Full Record in Web of Science</v>
      </c>
    </row>
    <row r="459" spans="1:72" x14ac:dyDescent="0.15">
      <c r="A459" t="s">
        <v>72</v>
      </c>
      <c r="B459" t="s">
        <v>8695</v>
      </c>
      <c r="C459" t="s">
        <v>74</v>
      </c>
      <c r="D459" t="s">
        <v>74</v>
      </c>
      <c r="E459" t="s">
        <v>74</v>
      </c>
      <c r="F459" t="s">
        <v>8696</v>
      </c>
      <c r="G459" t="s">
        <v>74</v>
      </c>
      <c r="H459" t="s">
        <v>74</v>
      </c>
      <c r="I459" t="s">
        <v>8697</v>
      </c>
      <c r="J459" t="s">
        <v>2853</v>
      </c>
      <c r="K459" t="s">
        <v>74</v>
      </c>
      <c r="L459" t="s">
        <v>74</v>
      </c>
      <c r="M459" t="s">
        <v>78</v>
      </c>
      <c r="N459" t="s">
        <v>79</v>
      </c>
      <c r="O459" t="s">
        <v>74</v>
      </c>
      <c r="P459" t="s">
        <v>74</v>
      </c>
      <c r="Q459" t="s">
        <v>74</v>
      </c>
      <c r="R459" t="s">
        <v>74</v>
      </c>
      <c r="S459" t="s">
        <v>74</v>
      </c>
      <c r="T459" t="s">
        <v>8698</v>
      </c>
      <c r="U459" t="s">
        <v>8699</v>
      </c>
      <c r="V459" t="s">
        <v>8700</v>
      </c>
      <c r="W459" t="s">
        <v>8701</v>
      </c>
      <c r="X459" t="s">
        <v>8702</v>
      </c>
      <c r="Y459" t="s">
        <v>8703</v>
      </c>
      <c r="Z459" t="s">
        <v>8704</v>
      </c>
      <c r="AA459" t="s">
        <v>8705</v>
      </c>
      <c r="AB459" t="s">
        <v>8706</v>
      </c>
      <c r="AC459" t="s">
        <v>8707</v>
      </c>
      <c r="AD459" t="s">
        <v>8708</v>
      </c>
      <c r="AE459" t="s">
        <v>8709</v>
      </c>
      <c r="AF459" t="s">
        <v>74</v>
      </c>
      <c r="AG459">
        <v>76</v>
      </c>
      <c r="AH459">
        <v>8</v>
      </c>
      <c r="AI459">
        <v>9</v>
      </c>
      <c r="AJ459">
        <v>0</v>
      </c>
      <c r="AK459">
        <v>11</v>
      </c>
      <c r="AL459" t="s">
        <v>586</v>
      </c>
      <c r="AM459" t="s">
        <v>542</v>
      </c>
      <c r="AN459" t="s">
        <v>587</v>
      </c>
      <c r="AO459" t="s">
        <v>2866</v>
      </c>
      <c r="AP459" t="s">
        <v>2867</v>
      </c>
      <c r="AQ459" t="s">
        <v>74</v>
      </c>
      <c r="AR459" t="s">
        <v>2868</v>
      </c>
      <c r="AS459" t="s">
        <v>2869</v>
      </c>
      <c r="AT459" t="s">
        <v>7151</v>
      </c>
      <c r="AU459">
        <v>2013</v>
      </c>
      <c r="AV459">
        <v>369</v>
      </c>
      <c r="AW459" t="s">
        <v>74</v>
      </c>
      <c r="AX459" t="s">
        <v>74</v>
      </c>
      <c r="AY459" t="s">
        <v>74</v>
      </c>
      <c r="AZ459" t="s">
        <v>74</v>
      </c>
      <c r="BA459" t="s">
        <v>74</v>
      </c>
      <c r="BB459">
        <v>1</v>
      </c>
      <c r="BC459">
        <v>13</v>
      </c>
      <c r="BD459" t="s">
        <v>74</v>
      </c>
      <c r="BE459" t="s">
        <v>8710</v>
      </c>
      <c r="BF459" t="str">
        <f>HYPERLINK("http://dx.doi.org/10.1016/j.palaeo.2012.08.020","http://dx.doi.org/10.1016/j.palaeo.2012.08.020")</f>
        <v>http://dx.doi.org/10.1016/j.palaeo.2012.08.020</v>
      </c>
      <c r="BG459" t="s">
        <v>74</v>
      </c>
      <c r="BH459" t="s">
        <v>74</v>
      </c>
      <c r="BI459">
        <v>13</v>
      </c>
      <c r="BJ459" t="s">
        <v>2872</v>
      </c>
      <c r="BK459" t="s">
        <v>102</v>
      </c>
      <c r="BL459" t="s">
        <v>2873</v>
      </c>
      <c r="BM459" t="s">
        <v>8711</v>
      </c>
      <c r="BN459" t="s">
        <v>74</v>
      </c>
      <c r="BO459" t="s">
        <v>74</v>
      </c>
      <c r="BP459" t="s">
        <v>74</v>
      </c>
      <c r="BQ459" t="s">
        <v>74</v>
      </c>
      <c r="BR459" t="s">
        <v>105</v>
      </c>
      <c r="BS459" t="s">
        <v>8712</v>
      </c>
      <c r="BT459" t="str">
        <f>HYPERLINK("https%3A%2F%2Fwww.webofscience.com%2Fwos%2Fwoscc%2Ffull-record%2FWOS:000315127200001","View Full Record in Web of Science")</f>
        <v>View Full Record in Web of Science</v>
      </c>
    </row>
    <row r="460" spans="1:72" x14ac:dyDescent="0.15">
      <c r="A460" t="s">
        <v>72</v>
      </c>
      <c r="B460" t="s">
        <v>8713</v>
      </c>
      <c r="C460" t="s">
        <v>74</v>
      </c>
      <c r="D460" t="s">
        <v>74</v>
      </c>
      <c r="E460" t="s">
        <v>74</v>
      </c>
      <c r="F460" t="s">
        <v>8714</v>
      </c>
      <c r="G460" t="s">
        <v>74</v>
      </c>
      <c r="H460" t="s">
        <v>74</v>
      </c>
      <c r="I460" t="s">
        <v>8715</v>
      </c>
      <c r="J460" t="s">
        <v>2853</v>
      </c>
      <c r="K460" t="s">
        <v>74</v>
      </c>
      <c r="L460" t="s">
        <v>74</v>
      </c>
      <c r="M460" t="s">
        <v>78</v>
      </c>
      <c r="N460" t="s">
        <v>79</v>
      </c>
      <c r="O460" t="s">
        <v>74</v>
      </c>
      <c r="P460" t="s">
        <v>74</v>
      </c>
      <c r="Q460" t="s">
        <v>74</v>
      </c>
      <c r="R460" t="s">
        <v>74</v>
      </c>
      <c r="S460" t="s">
        <v>74</v>
      </c>
      <c r="T460" t="s">
        <v>8716</v>
      </c>
      <c r="U460" t="s">
        <v>8717</v>
      </c>
      <c r="V460" t="s">
        <v>8718</v>
      </c>
      <c r="W460" t="s">
        <v>8719</v>
      </c>
      <c r="X460" t="s">
        <v>8720</v>
      </c>
      <c r="Y460" t="s">
        <v>8721</v>
      </c>
      <c r="Z460" t="s">
        <v>8722</v>
      </c>
      <c r="AA460" t="s">
        <v>8723</v>
      </c>
      <c r="AB460" t="s">
        <v>8724</v>
      </c>
      <c r="AC460" t="s">
        <v>8725</v>
      </c>
      <c r="AD460" t="s">
        <v>8726</v>
      </c>
      <c r="AE460" t="s">
        <v>8727</v>
      </c>
      <c r="AF460" t="s">
        <v>74</v>
      </c>
      <c r="AG460">
        <v>120</v>
      </c>
      <c r="AH460">
        <v>19</v>
      </c>
      <c r="AI460">
        <v>22</v>
      </c>
      <c r="AJ460">
        <v>1</v>
      </c>
      <c r="AK460">
        <v>44</v>
      </c>
      <c r="AL460" t="s">
        <v>586</v>
      </c>
      <c r="AM460" t="s">
        <v>542</v>
      </c>
      <c r="AN460" t="s">
        <v>587</v>
      </c>
      <c r="AO460" t="s">
        <v>2866</v>
      </c>
      <c r="AP460" t="s">
        <v>2867</v>
      </c>
      <c r="AQ460" t="s">
        <v>74</v>
      </c>
      <c r="AR460" t="s">
        <v>2868</v>
      </c>
      <c r="AS460" t="s">
        <v>2869</v>
      </c>
      <c r="AT460" t="s">
        <v>7151</v>
      </c>
      <c r="AU460">
        <v>2013</v>
      </c>
      <c r="AV460">
        <v>369</v>
      </c>
      <c r="AW460" t="s">
        <v>74</v>
      </c>
      <c r="AX460" t="s">
        <v>74</v>
      </c>
      <c r="AY460" t="s">
        <v>74</v>
      </c>
      <c r="AZ460" t="s">
        <v>74</v>
      </c>
      <c r="BA460" t="s">
        <v>74</v>
      </c>
      <c r="BB460">
        <v>136</v>
      </c>
      <c r="BC460">
        <v>153</v>
      </c>
      <c r="BD460" t="s">
        <v>74</v>
      </c>
      <c r="BE460" t="s">
        <v>8728</v>
      </c>
      <c r="BF460" t="str">
        <f>HYPERLINK("http://dx.doi.org/10.1016/j.palaeo.2012.10.014","http://dx.doi.org/10.1016/j.palaeo.2012.10.014")</f>
        <v>http://dx.doi.org/10.1016/j.palaeo.2012.10.014</v>
      </c>
      <c r="BG460" t="s">
        <v>74</v>
      </c>
      <c r="BH460" t="s">
        <v>74</v>
      </c>
      <c r="BI460">
        <v>18</v>
      </c>
      <c r="BJ460" t="s">
        <v>2872</v>
      </c>
      <c r="BK460" t="s">
        <v>102</v>
      </c>
      <c r="BL460" t="s">
        <v>2873</v>
      </c>
      <c r="BM460" t="s">
        <v>8711</v>
      </c>
      <c r="BN460" t="s">
        <v>74</v>
      </c>
      <c r="BO460" t="s">
        <v>429</v>
      </c>
      <c r="BP460" t="s">
        <v>74</v>
      </c>
      <c r="BQ460" t="s">
        <v>74</v>
      </c>
      <c r="BR460" t="s">
        <v>105</v>
      </c>
      <c r="BS460" t="s">
        <v>8729</v>
      </c>
      <c r="BT460" t="str">
        <f>HYPERLINK("https%3A%2F%2Fwww.webofscience.com%2Fwos%2Fwoscc%2Ffull-record%2FWOS:000315127200012","View Full Record in Web of Science")</f>
        <v>View Full Record in Web of Science</v>
      </c>
    </row>
    <row r="461" spans="1:72" x14ac:dyDescent="0.15">
      <c r="A461" t="s">
        <v>72</v>
      </c>
      <c r="B461" t="s">
        <v>8730</v>
      </c>
      <c r="C461" t="s">
        <v>74</v>
      </c>
      <c r="D461" t="s">
        <v>74</v>
      </c>
      <c r="E461" t="s">
        <v>74</v>
      </c>
      <c r="F461" t="s">
        <v>8731</v>
      </c>
      <c r="G461" t="s">
        <v>74</v>
      </c>
      <c r="H461" t="s">
        <v>74</v>
      </c>
      <c r="I461" t="s">
        <v>8732</v>
      </c>
      <c r="J461" t="s">
        <v>2853</v>
      </c>
      <c r="K461" t="s">
        <v>74</v>
      </c>
      <c r="L461" t="s">
        <v>74</v>
      </c>
      <c r="M461" t="s">
        <v>78</v>
      </c>
      <c r="N461" t="s">
        <v>79</v>
      </c>
      <c r="O461" t="s">
        <v>74</v>
      </c>
      <c r="P461" t="s">
        <v>74</v>
      </c>
      <c r="Q461" t="s">
        <v>74</v>
      </c>
      <c r="R461" t="s">
        <v>74</v>
      </c>
      <c r="S461" t="s">
        <v>74</v>
      </c>
      <c r="T461" t="s">
        <v>8733</v>
      </c>
      <c r="U461" t="s">
        <v>8734</v>
      </c>
      <c r="V461" t="s">
        <v>8735</v>
      </c>
      <c r="W461" t="s">
        <v>8736</v>
      </c>
      <c r="X461" t="s">
        <v>8737</v>
      </c>
      <c r="Y461" t="s">
        <v>8738</v>
      </c>
      <c r="Z461" t="s">
        <v>8739</v>
      </c>
      <c r="AA461" t="s">
        <v>8740</v>
      </c>
      <c r="AB461" t="s">
        <v>8741</v>
      </c>
      <c r="AC461" t="s">
        <v>8742</v>
      </c>
      <c r="AD461" t="s">
        <v>8743</v>
      </c>
      <c r="AE461" t="s">
        <v>8744</v>
      </c>
      <c r="AF461" t="s">
        <v>74</v>
      </c>
      <c r="AG461">
        <v>88</v>
      </c>
      <c r="AH461">
        <v>25</v>
      </c>
      <c r="AI461">
        <v>26</v>
      </c>
      <c r="AJ461">
        <v>0</v>
      </c>
      <c r="AK461">
        <v>44</v>
      </c>
      <c r="AL461" t="s">
        <v>541</v>
      </c>
      <c r="AM461" t="s">
        <v>542</v>
      </c>
      <c r="AN461" t="s">
        <v>543</v>
      </c>
      <c r="AO461" t="s">
        <v>2866</v>
      </c>
      <c r="AP461" t="s">
        <v>2867</v>
      </c>
      <c r="AQ461" t="s">
        <v>74</v>
      </c>
      <c r="AR461" t="s">
        <v>2868</v>
      </c>
      <c r="AS461" t="s">
        <v>2869</v>
      </c>
      <c r="AT461" t="s">
        <v>7151</v>
      </c>
      <c r="AU461">
        <v>2013</v>
      </c>
      <c r="AV461">
        <v>369</v>
      </c>
      <c r="AW461" t="s">
        <v>74</v>
      </c>
      <c r="AX461" t="s">
        <v>74</v>
      </c>
      <c r="AY461" t="s">
        <v>74</v>
      </c>
      <c r="AZ461" t="s">
        <v>74</v>
      </c>
      <c r="BA461" t="s">
        <v>74</v>
      </c>
      <c r="BB461">
        <v>335</v>
      </c>
      <c r="BC461">
        <v>348</v>
      </c>
      <c r="BD461" t="s">
        <v>74</v>
      </c>
      <c r="BE461" t="s">
        <v>8745</v>
      </c>
      <c r="BF461" t="str">
        <f>HYPERLINK("http://dx.doi.org/10.1016/j.palaeo.2012.11.001","http://dx.doi.org/10.1016/j.palaeo.2012.11.001")</f>
        <v>http://dx.doi.org/10.1016/j.palaeo.2012.11.001</v>
      </c>
      <c r="BG461" t="s">
        <v>74</v>
      </c>
      <c r="BH461" t="s">
        <v>74</v>
      </c>
      <c r="BI461">
        <v>14</v>
      </c>
      <c r="BJ461" t="s">
        <v>2872</v>
      </c>
      <c r="BK461" t="s">
        <v>102</v>
      </c>
      <c r="BL461" t="s">
        <v>2873</v>
      </c>
      <c r="BM461" t="s">
        <v>8711</v>
      </c>
      <c r="BN461" t="s">
        <v>74</v>
      </c>
      <c r="BO461" t="s">
        <v>74</v>
      </c>
      <c r="BP461" t="s">
        <v>74</v>
      </c>
      <c r="BQ461" t="s">
        <v>74</v>
      </c>
      <c r="BR461" t="s">
        <v>105</v>
      </c>
      <c r="BS461" t="s">
        <v>8746</v>
      </c>
      <c r="BT461" t="str">
        <f>HYPERLINK("https%3A%2F%2Fwww.webofscience.com%2Fwos%2Fwoscc%2Ffull-record%2FWOS:000315127200029","View Full Record in Web of Science")</f>
        <v>View Full Record in Web of Science</v>
      </c>
    </row>
    <row r="462" spans="1:72" x14ac:dyDescent="0.15">
      <c r="A462" t="s">
        <v>72</v>
      </c>
      <c r="B462" t="s">
        <v>8747</v>
      </c>
      <c r="C462" t="s">
        <v>74</v>
      </c>
      <c r="D462" t="s">
        <v>74</v>
      </c>
      <c r="E462" t="s">
        <v>74</v>
      </c>
      <c r="F462" t="s">
        <v>8748</v>
      </c>
      <c r="G462" t="s">
        <v>74</v>
      </c>
      <c r="H462" t="s">
        <v>74</v>
      </c>
      <c r="I462" t="s">
        <v>8749</v>
      </c>
      <c r="J462" t="s">
        <v>2853</v>
      </c>
      <c r="K462" t="s">
        <v>74</v>
      </c>
      <c r="L462" t="s">
        <v>74</v>
      </c>
      <c r="M462" t="s">
        <v>78</v>
      </c>
      <c r="N462" t="s">
        <v>79</v>
      </c>
      <c r="O462" t="s">
        <v>74</v>
      </c>
      <c r="P462" t="s">
        <v>74</v>
      </c>
      <c r="Q462" t="s">
        <v>74</v>
      </c>
      <c r="R462" t="s">
        <v>74</v>
      </c>
      <c r="S462" t="s">
        <v>74</v>
      </c>
      <c r="T462" t="s">
        <v>8750</v>
      </c>
      <c r="U462" t="s">
        <v>8751</v>
      </c>
      <c r="V462" t="s">
        <v>8752</v>
      </c>
      <c r="W462" t="s">
        <v>8753</v>
      </c>
      <c r="X462" t="s">
        <v>8754</v>
      </c>
      <c r="Y462" t="s">
        <v>8755</v>
      </c>
      <c r="Z462" t="s">
        <v>8756</v>
      </c>
      <c r="AA462" t="s">
        <v>74</v>
      </c>
      <c r="AB462" t="s">
        <v>74</v>
      </c>
      <c r="AC462" t="s">
        <v>8757</v>
      </c>
      <c r="AD462" t="s">
        <v>7838</v>
      </c>
      <c r="AE462" t="s">
        <v>8758</v>
      </c>
      <c r="AF462" t="s">
        <v>74</v>
      </c>
      <c r="AG462">
        <v>109</v>
      </c>
      <c r="AH462">
        <v>12</v>
      </c>
      <c r="AI462">
        <v>13</v>
      </c>
      <c r="AJ462">
        <v>0</v>
      </c>
      <c r="AK462">
        <v>48</v>
      </c>
      <c r="AL462" t="s">
        <v>586</v>
      </c>
      <c r="AM462" t="s">
        <v>542</v>
      </c>
      <c r="AN462" t="s">
        <v>587</v>
      </c>
      <c r="AO462" t="s">
        <v>2866</v>
      </c>
      <c r="AP462" t="s">
        <v>2867</v>
      </c>
      <c r="AQ462" t="s">
        <v>74</v>
      </c>
      <c r="AR462" t="s">
        <v>2868</v>
      </c>
      <c r="AS462" t="s">
        <v>2869</v>
      </c>
      <c r="AT462" t="s">
        <v>7151</v>
      </c>
      <c r="AU462">
        <v>2013</v>
      </c>
      <c r="AV462">
        <v>369</v>
      </c>
      <c r="AW462" t="s">
        <v>74</v>
      </c>
      <c r="AX462" t="s">
        <v>74</v>
      </c>
      <c r="AY462" t="s">
        <v>74</v>
      </c>
      <c r="AZ462" t="s">
        <v>74</v>
      </c>
      <c r="BA462" t="s">
        <v>74</v>
      </c>
      <c r="BB462">
        <v>361</v>
      </c>
      <c r="BC462">
        <v>376</v>
      </c>
      <c r="BD462" t="s">
        <v>74</v>
      </c>
      <c r="BE462" t="s">
        <v>8759</v>
      </c>
      <c r="BF462" t="str">
        <f>HYPERLINK("http://dx.doi.org/10.1016/j.palaeo.2012.11.003","http://dx.doi.org/10.1016/j.palaeo.2012.11.003")</f>
        <v>http://dx.doi.org/10.1016/j.palaeo.2012.11.003</v>
      </c>
      <c r="BG462" t="s">
        <v>74</v>
      </c>
      <c r="BH462" t="s">
        <v>74</v>
      </c>
      <c r="BI462">
        <v>16</v>
      </c>
      <c r="BJ462" t="s">
        <v>2872</v>
      </c>
      <c r="BK462" t="s">
        <v>102</v>
      </c>
      <c r="BL462" t="s">
        <v>2873</v>
      </c>
      <c r="BM462" t="s">
        <v>8711</v>
      </c>
      <c r="BN462" t="s">
        <v>74</v>
      </c>
      <c r="BO462" t="s">
        <v>74</v>
      </c>
      <c r="BP462" t="s">
        <v>74</v>
      </c>
      <c r="BQ462" t="s">
        <v>74</v>
      </c>
      <c r="BR462" t="s">
        <v>105</v>
      </c>
      <c r="BS462" t="s">
        <v>8760</v>
      </c>
      <c r="BT462" t="str">
        <f>HYPERLINK("https%3A%2F%2Fwww.webofscience.com%2Fwos%2Fwoscc%2Ffull-record%2FWOS:000315127200031","View Full Record in Web of Science")</f>
        <v>View Full Record in Web of Science</v>
      </c>
    </row>
    <row r="463" spans="1:72" x14ac:dyDescent="0.15">
      <c r="A463" t="s">
        <v>72</v>
      </c>
      <c r="B463" t="s">
        <v>8761</v>
      </c>
      <c r="C463" t="s">
        <v>74</v>
      </c>
      <c r="D463" t="s">
        <v>74</v>
      </c>
      <c r="E463" t="s">
        <v>74</v>
      </c>
      <c r="F463" t="s">
        <v>8762</v>
      </c>
      <c r="G463" t="s">
        <v>74</v>
      </c>
      <c r="H463" t="s">
        <v>74</v>
      </c>
      <c r="I463" t="s">
        <v>8763</v>
      </c>
      <c r="J463" t="s">
        <v>5644</v>
      </c>
      <c r="K463" t="s">
        <v>74</v>
      </c>
      <c r="L463" t="s">
        <v>74</v>
      </c>
      <c r="M463" t="s">
        <v>78</v>
      </c>
      <c r="N463" t="s">
        <v>79</v>
      </c>
      <c r="O463" t="s">
        <v>74</v>
      </c>
      <c r="P463" t="s">
        <v>74</v>
      </c>
      <c r="Q463" t="s">
        <v>74</v>
      </c>
      <c r="R463" t="s">
        <v>74</v>
      </c>
      <c r="S463" t="s">
        <v>74</v>
      </c>
      <c r="T463" t="s">
        <v>74</v>
      </c>
      <c r="U463" t="s">
        <v>8764</v>
      </c>
      <c r="V463" t="s">
        <v>8765</v>
      </c>
      <c r="W463" t="s">
        <v>8766</v>
      </c>
      <c r="X463" t="s">
        <v>8767</v>
      </c>
      <c r="Y463" t="s">
        <v>8768</v>
      </c>
      <c r="Z463" t="s">
        <v>8769</v>
      </c>
      <c r="AA463" t="s">
        <v>8770</v>
      </c>
      <c r="AB463" t="s">
        <v>8771</v>
      </c>
      <c r="AC463" t="s">
        <v>8772</v>
      </c>
      <c r="AD463" t="s">
        <v>8773</v>
      </c>
      <c r="AE463" t="s">
        <v>8774</v>
      </c>
      <c r="AF463" t="s">
        <v>74</v>
      </c>
      <c r="AG463">
        <v>22</v>
      </c>
      <c r="AH463">
        <v>43</v>
      </c>
      <c r="AI463">
        <v>55</v>
      </c>
      <c r="AJ463">
        <v>0</v>
      </c>
      <c r="AK463">
        <v>35</v>
      </c>
      <c r="AL463" t="s">
        <v>5658</v>
      </c>
      <c r="AM463" t="s">
        <v>5659</v>
      </c>
      <c r="AN463" t="s">
        <v>5660</v>
      </c>
      <c r="AO463" t="s">
        <v>5661</v>
      </c>
      <c r="AP463" t="s">
        <v>5662</v>
      </c>
      <c r="AQ463" t="s">
        <v>74</v>
      </c>
      <c r="AR463" t="s">
        <v>5644</v>
      </c>
      <c r="AS463" t="s">
        <v>5663</v>
      </c>
      <c r="AT463" t="s">
        <v>74</v>
      </c>
      <c r="AU463">
        <v>2013</v>
      </c>
      <c r="AV463">
        <v>55</v>
      </c>
      <c r="AW463">
        <v>1</v>
      </c>
      <c r="AX463" t="s">
        <v>74</v>
      </c>
      <c r="AY463" t="s">
        <v>74</v>
      </c>
      <c r="AZ463" t="s">
        <v>74</v>
      </c>
      <c r="BA463" t="s">
        <v>74</v>
      </c>
      <c r="BB463">
        <v>115</v>
      </c>
      <c r="BC463">
        <v>126</v>
      </c>
      <c r="BD463" t="s">
        <v>74</v>
      </c>
      <c r="BE463" t="s">
        <v>8775</v>
      </c>
      <c r="BF463" t="str">
        <f>HYPERLINK("http://dx.doi.org/10.2458/azu_js_rc.v55i1.16234","http://dx.doi.org/10.2458/azu_js_rc.v55i1.16234")</f>
        <v>http://dx.doi.org/10.2458/azu_js_rc.v55i1.16234</v>
      </c>
      <c r="BG463" t="s">
        <v>74</v>
      </c>
      <c r="BH463" t="s">
        <v>74</v>
      </c>
      <c r="BI463">
        <v>12</v>
      </c>
      <c r="BJ463" t="s">
        <v>263</v>
      </c>
      <c r="BK463" t="s">
        <v>102</v>
      </c>
      <c r="BL463" t="s">
        <v>263</v>
      </c>
      <c r="BM463" t="s">
        <v>8776</v>
      </c>
      <c r="BN463" t="s">
        <v>74</v>
      </c>
      <c r="BO463" t="s">
        <v>74</v>
      </c>
      <c r="BP463" t="s">
        <v>74</v>
      </c>
      <c r="BQ463" t="s">
        <v>74</v>
      </c>
      <c r="BR463" t="s">
        <v>105</v>
      </c>
      <c r="BS463" t="s">
        <v>8777</v>
      </c>
      <c r="BT463" t="str">
        <f>HYPERLINK("https%3A%2F%2Fwww.webofscience.com%2Fwos%2Fwoscc%2Ffull-record%2FWOS:000315338000010","View Full Record in Web of Science")</f>
        <v>View Full Record in Web of Science</v>
      </c>
    </row>
    <row r="464" spans="1:72" x14ac:dyDescent="0.15">
      <c r="A464" t="s">
        <v>72</v>
      </c>
      <c r="B464" t="s">
        <v>8778</v>
      </c>
      <c r="C464" t="s">
        <v>74</v>
      </c>
      <c r="D464" t="s">
        <v>74</v>
      </c>
      <c r="E464" t="s">
        <v>74</v>
      </c>
      <c r="F464" t="s">
        <v>8779</v>
      </c>
      <c r="G464" t="s">
        <v>74</v>
      </c>
      <c r="H464" t="s">
        <v>74</v>
      </c>
      <c r="I464" t="s">
        <v>8780</v>
      </c>
      <c r="J464" t="s">
        <v>5821</v>
      </c>
      <c r="K464" t="s">
        <v>74</v>
      </c>
      <c r="L464" t="s">
        <v>74</v>
      </c>
      <c r="M464" t="s">
        <v>78</v>
      </c>
      <c r="N464" t="s">
        <v>79</v>
      </c>
      <c r="O464" t="s">
        <v>74</v>
      </c>
      <c r="P464" t="s">
        <v>74</v>
      </c>
      <c r="Q464" t="s">
        <v>74</v>
      </c>
      <c r="R464" t="s">
        <v>74</v>
      </c>
      <c r="S464" t="s">
        <v>74</v>
      </c>
      <c r="T464" t="s">
        <v>74</v>
      </c>
      <c r="U464" t="s">
        <v>8781</v>
      </c>
      <c r="V464" t="s">
        <v>8782</v>
      </c>
      <c r="W464" t="s">
        <v>8783</v>
      </c>
      <c r="X464" t="s">
        <v>8784</v>
      </c>
      <c r="Y464" t="s">
        <v>8785</v>
      </c>
      <c r="Z464" t="s">
        <v>8786</v>
      </c>
      <c r="AA464" t="s">
        <v>8787</v>
      </c>
      <c r="AB464" t="s">
        <v>8788</v>
      </c>
      <c r="AC464" t="s">
        <v>8789</v>
      </c>
      <c r="AD464" t="s">
        <v>8790</v>
      </c>
      <c r="AE464" t="s">
        <v>8791</v>
      </c>
      <c r="AF464" t="s">
        <v>74</v>
      </c>
      <c r="AG464">
        <v>69</v>
      </c>
      <c r="AH464">
        <v>34</v>
      </c>
      <c r="AI464">
        <v>35</v>
      </c>
      <c r="AJ464">
        <v>0</v>
      </c>
      <c r="AK464">
        <v>47</v>
      </c>
      <c r="AL464" t="s">
        <v>4248</v>
      </c>
      <c r="AM464" t="s">
        <v>4249</v>
      </c>
      <c r="AN464" t="s">
        <v>4250</v>
      </c>
      <c r="AO464" t="s">
        <v>5833</v>
      </c>
      <c r="AP464" t="s">
        <v>5834</v>
      </c>
      <c r="AQ464" t="s">
        <v>74</v>
      </c>
      <c r="AR464" t="s">
        <v>5821</v>
      </c>
      <c r="AS464" t="s">
        <v>5835</v>
      </c>
      <c r="AT464" t="s">
        <v>74</v>
      </c>
      <c r="AU464">
        <v>2013</v>
      </c>
      <c r="AV464">
        <v>10</v>
      </c>
      <c r="AW464">
        <v>2</v>
      </c>
      <c r="AX464" t="s">
        <v>74</v>
      </c>
      <c r="AY464" t="s">
        <v>74</v>
      </c>
      <c r="AZ464" t="s">
        <v>74</v>
      </c>
      <c r="BA464" t="s">
        <v>74</v>
      </c>
      <c r="BB464">
        <v>803</v>
      </c>
      <c r="BC464">
        <v>820</v>
      </c>
      <c r="BD464" t="s">
        <v>74</v>
      </c>
      <c r="BE464" t="s">
        <v>8792</v>
      </c>
      <c r="BF464" t="str">
        <f>HYPERLINK("http://dx.doi.org/10.5194/bg-10-803-2013","http://dx.doi.org/10.5194/bg-10-803-2013")</f>
        <v>http://dx.doi.org/10.5194/bg-10-803-2013</v>
      </c>
      <c r="BG464" t="s">
        <v>74</v>
      </c>
      <c r="BH464" t="s">
        <v>74</v>
      </c>
      <c r="BI464">
        <v>18</v>
      </c>
      <c r="BJ464" t="s">
        <v>4835</v>
      </c>
      <c r="BK464" t="s">
        <v>102</v>
      </c>
      <c r="BL464" t="s">
        <v>4836</v>
      </c>
      <c r="BM464" t="s">
        <v>8793</v>
      </c>
      <c r="BN464" t="s">
        <v>74</v>
      </c>
      <c r="BO464" t="s">
        <v>5344</v>
      </c>
      <c r="BP464" t="s">
        <v>74</v>
      </c>
      <c r="BQ464" t="s">
        <v>74</v>
      </c>
      <c r="BR464" t="s">
        <v>105</v>
      </c>
      <c r="BS464" t="s">
        <v>8794</v>
      </c>
      <c r="BT464" t="str">
        <f>HYPERLINK("https%3A%2F%2Fwww.webofscience.com%2Fwos%2Fwoscc%2Ffull-record%2FWOS:000315093000010","View Full Record in Web of Science")</f>
        <v>View Full Record in Web of Science</v>
      </c>
    </row>
    <row r="465" spans="1:72" x14ac:dyDescent="0.15">
      <c r="A465" t="s">
        <v>72</v>
      </c>
      <c r="B465" t="s">
        <v>8795</v>
      </c>
      <c r="C465" t="s">
        <v>74</v>
      </c>
      <c r="D465" t="s">
        <v>74</v>
      </c>
      <c r="E465" t="s">
        <v>74</v>
      </c>
      <c r="F465" t="s">
        <v>8796</v>
      </c>
      <c r="G465" t="s">
        <v>74</v>
      </c>
      <c r="H465" t="s">
        <v>74</v>
      </c>
      <c r="I465" t="s">
        <v>8797</v>
      </c>
      <c r="J465" t="s">
        <v>5821</v>
      </c>
      <c r="K465" t="s">
        <v>74</v>
      </c>
      <c r="L465" t="s">
        <v>74</v>
      </c>
      <c r="M465" t="s">
        <v>78</v>
      </c>
      <c r="N465" t="s">
        <v>79</v>
      </c>
      <c r="O465" t="s">
        <v>74</v>
      </c>
      <c r="P465" t="s">
        <v>74</v>
      </c>
      <c r="Q465" t="s">
        <v>74</v>
      </c>
      <c r="R465" t="s">
        <v>74</v>
      </c>
      <c r="S465" t="s">
        <v>74</v>
      </c>
      <c r="T465" t="s">
        <v>74</v>
      </c>
      <c r="U465" t="s">
        <v>8798</v>
      </c>
      <c r="V465" t="s">
        <v>8799</v>
      </c>
      <c r="W465" t="s">
        <v>8800</v>
      </c>
      <c r="X465" t="s">
        <v>8801</v>
      </c>
      <c r="Y465" t="s">
        <v>8802</v>
      </c>
      <c r="Z465" t="s">
        <v>8803</v>
      </c>
      <c r="AA465" t="s">
        <v>8804</v>
      </c>
      <c r="AB465" t="s">
        <v>8805</v>
      </c>
      <c r="AC465" t="s">
        <v>8806</v>
      </c>
      <c r="AD465" t="s">
        <v>8807</v>
      </c>
      <c r="AE465" t="s">
        <v>8808</v>
      </c>
      <c r="AF465" t="s">
        <v>74</v>
      </c>
      <c r="AG465">
        <v>73</v>
      </c>
      <c r="AH465">
        <v>24</v>
      </c>
      <c r="AI465">
        <v>27</v>
      </c>
      <c r="AJ465">
        <v>1</v>
      </c>
      <c r="AK465">
        <v>34</v>
      </c>
      <c r="AL465" t="s">
        <v>4248</v>
      </c>
      <c r="AM465" t="s">
        <v>4249</v>
      </c>
      <c r="AN465" t="s">
        <v>4250</v>
      </c>
      <c r="AO465" t="s">
        <v>5833</v>
      </c>
      <c r="AP465" t="s">
        <v>5834</v>
      </c>
      <c r="AQ465" t="s">
        <v>74</v>
      </c>
      <c r="AR465" t="s">
        <v>5821</v>
      </c>
      <c r="AS465" t="s">
        <v>5835</v>
      </c>
      <c r="AT465" t="s">
        <v>74</v>
      </c>
      <c r="AU465">
        <v>2013</v>
      </c>
      <c r="AV465">
        <v>10</v>
      </c>
      <c r="AW465">
        <v>2</v>
      </c>
      <c r="AX465" t="s">
        <v>74</v>
      </c>
      <c r="AY465" t="s">
        <v>74</v>
      </c>
      <c r="AZ465" t="s">
        <v>74</v>
      </c>
      <c r="BA465" t="s">
        <v>74</v>
      </c>
      <c r="BB465">
        <v>1117</v>
      </c>
      <c r="BC465">
        <v>1129</v>
      </c>
      <c r="BD465" t="s">
        <v>74</v>
      </c>
      <c r="BE465" t="s">
        <v>8809</v>
      </c>
      <c r="BF465" t="str">
        <f>HYPERLINK("http://dx.doi.org/10.5194/bg-10-1117-2013","http://dx.doi.org/10.5194/bg-10-1117-2013")</f>
        <v>http://dx.doi.org/10.5194/bg-10-1117-2013</v>
      </c>
      <c r="BG465" t="s">
        <v>74</v>
      </c>
      <c r="BH465" t="s">
        <v>74</v>
      </c>
      <c r="BI465">
        <v>13</v>
      </c>
      <c r="BJ465" t="s">
        <v>4835</v>
      </c>
      <c r="BK465" t="s">
        <v>102</v>
      </c>
      <c r="BL465" t="s">
        <v>4836</v>
      </c>
      <c r="BM465" t="s">
        <v>8793</v>
      </c>
      <c r="BN465" t="s">
        <v>74</v>
      </c>
      <c r="BO465" t="s">
        <v>4621</v>
      </c>
      <c r="BP465" t="s">
        <v>74</v>
      </c>
      <c r="BQ465" t="s">
        <v>74</v>
      </c>
      <c r="BR465" t="s">
        <v>105</v>
      </c>
      <c r="BS465" t="s">
        <v>8810</v>
      </c>
      <c r="BT465" t="str">
        <f>HYPERLINK("https%3A%2F%2Fwww.webofscience.com%2Fwos%2Fwoscc%2Ffull-record%2FWOS:000315093000030","View Full Record in Web of Science")</f>
        <v>View Full Record in Web of Science</v>
      </c>
    </row>
    <row r="466" spans="1:72" x14ac:dyDescent="0.15">
      <c r="A466" t="s">
        <v>72</v>
      </c>
      <c r="B466" t="s">
        <v>8811</v>
      </c>
      <c r="C466" t="s">
        <v>74</v>
      </c>
      <c r="D466" t="s">
        <v>74</v>
      </c>
      <c r="E466" t="s">
        <v>74</v>
      </c>
      <c r="F466" t="s">
        <v>8812</v>
      </c>
      <c r="G466" t="s">
        <v>74</v>
      </c>
      <c r="H466" t="s">
        <v>74</v>
      </c>
      <c r="I466" t="s">
        <v>8813</v>
      </c>
      <c r="J466" t="s">
        <v>4238</v>
      </c>
      <c r="K466" t="s">
        <v>74</v>
      </c>
      <c r="L466" t="s">
        <v>74</v>
      </c>
      <c r="M466" t="s">
        <v>78</v>
      </c>
      <c r="N466" t="s">
        <v>79</v>
      </c>
      <c r="O466" t="s">
        <v>74</v>
      </c>
      <c r="P466" t="s">
        <v>74</v>
      </c>
      <c r="Q466" t="s">
        <v>74</v>
      </c>
      <c r="R466" t="s">
        <v>74</v>
      </c>
      <c r="S466" t="s">
        <v>74</v>
      </c>
      <c r="T466" t="s">
        <v>74</v>
      </c>
      <c r="U466" t="s">
        <v>8814</v>
      </c>
      <c r="V466" t="s">
        <v>8815</v>
      </c>
      <c r="W466" t="s">
        <v>8816</v>
      </c>
      <c r="X466" t="s">
        <v>8817</v>
      </c>
      <c r="Y466" t="s">
        <v>8818</v>
      </c>
      <c r="Z466" t="s">
        <v>8819</v>
      </c>
      <c r="AA466" t="s">
        <v>8820</v>
      </c>
      <c r="AB466" t="s">
        <v>8821</v>
      </c>
      <c r="AC466" t="s">
        <v>8822</v>
      </c>
      <c r="AD466" t="s">
        <v>8823</v>
      </c>
      <c r="AE466" t="s">
        <v>8824</v>
      </c>
      <c r="AF466" t="s">
        <v>74</v>
      </c>
      <c r="AG466">
        <v>41</v>
      </c>
      <c r="AH466">
        <v>144</v>
      </c>
      <c r="AI466">
        <v>160</v>
      </c>
      <c r="AJ466">
        <v>0</v>
      </c>
      <c r="AK466">
        <v>41</v>
      </c>
      <c r="AL466" t="s">
        <v>4248</v>
      </c>
      <c r="AM466" t="s">
        <v>4249</v>
      </c>
      <c r="AN466" t="s">
        <v>4250</v>
      </c>
      <c r="AO466" t="s">
        <v>4251</v>
      </c>
      <c r="AP466" t="s">
        <v>74</v>
      </c>
      <c r="AQ466" t="s">
        <v>74</v>
      </c>
      <c r="AR466" t="s">
        <v>4238</v>
      </c>
      <c r="AS466" t="s">
        <v>4253</v>
      </c>
      <c r="AT466" t="s">
        <v>74</v>
      </c>
      <c r="AU466">
        <v>2013</v>
      </c>
      <c r="AV466">
        <v>7</v>
      </c>
      <c r="AW466">
        <v>1</v>
      </c>
      <c r="AX466" t="s">
        <v>74</v>
      </c>
      <c r="AY466" t="s">
        <v>74</v>
      </c>
      <c r="AZ466" t="s">
        <v>74</v>
      </c>
      <c r="BA466" t="s">
        <v>74</v>
      </c>
      <c r="BB466">
        <v>119</v>
      </c>
      <c r="BC466">
        <v>128</v>
      </c>
      <c r="BD466" t="s">
        <v>74</v>
      </c>
      <c r="BE466" t="s">
        <v>8825</v>
      </c>
      <c r="BF466" t="str">
        <f>HYPERLINK("http://dx.doi.org/10.5194/tc-7-119-2013","http://dx.doi.org/10.5194/tc-7-119-2013")</f>
        <v>http://dx.doi.org/10.5194/tc-7-119-2013</v>
      </c>
      <c r="BG466" t="s">
        <v>74</v>
      </c>
      <c r="BH466" t="s">
        <v>74</v>
      </c>
      <c r="BI466">
        <v>10</v>
      </c>
      <c r="BJ466" t="s">
        <v>2261</v>
      </c>
      <c r="BK466" t="s">
        <v>102</v>
      </c>
      <c r="BL466" t="s">
        <v>2262</v>
      </c>
      <c r="BM466" t="s">
        <v>8826</v>
      </c>
      <c r="BN466" t="s">
        <v>74</v>
      </c>
      <c r="BO466" t="s">
        <v>4132</v>
      </c>
      <c r="BP466" t="s">
        <v>74</v>
      </c>
      <c r="BQ466" t="s">
        <v>74</v>
      </c>
      <c r="BR466" t="s">
        <v>105</v>
      </c>
      <c r="BS466" t="s">
        <v>8827</v>
      </c>
      <c r="BT466" t="str">
        <f>HYPERLINK("https%3A%2F%2Fwww.webofscience.com%2Fwos%2Fwoscc%2Ffull-record%2FWOS:000314800400008","View Full Record in Web of Science")</f>
        <v>View Full Record in Web of Science</v>
      </c>
    </row>
    <row r="467" spans="1:72" x14ac:dyDescent="0.15">
      <c r="A467" t="s">
        <v>72</v>
      </c>
      <c r="B467" t="s">
        <v>8828</v>
      </c>
      <c r="C467" t="s">
        <v>74</v>
      </c>
      <c r="D467" t="s">
        <v>74</v>
      </c>
      <c r="E467" t="s">
        <v>74</v>
      </c>
      <c r="F467" t="s">
        <v>8829</v>
      </c>
      <c r="G467" t="s">
        <v>74</v>
      </c>
      <c r="H467" t="s">
        <v>74</v>
      </c>
      <c r="I467" t="s">
        <v>8830</v>
      </c>
      <c r="J467" t="s">
        <v>4238</v>
      </c>
      <c r="K467" t="s">
        <v>74</v>
      </c>
      <c r="L467" t="s">
        <v>74</v>
      </c>
      <c r="M467" t="s">
        <v>78</v>
      </c>
      <c r="N467" t="s">
        <v>79</v>
      </c>
      <c r="O467" t="s">
        <v>74</v>
      </c>
      <c r="P467" t="s">
        <v>74</v>
      </c>
      <c r="Q467" t="s">
        <v>74</v>
      </c>
      <c r="R467" t="s">
        <v>74</v>
      </c>
      <c r="S467" t="s">
        <v>74</v>
      </c>
      <c r="T467" t="s">
        <v>74</v>
      </c>
      <c r="U467" t="s">
        <v>8831</v>
      </c>
      <c r="V467" t="s">
        <v>8832</v>
      </c>
      <c r="W467" t="s">
        <v>8833</v>
      </c>
      <c r="X467" t="s">
        <v>8834</v>
      </c>
      <c r="Y467" t="s">
        <v>8835</v>
      </c>
      <c r="Z467" t="s">
        <v>8836</v>
      </c>
      <c r="AA467" t="s">
        <v>8837</v>
      </c>
      <c r="AB467" t="s">
        <v>8838</v>
      </c>
      <c r="AC467" t="s">
        <v>8839</v>
      </c>
      <c r="AD467" t="s">
        <v>8840</v>
      </c>
      <c r="AE467" t="s">
        <v>8841</v>
      </c>
      <c r="AF467" t="s">
        <v>74</v>
      </c>
      <c r="AG467">
        <v>33</v>
      </c>
      <c r="AH467">
        <v>12</v>
      </c>
      <c r="AI467">
        <v>12</v>
      </c>
      <c r="AJ467">
        <v>0</v>
      </c>
      <c r="AK467">
        <v>19</v>
      </c>
      <c r="AL467" t="s">
        <v>4248</v>
      </c>
      <c r="AM467" t="s">
        <v>4249</v>
      </c>
      <c r="AN467" t="s">
        <v>4250</v>
      </c>
      <c r="AO467" t="s">
        <v>4251</v>
      </c>
      <c r="AP467" t="s">
        <v>74</v>
      </c>
      <c r="AQ467" t="s">
        <v>74</v>
      </c>
      <c r="AR467" t="s">
        <v>4238</v>
      </c>
      <c r="AS467" t="s">
        <v>4253</v>
      </c>
      <c r="AT467" t="s">
        <v>74</v>
      </c>
      <c r="AU467">
        <v>2013</v>
      </c>
      <c r="AV467">
        <v>7</v>
      </c>
      <c r="AW467">
        <v>1</v>
      </c>
      <c r="AX467" t="s">
        <v>74</v>
      </c>
      <c r="AY467" t="s">
        <v>74</v>
      </c>
      <c r="AZ467" t="s">
        <v>74</v>
      </c>
      <c r="BA467" t="s">
        <v>74</v>
      </c>
      <c r="BB467">
        <v>263</v>
      </c>
      <c r="BC467">
        <v>273</v>
      </c>
      <c r="BD467" t="s">
        <v>74</v>
      </c>
      <c r="BE467" t="s">
        <v>8842</v>
      </c>
      <c r="BF467" t="str">
        <f>HYPERLINK("http://dx.doi.org/10.5194/tc-7-263-2013","http://dx.doi.org/10.5194/tc-7-263-2013")</f>
        <v>http://dx.doi.org/10.5194/tc-7-263-2013</v>
      </c>
      <c r="BG467" t="s">
        <v>74</v>
      </c>
      <c r="BH467" t="s">
        <v>74</v>
      </c>
      <c r="BI467">
        <v>11</v>
      </c>
      <c r="BJ467" t="s">
        <v>2261</v>
      </c>
      <c r="BK467" t="s">
        <v>102</v>
      </c>
      <c r="BL467" t="s">
        <v>2262</v>
      </c>
      <c r="BM467" t="s">
        <v>8826</v>
      </c>
      <c r="BN467" t="s">
        <v>74</v>
      </c>
      <c r="BO467" t="s">
        <v>4132</v>
      </c>
      <c r="BP467" t="s">
        <v>74</v>
      </c>
      <c r="BQ467" t="s">
        <v>74</v>
      </c>
      <c r="BR467" t="s">
        <v>105</v>
      </c>
      <c r="BS467" t="s">
        <v>8843</v>
      </c>
      <c r="BT467" t="str">
        <f>HYPERLINK("https%3A%2F%2Fwww.webofscience.com%2Fwos%2Fwoscc%2Ffull-record%2FWOS:000314800400020","View Full Record in Web of Science")</f>
        <v>View Full Record in Web of Science</v>
      </c>
    </row>
    <row r="468" spans="1:72" x14ac:dyDescent="0.15">
      <c r="A468" t="s">
        <v>72</v>
      </c>
      <c r="B468" t="s">
        <v>8844</v>
      </c>
      <c r="C468" t="s">
        <v>74</v>
      </c>
      <c r="D468" t="s">
        <v>74</v>
      </c>
      <c r="E468" t="s">
        <v>74</v>
      </c>
      <c r="F468" t="s">
        <v>8845</v>
      </c>
      <c r="G468" t="s">
        <v>74</v>
      </c>
      <c r="H468" t="s">
        <v>74</v>
      </c>
      <c r="I468" t="s">
        <v>8846</v>
      </c>
      <c r="J468" t="s">
        <v>8847</v>
      </c>
      <c r="K468" t="s">
        <v>74</v>
      </c>
      <c r="L468" t="s">
        <v>74</v>
      </c>
      <c r="M468" t="s">
        <v>78</v>
      </c>
      <c r="N468" t="s">
        <v>79</v>
      </c>
      <c r="O468" t="s">
        <v>74</v>
      </c>
      <c r="P468" t="s">
        <v>74</v>
      </c>
      <c r="Q468" t="s">
        <v>74</v>
      </c>
      <c r="R468" t="s">
        <v>74</v>
      </c>
      <c r="S468" t="s">
        <v>74</v>
      </c>
      <c r="T468" t="s">
        <v>8848</v>
      </c>
      <c r="U468" t="s">
        <v>8849</v>
      </c>
      <c r="V468" t="s">
        <v>8850</v>
      </c>
      <c r="W468" t="s">
        <v>8851</v>
      </c>
      <c r="X468" t="s">
        <v>8852</v>
      </c>
      <c r="Y468" t="s">
        <v>8853</v>
      </c>
      <c r="Z468" t="s">
        <v>8854</v>
      </c>
      <c r="AA468" t="s">
        <v>8855</v>
      </c>
      <c r="AB468" t="s">
        <v>8856</v>
      </c>
      <c r="AC468" t="s">
        <v>8857</v>
      </c>
      <c r="AD468" t="s">
        <v>8858</v>
      </c>
      <c r="AE468" t="s">
        <v>8859</v>
      </c>
      <c r="AF468" t="s">
        <v>74</v>
      </c>
      <c r="AG468">
        <v>100</v>
      </c>
      <c r="AH468">
        <v>51</v>
      </c>
      <c r="AI468">
        <v>61</v>
      </c>
      <c r="AJ468">
        <v>3</v>
      </c>
      <c r="AK468">
        <v>117</v>
      </c>
      <c r="AL468" t="s">
        <v>1132</v>
      </c>
      <c r="AM468" t="s">
        <v>147</v>
      </c>
      <c r="AN468" t="s">
        <v>1133</v>
      </c>
      <c r="AO468" t="s">
        <v>8860</v>
      </c>
      <c r="AP468" t="s">
        <v>74</v>
      </c>
      <c r="AQ468" t="s">
        <v>74</v>
      </c>
      <c r="AR468" t="s">
        <v>8861</v>
      </c>
      <c r="AS468" t="s">
        <v>8862</v>
      </c>
      <c r="AT468" t="s">
        <v>74</v>
      </c>
      <c r="AU468">
        <v>2013</v>
      </c>
      <c r="AV468">
        <v>5</v>
      </c>
      <c r="AW468">
        <v>1</v>
      </c>
      <c r="AX468" t="s">
        <v>74</v>
      </c>
      <c r="AY468" t="s">
        <v>74</v>
      </c>
      <c r="AZ468" t="s">
        <v>74</v>
      </c>
      <c r="BA468" t="s">
        <v>74</v>
      </c>
      <c r="BB468">
        <v>45</v>
      </c>
      <c r="BC468">
        <v>60</v>
      </c>
      <c r="BD468" t="s">
        <v>74</v>
      </c>
      <c r="BE468" t="s">
        <v>8863</v>
      </c>
      <c r="BF468" t="str">
        <f>HYPERLINK("http://dx.doi.org/10.1093/gbe/evs108","http://dx.doi.org/10.1093/gbe/evs108")</f>
        <v>http://dx.doi.org/10.1093/gbe/evs108</v>
      </c>
      <c r="BG468" t="s">
        <v>74</v>
      </c>
      <c r="BH468" t="s">
        <v>74</v>
      </c>
      <c r="BI468">
        <v>16</v>
      </c>
      <c r="BJ468" t="s">
        <v>2627</v>
      </c>
      <c r="BK468" t="s">
        <v>102</v>
      </c>
      <c r="BL468" t="s">
        <v>2627</v>
      </c>
      <c r="BM468" t="s">
        <v>8864</v>
      </c>
      <c r="BN468">
        <v>23196969</v>
      </c>
      <c r="BO468" t="s">
        <v>4854</v>
      </c>
      <c r="BP468" t="s">
        <v>74</v>
      </c>
      <c r="BQ468" t="s">
        <v>74</v>
      </c>
      <c r="BR468" t="s">
        <v>105</v>
      </c>
      <c r="BS468" t="s">
        <v>8865</v>
      </c>
      <c r="BT468" t="str">
        <f>HYPERLINK("https%3A%2F%2Fwww.webofscience.com%2Fwos%2Fwoscc%2Ffull-record%2FWOS:000314778600004","View Full Record in Web of Science")</f>
        <v>View Full Record in Web of Science</v>
      </c>
    </row>
    <row r="469" spans="1:72" x14ac:dyDescent="0.15">
      <c r="A469" t="s">
        <v>72</v>
      </c>
      <c r="B469" t="s">
        <v>8866</v>
      </c>
      <c r="C469" t="s">
        <v>74</v>
      </c>
      <c r="D469" t="s">
        <v>74</v>
      </c>
      <c r="E469" t="s">
        <v>74</v>
      </c>
      <c r="F469" t="s">
        <v>8867</v>
      </c>
      <c r="G469" t="s">
        <v>74</v>
      </c>
      <c r="H469" t="s">
        <v>74</v>
      </c>
      <c r="I469" t="s">
        <v>8868</v>
      </c>
      <c r="J469" t="s">
        <v>8869</v>
      </c>
      <c r="K469" t="s">
        <v>74</v>
      </c>
      <c r="L469" t="s">
        <v>74</v>
      </c>
      <c r="M469" t="s">
        <v>78</v>
      </c>
      <c r="N469" t="s">
        <v>79</v>
      </c>
      <c r="O469" t="s">
        <v>74</v>
      </c>
      <c r="P469" t="s">
        <v>74</v>
      </c>
      <c r="Q469" t="s">
        <v>74</v>
      </c>
      <c r="R469" t="s">
        <v>74</v>
      </c>
      <c r="S469" t="s">
        <v>74</v>
      </c>
      <c r="T469" t="s">
        <v>8870</v>
      </c>
      <c r="U469" t="s">
        <v>8871</v>
      </c>
      <c r="V469" t="s">
        <v>8872</v>
      </c>
      <c r="W469" t="s">
        <v>8873</v>
      </c>
      <c r="X469" t="s">
        <v>8874</v>
      </c>
      <c r="Y469" t="s">
        <v>8875</v>
      </c>
      <c r="Z469" t="s">
        <v>993</v>
      </c>
      <c r="AA469" t="s">
        <v>74</v>
      </c>
      <c r="AB469" t="s">
        <v>8876</v>
      </c>
      <c r="AC469" t="s">
        <v>8877</v>
      </c>
      <c r="AD469" t="s">
        <v>996</v>
      </c>
      <c r="AE469" t="s">
        <v>8878</v>
      </c>
      <c r="AF469" t="s">
        <v>74</v>
      </c>
      <c r="AG469">
        <v>57</v>
      </c>
      <c r="AH469">
        <v>19</v>
      </c>
      <c r="AI469">
        <v>20</v>
      </c>
      <c r="AJ469">
        <v>0</v>
      </c>
      <c r="AK469">
        <v>39</v>
      </c>
      <c r="AL469" t="s">
        <v>146</v>
      </c>
      <c r="AM469" t="s">
        <v>147</v>
      </c>
      <c r="AN469" t="s">
        <v>148</v>
      </c>
      <c r="AO469" t="s">
        <v>8879</v>
      </c>
      <c r="AP469" t="s">
        <v>8880</v>
      </c>
      <c r="AQ469" t="s">
        <v>74</v>
      </c>
      <c r="AR469" t="s">
        <v>8881</v>
      </c>
      <c r="AS469" t="s">
        <v>8882</v>
      </c>
      <c r="AT469" t="s">
        <v>5170</v>
      </c>
      <c r="AU469">
        <v>2013</v>
      </c>
      <c r="AV469">
        <v>59</v>
      </c>
      <c r="AW469">
        <v>1</v>
      </c>
      <c r="AX469" t="s">
        <v>74</v>
      </c>
      <c r="AY469" t="s">
        <v>74</v>
      </c>
      <c r="AZ469" t="s">
        <v>74</v>
      </c>
      <c r="BA469" t="s">
        <v>74</v>
      </c>
      <c r="BB469">
        <v>91</v>
      </c>
      <c r="BC469">
        <v>100</v>
      </c>
      <c r="BD469" t="s">
        <v>74</v>
      </c>
      <c r="BE469" t="s">
        <v>8883</v>
      </c>
      <c r="BF469" t="str">
        <f>HYPERLINK("http://dx.doi.org/10.1016/j.jinsphys.2012.10.017","http://dx.doi.org/10.1016/j.jinsphys.2012.10.017")</f>
        <v>http://dx.doi.org/10.1016/j.jinsphys.2012.10.017</v>
      </c>
      <c r="BG469" t="s">
        <v>74</v>
      </c>
      <c r="BH469" t="s">
        <v>74</v>
      </c>
      <c r="BI469">
        <v>10</v>
      </c>
      <c r="BJ469" t="s">
        <v>8884</v>
      </c>
      <c r="BK469" t="s">
        <v>102</v>
      </c>
      <c r="BL469" t="s">
        <v>8884</v>
      </c>
      <c r="BM469" t="s">
        <v>8885</v>
      </c>
      <c r="BN469">
        <v>23123259</v>
      </c>
      <c r="BO469" t="s">
        <v>74</v>
      </c>
      <c r="BP469" t="s">
        <v>74</v>
      </c>
      <c r="BQ469" t="s">
        <v>74</v>
      </c>
      <c r="BR469" t="s">
        <v>105</v>
      </c>
      <c r="BS469" t="s">
        <v>8886</v>
      </c>
      <c r="BT469" t="str">
        <f>HYPERLINK("https%3A%2F%2Fwww.webofscience.com%2Fwos%2Fwoscc%2Ffull-record%2FWOS:000315004500011","View Full Record in Web of Science")</f>
        <v>View Full Record in Web of Science</v>
      </c>
    </row>
    <row r="470" spans="1:72" x14ac:dyDescent="0.15">
      <c r="A470" t="s">
        <v>72</v>
      </c>
      <c r="B470" t="s">
        <v>8887</v>
      </c>
      <c r="C470" t="s">
        <v>74</v>
      </c>
      <c r="D470" t="s">
        <v>74</v>
      </c>
      <c r="E470" t="s">
        <v>74</v>
      </c>
      <c r="F470" t="s">
        <v>8888</v>
      </c>
      <c r="G470" t="s">
        <v>74</v>
      </c>
      <c r="H470" t="s">
        <v>74</v>
      </c>
      <c r="I470" t="s">
        <v>8889</v>
      </c>
      <c r="J470" t="s">
        <v>5060</v>
      </c>
      <c r="K470" t="s">
        <v>74</v>
      </c>
      <c r="L470" t="s">
        <v>74</v>
      </c>
      <c r="M470" t="s">
        <v>78</v>
      </c>
      <c r="N470" t="s">
        <v>79</v>
      </c>
      <c r="O470" t="s">
        <v>74</v>
      </c>
      <c r="P470" t="s">
        <v>74</v>
      </c>
      <c r="Q470" t="s">
        <v>74</v>
      </c>
      <c r="R470" t="s">
        <v>74</v>
      </c>
      <c r="S470" t="s">
        <v>74</v>
      </c>
      <c r="T470" t="s">
        <v>8890</v>
      </c>
      <c r="U470" t="s">
        <v>8891</v>
      </c>
      <c r="V470" t="s">
        <v>8892</v>
      </c>
      <c r="W470" t="s">
        <v>8893</v>
      </c>
      <c r="X470" t="s">
        <v>8894</v>
      </c>
      <c r="Y470" t="s">
        <v>8895</v>
      </c>
      <c r="Z470" t="s">
        <v>8896</v>
      </c>
      <c r="AA470" t="s">
        <v>8897</v>
      </c>
      <c r="AB470" t="s">
        <v>8898</v>
      </c>
      <c r="AC470" t="s">
        <v>8899</v>
      </c>
      <c r="AD470" t="s">
        <v>8900</v>
      </c>
      <c r="AE470" t="s">
        <v>8901</v>
      </c>
      <c r="AF470" t="s">
        <v>74</v>
      </c>
      <c r="AG470">
        <v>62</v>
      </c>
      <c r="AH470">
        <v>27</v>
      </c>
      <c r="AI470">
        <v>31</v>
      </c>
      <c r="AJ470">
        <v>2</v>
      </c>
      <c r="AK470">
        <v>70</v>
      </c>
      <c r="AL470" t="s">
        <v>4363</v>
      </c>
      <c r="AM470" t="s">
        <v>4364</v>
      </c>
      <c r="AN470" t="s">
        <v>4365</v>
      </c>
      <c r="AO470" t="s">
        <v>5073</v>
      </c>
      <c r="AP470" t="s">
        <v>5074</v>
      </c>
      <c r="AQ470" t="s">
        <v>74</v>
      </c>
      <c r="AR470" t="s">
        <v>5075</v>
      </c>
      <c r="AS470" t="s">
        <v>5076</v>
      </c>
      <c r="AT470" t="s">
        <v>74</v>
      </c>
      <c r="AU470">
        <v>2013</v>
      </c>
      <c r="AV470">
        <v>475</v>
      </c>
      <c r="AW470" t="s">
        <v>74</v>
      </c>
      <c r="AX470" t="s">
        <v>74</v>
      </c>
      <c r="AY470" t="s">
        <v>74</v>
      </c>
      <c r="AZ470" t="s">
        <v>74</v>
      </c>
      <c r="BA470" t="s">
        <v>74</v>
      </c>
      <c r="BB470">
        <v>15</v>
      </c>
      <c r="BC470" t="s">
        <v>99</v>
      </c>
      <c r="BD470" t="s">
        <v>74</v>
      </c>
      <c r="BE470" t="s">
        <v>8902</v>
      </c>
      <c r="BF470" t="str">
        <f>HYPERLINK("http://dx.doi.org/10.3354/meps10097","http://dx.doi.org/10.3354/meps10097")</f>
        <v>http://dx.doi.org/10.3354/meps10097</v>
      </c>
      <c r="BG470" t="s">
        <v>74</v>
      </c>
      <c r="BH470" t="s">
        <v>74</v>
      </c>
      <c r="BI470">
        <v>23</v>
      </c>
      <c r="BJ470" t="s">
        <v>5078</v>
      </c>
      <c r="BK470" t="s">
        <v>102</v>
      </c>
      <c r="BL470" t="s">
        <v>5079</v>
      </c>
      <c r="BM470" t="s">
        <v>8903</v>
      </c>
      <c r="BN470" t="s">
        <v>74</v>
      </c>
      <c r="BO470" t="s">
        <v>1427</v>
      </c>
      <c r="BP470" t="s">
        <v>74</v>
      </c>
      <c r="BQ470" t="s">
        <v>74</v>
      </c>
      <c r="BR470" t="s">
        <v>105</v>
      </c>
      <c r="BS470" t="s">
        <v>8904</v>
      </c>
      <c r="BT470" t="str">
        <f>HYPERLINK("https%3A%2F%2Fwww.webofscience.com%2Fwos%2Fwoscc%2Ffull-record%2FWOS:000314935000002","View Full Record in Web of Science")</f>
        <v>View Full Record in Web of Science</v>
      </c>
    </row>
    <row r="471" spans="1:72" x14ac:dyDescent="0.15">
      <c r="A471" t="s">
        <v>72</v>
      </c>
      <c r="B471" t="s">
        <v>8905</v>
      </c>
      <c r="C471" t="s">
        <v>74</v>
      </c>
      <c r="D471" t="s">
        <v>74</v>
      </c>
      <c r="E471" t="s">
        <v>74</v>
      </c>
      <c r="F471" t="s">
        <v>8906</v>
      </c>
      <c r="G471" t="s">
        <v>74</v>
      </c>
      <c r="H471" t="s">
        <v>74</v>
      </c>
      <c r="I471" t="s">
        <v>8907</v>
      </c>
      <c r="J471" t="s">
        <v>8908</v>
      </c>
      <c r="K471" t="s">
        <v>74</v>
      </c>
      <c r="L471" t="s">
        <v>74</v>
      </c>
      <c r="M471" t="s">
        <v>78</v>
      </c>
      <c r="N471" t="s">
        <v>79</v>
      </c>
      <c r="O471" t="s">
        <v>74</v>
      </c>
      <c r="P471" t="s">
        <v>74</v>
      </c>
      <c r="Q471" t="s">
        <v>74</v>
      </c>
      <c r="R471" t="s">
        <v>74</v>
      </c>
      <c r="S471" t="s">
        <v>74</v>
      </c>
      <c r="T471" t="s">
        <v>8909</v>
      </c>
      <c r="U471" t="s">
        <v>8910</v>
      </c>
      <c r="V471" t="s">
        <v>8911</v>
      </c>
      <c r="W471" t="s">
        <v>8912</v>
      </c>
      <c r="X471" t="s">
        <v>8913</v>
      </c>
      <c r="Y471" t="s">
        <v>8914</v>
      </c>
      <c r="Z471" t="s">
        <v>4899</v>
      </c>
      <c r="AA471" t="s">
        <v>8915</v>
      </c>
      <c r="AB471" t="s">
        <v>8916</v>
      </c>
      <c r="AC471" t="s">
        <v>8917</v>
      </c>
      <c r="AD471" t="s">
        <v>8918</v>
      </c>
      <c r="AE471" t="s">
        <v>8919</v>
      </c>
      <c r="AF471" t="s">
        <v>74</v>
      </c>
      <c r="AG471">
        <v>44</v>
      </c>
      <c r="AH471">
        <v>4</v>
      </c>
      <c r="AI471">
        <v>4</v>
      </c>
      <c r="AJ471">
        <v>0</v>
      </c>
      <c r="AK471">
        <v>6</v>
      </c>
      <c r="AL471" t="s">
        <v>146</v>
      </c>
      <c r="AM471" t="s">
        <v>147</v>
      </c>
      <c r="AN471" t="s">
        <v>148</v>
      </c>
      <c r="AO471" t="s">
        <v>8920</v>
      </c>
      <c r="AP471" t="s">
        <v>8921</v>
      </c>
      <c r="AQ471" t="s">
        <v>74</v>
      </c>
      <c r="AR471" t="s">
        <v>8922</v>
      </c>
      <c r="AS471" t="s">
        <v>8923</v>
      </c>
      <c r="AT471" t="s">
        <v>5170</v>
      </c>
      <c r="AU471">
        <v>2013</v>
      </c>
      <c r="AV471">
        <v>92</v>
      </c>
      <c r="AW471" t="s">
        <v>74</v>
      </c>
      <c r="AX471" t="s">
        <v>74</v>
      </c>
      <c r="AY471" t="s">
        <v>74</v>
      </c>
      <c r="AZ471" t="s">
        <v>74</v>
      </c>
      <c r="BA471" t="s">
        <v>74</v>
      </c>
      <c r="BB471">
        <v>51</v>
      </c>
      <c r="BC471">
        <v>58</v>
      </c>
      <c r="BD471" t="s">
        <v>74</v>
      </c>
      <c r="BE471" t="s">
        <v>8924</v>
      </c>
      <c r="BF471" t="str">
        <f>HYPERLINK("http://dx.doi.org/10.1016/j.jastp.2012.09.006","http://dx.doi.org/10.1016/j.jastp.2012.09.006")</f>
        <v>http://dx.doi.org/10.1016/j.jastp.2012.09.006</v>
      </c>
      <c r="BG471" t="s">
        <v>74</v>
      </c>
      <c r="BH471" t="s">
        <v>74</v>
      </c>
      <c r="BI471">
        <v>8</v>
      </c>
      <c r="BJ471" t="s">
        <v>8925</v>
      </c>
      <c r="BK471" t="s">
        <v>102</v>
      </c>
      <c r="BL471" t="s">
        <v>8925</v>
      </c>
      <c r="BM471" t="s">
        <v>8926</v>
      </c>
      <c r="BN471" t="s">
        <v>74</v>
      </c>
      <c r="BO471" t="s">
        <v>74</v>
      </c>
      <c r="BP471" t="s">
        <v>74</v>
      </c>
      <c r="BQ471" t="s">
        <v>74</v>
      </c>
      <c r="BR471" t="s">
        <v>105</v>
      </c>
      <c r="BS471" t="s">
        <v>8927</v>
      </c>
      <c r="BT471" t="str">
        <f>HYPERLINK("https%3A%2F%2Fwww.webofscience.com%2Fwos%2Fwoscc%2Ffull-record%2FWOS:000314624600008","View Full Record in Web of Science")</f>
        <v>View Full Record in Web of Science</v>
      </c>
    </row>
    <row r="472" spans="1:72" x14ac:dyDescent="0.15">
      <c r="A472" t="s">
        <v>72</v>
      </c>
      <c r="B472" t="s">
        <v>8928</v>
      </c>
      <c r="C472" t="s">
        <v>74</v>
      </c>
      <c r="D472" t="s">
        <v>74</v>
      </c>
      <c r="E472" t="s">
        <v>74</v>
      </c>
      <c r="F472" t="s">
        <v>8929</v>
      </c>
      <c r="G472" t="s">
        <v>74</v>
      </c>
      <c r="H472" t="s">
        <v>74</v>
      </c>
      <c r="I472" t="s">
        <v>8930</v>
      </c>
      <c r="J472" t="s">
        <v>8931</v>
      </c>
      <c r="K472" t="s">
        <v>74</v>
      </c>
      <c r="L472" t="s">
        <v>74</v>
      </c>
      <c r="M472" t="s">
        <v>78</v>
      </c>
      <c r="N472" t="s">
        <v>79</v>
      </c>
      <c r="O472" t="s">
        <v>74</v>
      </c>
      <c r="P472" t="s">
        <v>74</v>
      </c>
      <c r="Q472" t="s">
        <v>74</v>
      </c>
      <c r="R472" t="s">
        <v>74</v>
      </c>
      <c r="S472" t="s">
        <v>74</v>
      </c>
      <c r="T472" t="s">
        <v>8932</v>
      </c>
      <c r="U472" t="s">
        <v>8933</v>
      </c>
      <c r="V472" t="s">
        <v>8934</v>
      </c>
      <c r="W472" t="s">
        <v>8935</v>
      </c>
      <c r="X472" t="s">
        <v>8936</v>
      </c>
      <c r="Y472" t="s">
        <v>8937</v>
      </c>
      <c r="Z472" t="s">
        <v>8938</v>
      </c>
      <c r="AA472" t="s">
        <v>8939</v>
      </c>
      <c r="AB472" t="s">
        <v>8940</v>
      </c>
      <c r="AC472" t="s">
        <v>8941</v>
      </c>
      <c r="AD472" t="s">
        <v>8942</v>
      </c>
      <c r="AE472" t="s">
        <v>8943</v>
      </c>
      <c r="AF472" t="s">
        <v>74</v>
      </c>
      <c r="AG472">
        <v>56</v>
      </c>
      <c r="AH472">
        <v>21</v>
      </c>
      <c r="AI472">
        <v>26</v>
      </c>
      <c r="AJ472">
        <v>3</v>
      </c>
      <c r="AK472">
        <v>99</v>
      </c>
      <c r="AL472" t="s">
        <v>257</v>
      </c>
      <c r="AM472" t="s">
        <v>215</v>
      </c>
      <c r="AN472" t="s">
        <v>216</v>
      </c>
      <c r="AO472" t="s">
        <v>8944</v>
      </c>
      <c r="AP472" t="s">
        <v>8945</v>
      </c>
      <c r="AQ472" t="s">
        <v>74</v>
      </c>
      <c r="AR472" t="s">
        <v>8946</v>
      </c>
      <c r="AS472" t="s">
        <v>8947</v>
      </c>
      <c r="AT472" t="s">
        <v>5170</v>
      </c>
      <c r="AU472">
        <v>2013</v>
      </c>
      <c r="AV472">
        <v>28</v>
      </c>
      <c r="AW472">
        <v>1</v>
      </c>
      <c r="AX472" t="s">
        <v>74</v>
      </c>
      <c r="AY472" t="s">
        <v>74</v>
      </c>
      <c r="AZ472" t="s">
        <v>74</v>
      </c>
      <c r="BA472" t="s">
        <v>74</v>
      </c>
      <c r="BB472">
        <v>40</v>
      </c>
      <c r="BC472">
        <v>48</v>
      </c>
      <c r="BD472" t="s">
        <v>74</v>
      </c>
      <c r="BE472" t="s">
        <v>8948</v>
      </c>
      <c r="BF472" t="str">
        <f>HYPERLINK("http://dx.doi.org/10.1002/jqs.2593","http://dx.doi.org/10.1002/jqs.2593")</f>
        <v>http://dx.doi.org/10.1002/jqs.2593</v>
      </c>
      <c r="BG472" t="s">
        <v>74</v>
      </c>
      <c r="BH472" t="s">
        <v>74</v>
      </c>
      <c r="BI472">
        <v>9</v>
      </c>
      <c r="BJ472" t="s">
        <v>2261</v>
      </c>
      <c r="BK472" t="s">
        <v>102</v>
      </c>
      <c r="BL472" t="s">
        <v>2262</v>
      </c>
      <c r="BM472" t="s">
        <v>8949</v>
      </c>
      <c r="BN472" t="s">
        <v>74</v>
      </c>
      <c r="BO472" t="s">
        <v>104</v>
      </c>
      <c r="BP472" t="s">
        <v>74</v>
      </c>
      <c r="BQ472" t="s">
        <v>74</v>
      </c>
      <c r="BR472" t="s">
        <v>105</v>
      </c>
      <c r="BS472" t="s">
        <v>8950</v>
      </c>
      <c r="BT472" t="str">
        <f>HYPERLINK("https%3A%2F%2Fwww.webofscience.com%2Fwos%2Fwoscc%2Ffull-record%2FWOS:000314521100006","View Full Record in Web of Science")</f>
        <v>View Full Record in Web of Science</v>
      </c>
    </row>
    <row r="473" spans="1:72" x14ac:dyDescent="0.15">
      <c r="A473" t="s">
        <v>72</v>
      </c>
      <c r="B473" t="s">
        <v>8951</v>
      </c>
      <c r="C473" t="s">
        <v>74</v>
      </c>
      <c r="D473" t="s">
        <v>74</v>
      </c>
      <c r="E473" t="s">
        <v>74</v>
      </c>
      <c r="F473" t="s">
        <v>8952</v>
      </c>
      <c r="G473" t="s">
        <v>74</v>
      </c>
      <c r="H473" t="s">
        <v>74</v>
      </c>
      <c r="I473" t="s">
        <v>8953</v>
      </c>
      <c r="J473" t="s">
        <v>8954</v>
      </c>
      <c r="K473" t="s">
        <v>74</v>
      </c>
      <c r="L473" t="s">
        <v>74</v>
      </c>
      <c r="M473" t="s">
        <v>78</v>
      </c>
      <c r="N473" t="s">
        <v>79</v>
      </c>
      <c r="O473" t="s">
        <v>74</v>
      </c>
      <c r="P473" t="s">
        <v>74</v>
      </c>
      <c r="Q473" t="s">
        <v>74</v>
      </c>
      <c r="R473" t="s">
        <v>74</v>
      </c>
      <c r="S473" t="s">
        <v>74</v>
      </c>
      <c r="T473" t="s">
        <v>8955</v>
      </c>
      <c r="U473" t="s">
        <v>8956</v>
      </c>
      <c r="V473" t="s">
        <v>8957</v>
      </c>
      <c r="W473" t="s">
        <v>8958</v>
      </c>
      <c r="X473" t="s">
        <v>8959</v>
      </c>
      <c r="Y473" t="s">
        <v>8960</v>
      </c>
      <c r="Z473" t="s">
        <v>8961</v>
      </c>
      <c r="AA473" t="s">
        <v>74</v>
      </c>
      <c r="AB473" t="s">
        <v>8962</v>
      </c>
      <c r="AC473" t="s">
        <v>8963</v>
      </c>
      <c r="AD473" t="s">
        <v>8964</v>
      </c>
      <c r="AE473" t="s">
        <v>8965</v>
      </c>
      <c r="AF473" t="s">
        <v>74</v>
      </c>
      <c r="AG473">
        <v>35</v>
      </c>
      <c r="AH473">
        <v>36</v>
      </c>
      <c r="AI473">
        <v>37</v>
      </c>
      <c r="AJ473">
        <v>0</v>
      </c>
      <c r="AK473">
        <v>18</v>
      </c>
      <c r="AL473" t="s">
        <v>500</v>
      </c>
      <c r="AM473" t="s">
        <v>296</v>
      </c>
      <c r="AN473" t="s">
        <v>501</v>
      </c>
      <c r="AO473" t="s">
        <v>8966</v>
      </c>
      <c r="AP473" t="s">
        <v>8967</v>
      </c>
      <c r="AQ473" t="s">
        <v>74</v>
      </c>
      <c r="AR473" t="s">
        <v>8968</v>
      </c>
      <c r="AS473" t="s">
        <v>8969</v>
      </c>
      <c r="AT473" t="s">
        <v>5170</v>
      </c>
      <c r="AU473">
        <v>2013</v>
      </c>
      <c r="AV473">
        <v>169</v>
      </c>
      <c r="AW473">
        <v>1</v>
      </c>
      <c r="AX473" t="s">
        <v>74</v>
      </c>
      <c r="AY473" t="s">
        <v>74</v>
      </c>
      <c r="AZ473" t="s">
        <v>74</v>
      </c>
      <c r="BA473" t="s">
        <v>74</v>
      </c>
      <c r="BB473">
        <v>301</v>
      </c>
      <c r="BC473">
        <v>311</v>
      </c>
      <c r="BD473" t="s">
        <v>74</v>
      </c>
      <c r="BE473" t="s">
        <v>8970</v>
      </c>
      <c r="BF473" t="str">
        <f>HYPERLINK("http://dx.doi.org/10.1007/s12010-012-9983-2","http://dx.doi.org/10.1007/s12010-012-9983-2")</f>
        <v>http://dx.doi.org/10.1007/s12010-012-9983-2</v>
      </c>
      <c r="BG473" t="s">
        <v>74</v>
      </c>
      <c r="BH473" t="s">
        <v>74</v>
      </c>
      <c r="BI473">
        <v>11</v>
      </c>
      <c r="BJ473" t="s">
        <v>8971</v>
      </c>
      <c r="BK473" t="s">
        <v>102</v>
      </c>
      <c r="BL473" t="s">
        <v>8971</v>
      </c>
      <c r="BM473" t="s">
        <v>8972</v>
      </c>
      <c r="BN473">
        <v>23179285</v>
      </c>
      <c r="BO473" t="s">
        <v>74</v>
      </c>
      <c r="BP473" t="s">
        <v>74</v>
      </c>
      <c r="BQ473" t="s">
        <v>74</v>
      </c>
      <c r="BR473" t="s">
        <v>105</v>
      </c>
      <c r="BS473" t="s">
        <v>8973</v>
      </c>
      <c r="BT473" t="str">
        <f>HYPERLINK("https%3A%2F%2Fwww.webofscience.com%2Fwos%2Fwoscc%2Ffull-record%2FWOS:000314023100027","View Full Record in Web of Science")</f>
        <v>View Full Record in Web of Science</v>
      </c>
    </row>
    <row r="474" spans="1:72" x14ac:dyDescent="0.15">
      <c r="A474" t="s">
        <v>72</v>
      </c>
      <c r="B474" t="s">
        <v>8974</v>
      </c>
      <c r="C474" t="s">
        <v>74</v>
      </c>
      <c r="D474" t="s">
        <v>74</v>
      </c>
      <c r="E474" t="s">
        <v>74</v>
      </c>
      <c r="F474" t="s">
        <v>8975</v>
      </c>
      <c r="G474" t="s">
        <v>74</v>
      </c>
      <c r="H474" t="s">
        <v>74</v>
      </c>
      <c r="I474" t="s">
        <v>8976</v>
      </c>
      <c r="J474" t="s">
        <v>8977</v>
      </c>
      <c r="K474" t="s">
        <v>74</v>
      </c>
      <c r="L474" t="s">
        <v>74</v>
      </c>
      <c r="M474" t="s">
        <v>78</v>
      </c>
      <c r="N474" t="s">
        <v>79</v>
      </c>
      <c r="O474" t="s">
        <v>74</v>
      </c>
      <c r="P474" t="s">
        <v>74</v>
      </c>
      <c r="Q474" t="s">
        <v>74</v>
      </c>
      <c r="R474" t="s">
        <v>74</v>
      </c>
      <c r="S474" t="s">
        <v>74</v>
      </c>
      <c r="T474" t="s">
        <v>8978</v>
      </c>
      <c r="U474" t="s">
        <v>8979</v>
      </c>
      <c r="V474" t="s">
        <v>8980</v>
      </c>
      <c r="W474" t="s">
        <v>8981</v>
      </c>
      <c r="X474" t="s">
        <v>8982</v>
      </c>
      <c r="Y474" t="s">
        <v>8983</v>
      </c>
      <c r="Z474" t="s">
        <v>7335</v>
      </c>
      <c r="AA474" t="s">
        <v>74</v>
      </c>
      <c r="AB474" t="s">
        <v>8984</v>
      </c>
      <c r="AC474" t="s">
        <v>74</v>
      </c>
      <c r="AD474" t="s">
        <v>74</v>
      </c>
      <c r="AE474" t="s">
        <v>74</v>
      </c>
      <c r="AF474" t="s">
        <v>74</v>
      </c>
      <c r="AG474">
        <v>78</v>
      </c>
      <c r="AH474">
        <v>12</v>
      </c>
      <c r="AI474">
        <v>12</v>
      </c>
      <c r="AJ474">
        <v>0</v>
      </c>
      <c r="AK474">
        <v>125</v>
      </c>
      <c r="AL474" t="s">
        <v>257</v>
      </c>
      <c r="AM474" t="s">
        <v>215</v>
      </c>
      <c r="AN474" t="s">
        <v>216</v>
      </c>
      <c r="AO474" t="s">
        <v>8985</v>
      </c>
      <c r="AP474" t="s">
        <v>8986</v>
      </c>
      <c r="AQ474" t="s">
        <v>74</v>
      </c>
      <c r="AR474" t="s">
        <v>8987</v>
      </c>
      <c r="AS474" t="s">
        <v>8988</v>
      </c>
      <c r="AT474" t="s">
        <v>5170</v>
      </c>
      <c r="AU474">
        <v>2013</v>
      </c>
      <c r="AV474">
        <v>23</v>
      </c>
      <c r="AW474">
        <v>1</v>
      </c>
      <c r="AX474" t="s">
        <v>74</v>
      </c>
      <c r="AY474" t="s">
        <v>74</v>
      </c>
      <c r="AZ474" t="s">
        <v>74</v>
      </c>
      <c r="BA474" t="s">
        <v>74</v>
      </c>
      <c r="BB474">
        <v>111</v>
      </c>
      <c r="BC474">
        <v>123</v>
      </c>
      <c r="BD474" t="s">
        <v>74</v>
      </c>
      <c r="BE474" t="s">
        <v>8989</v>
      </c>
      <c r="BF474" t="str">
        <f>HYPERLINK("http://dx.doi.org/10.1002/aqc.2284","http://dx.doi.org/10.1002/aqc.2284")</f>
        <v>http://dx.doi.org/10.1002/aqc.2284</v>
      </c>
      <c r="BG474" t="s">
        <v>74</v>
      </c>
      <c r="BH474" t="s">
        <v>74</v>
      </c>
      <c r="BI474">
        <v>13</v>
      </c>
      <c r="BJ474" t="s">
        <v>8990</v>
      </c>
      <c r="BK474" t="s">
        <v>102</v>
      </c>
      <c r="BL474" t="s">
        <v>8991</v>
      </c>
      <c r="BM474" t="s">
        <v>8992</v>
      </c>
      <c r="BN474" t="s">
        <v>74</v>
      </c>
      <c r="BO474" t="s">
        <v>74</v>
      </c>
      <c r="BP474" t="s">
        <v>74</v>
      </c>
      <c r="BQ474" t="s">
        <v>74</v>
      </c>
      <c r="BR474" t="s">
        <v>105</v>
      </c>
      <c r="BS474" t="s">
        <v>8993</v>
      </c>
      <c r="BT474" t="str">
        <f>HYPERLINK("https%3A%2F%2Fwww.webofscience.com%2Fwos%2Fwoscc%2Ffull-record%2FWOS:000313984800010","View Full Record in Web of Science")</f>
        <v>View Full Record in Web of Science</v>
      </c>
    </row>
    <row r="475" spans="1:72" x14ac:dyDescent="0.15">
      <c r="A475" t="s">
        <v>72</v>
      </c>
      <c r="B475" t="s">
        <v>8994</v>
      </c>
      <c r="C475" t="s">
        <v>74</v>
      </c>
      <c r="D475" t="s">
        <v>74</v>
      </c>
      <c r="E475" t="s">
        <v>74</v>
      </c>
      <c r="F475" t="s">
        <v>8995</v>
      </c>
      <c r="G475" t="s">
        <v>74</v>
      </c>
      <c r="H475" t="s">
        <v>74</v>
      </c>
      <c r="I475" t="s">
        <v>8996</v>
      </c>
      <c r="J475" t="s">
        <v>5821</v>
      </c>
      <c r="K475" t="s">
        <v>74</v>
      </c>
      <c r="L475" t="s">
        <v>74</v>
      </c>
      <c r="M475" t="s">
        <v>78</v>
      </c>
      <c r="N475" t="s">
        <v>79</v>
      </c>
      <c r="O475" t="s">
        <v>74</v>
      </c>
      <c r="P475" t="s">
        <v>74</v>
      </c>
      <c r="Q475" t="s">
        <v>74</v>
      </c>
      <c r="R475" t="s">
        <v>74</v>
      </c>
      <c r="S475" t="s">
        <v>74</v>
      </c>
      <c r="T475" t="s">
        <v>74</v>
      </c>
      <c r="U475" t="s">
        <v>8997</v>
      </c>
      <c r="V475" t="s">
        <v>8998</v>
      </c>
      <c r="W475" t="s">
        <v>8999</v>
      </c>
      <c r="X475" t="s">
        <v>3547</v>
      </c>
      <c r="Y475" t="s">
        <v>9000</v>
      </c>
      <c r="Z475" t="s">
        <v>9001</v>
      </c>
      <c r="AA475" t="s">
        <v>74</v>
      </c>
      <c r="AB475" t="s">
        <v>9002</v>
      </c>
      <c r="AC475" t="s">
        <v>9003</v>
      </c>
      <c r="AD475" t="s">
        <v>9004</v>
      </c>
      <c r="AE475" t="s">
        <v>9005</v>
      </c>
      <c r="AF475" t="s">
        <v>74</v>
      </c>
      <c r="AG475">
        <v>70</v>
      </c>
      <c r="AH475">
        <v>42</v>
      </c>
      <c r="AI475">
        <v>43</v>
      </c>
      <c r="AJ475">
        <v>4</v>
      </c>
      <c r="AK475">
        <v>37</v>
      </c>
      <c r="AL475" t="s">
        <v>4248</v>
      </c>
      <c r="AM475" t="s">
        <v>4249</v>
      </c>
      <c r="AN475" t="s">
        <v>4250</v>
      </c>
      <c r="AO475" t="s">
        <v>5833</v>
      </c>
      <c r="AP475" t="s">
        <v>74</v>
      </c>
      <c r="AQ475" t="s">
        <v>74</v>
      </c>
      <c r="AR475" t="s">
        <v>5821</v>
      </c>
      <c r="AS475" t="s">
        <v>5835</v>
      </c>
      <c r="AT475" t="s">
        <v>74</v>
      </c>
      <c r="AU475">
        <v>2013</v>
      </c>
      <c r="AV475">
        <v>10</v>
      </c>
      <c r="AW475">
        <v>1</v>
      </c>
      <c r="AX475" t="s">
        <v>74</v>
      </c>
      <c r="AY475" t="s">
        <v>74</v>
      </c>
      <c r="AZ475" t="s">
        <v>74</v>
      </c>
      <c r="BA475" t="s">
        <v>74</v>
      </c>
      <c r="BB475">
        <v>217</v>
      </c>
      <c r="BC475">
        <v>231</v>
      </c>
      <c r="BD475" t="s">
        <v>74</v>
      </c>
      <c r="BE475" t="s">
        <v>9006</v>
      </c>
      <c r="BF475" t="str">
        <f>HYPERLINK("http://dx.doi.org/10.5194/bg-10-217-2013","http://dx.doi.org/10.5194/bg-10-217-2013")</f>
        <v>http://dx.doi.org/10.5194/bg-10-217-2013</v>
      </c>
      <c r="BG475" t="s">
        <v>74</v>
      </c>
      <c r="BH475" t="s">
        <v>74</v>
      </c>
      <c r="BI475">
        <v>15</v>
      </c>
      <c r="BJ475" t="s">
        <v>4835</v>
      </c>
      <c r="BK475" t="s">
        <v>102</v>
      </c>
      <c r="BL475" t="s">
        <v>4836</v>
      </c>
      <c r="BM475" t="s">
        <v>9007</v>
      </c>
      <c r="BN475" t="s">
        <v>74</v>
      </c>
      <c r="BO475" t="s">
        <v>4132</v>
      </c>
      <c r="BP475" t="s">
        <v>74</v>
      </c>
      <c r="BQ475" t="s">
        <v>74</v>
      </c>
      <c r="BR475" t="s">
        <v>105</v>
      </c>
      <c r="BS475" t="s">
        <v>9008</v>
      </c>
      <c r="BT475" t="str">
        <f>HYPERLINK("https%3A%2F%2Fwww.webofscience.com%2Fwos%2Fwoscc%2Ffull-record%2FWOS:000314173700014","View Full Record in Web of Science")</f>
        <v>View Full Record in Web of Science</v>
      </c>
    </row>
    <row r="476" spans="1:72" x14ac:dyDescent="0.15">
      <c r="A476" t="s">
        <v>72</v>
      </c>
      <c r="B476" t="s">
        <v>9009</v>
      </c>
      <c r="C476" t="s">
        <v>74</v>
      </c>
      <c r="D476" t="s">
        <v>74</v>
      </c>
      <c r="E476" t="s">
        <v>74</v>
      </c>
      <c r="F476" t="s">
        <v>9010</v>
      </c>
      <c r="G476" t="s">
        <v>74</v>
      </c>
      <c r="H476" t="s">
        <v>74</v>
      </c>
      <c r="I476" t="s">
        <v>9011</v>
      </c>
      <c r="J476" t="s">
        <v>9012</v>
      </c>
      <c r="K476" t="s">
        <v>74</v>
      </c>
      <c r="L476" t="s">
        <v>74</v>
      </c>
      <c r="M476" t="s">
        <v>78</v>
      </c>
      <c r="N476" t="s">
        <v>79</v>
      </c>
      <c r="O476" t="s">
        <v>74</v>
      </c>
      <c r="P476" t="s">
        <v>74</v>
      </c>
      <c r="Q476" t="s">
        <v>74</v>
      </c>
      <c r="R476" t="s">
        <v>74</v>
      </c>
      <c r="S476" t="s">
        <v>74</v>
      </c>
      <c r="T476" t="s">
        <v>74</v>
      </c>
      <c r="U476" t="s">
        <v>9013</v>
      </c>
      <c r="V476" t="s">
        <v>9014</v>
      </c>
      <c r="W476" t="s">
        <v>9015</v>
      </c>
      <c r="X476" t="s">
        <v>9016</v>
      </c>
      <c r="Y476" t="s">
        <v>9017</v>
      </c>
      <c r="Z476" t="s">
        <v>9018</v>
      </c>
      <c r="AA476" t="s">
        <v>9019</v>
      </c>
      <c r="AB476" t="s">
        <v>9020</v>
      </c>
      <c r="AC476" t="s">
        <v>9021</v>
      </c>
      <c r="AD476" t="s">
        <v>4482</v>
      </c>
      <c r="AE476" t="s">
        <v>9022</v>
      </c>
      <c r="AF476" t="s">
        <v>74</v>
      </c>
      <c r="AG476">
        <v>33</v>
      </c>
      <c r="AH476">
        <v>9</v>
      </c>
      <c r="AI476">
        <v>9</v>
      </c>
      <c r="AJ476">
        <v>0</v>
      </c>
      <c r="AK476">
        <v>10</v>
      </c>
      <c r="AL476" t="s">
        <v>295</v>
      </c>
      <c r="AM476" t="s">
        <v>296</v>
      </c>
      <c r="AN476" t="s">
        <v>297</v>
      </c>
      <c r="AO476" t="s">
        <v>9023</v>
      </c>
      <c r="AP476" t="s">
        <v>9024</v>
      </c>
      <c r="AQ476" t="s">
        <v>74</v>
      </c>
      <c r="AR476" t="s">
        <v>9025</v>
      </c>
      <c r="AS476" t="s">
        <v>9026</v>
      </c>
      <c r="AT476" t="s">
        <v>5170</v>
      </c>
      <c r="AU476">
        <v>2013</v>
      </c>
      <c r="AV476">
        <v>51</v>
      </c>
      <c r="AW476">
        <v>1</v>
      </c>
      <c r="AX476" t="s">
        <v>74</v>
      </c>
      <c r="AY476" t="s">
        <v>74</v>
      </c>
      <c r="AZ476" t="s">
        <v>74</v>
      </c>
      <c r="BA476" t="s">
        <v>74</v>
      </c>
      <c r="BB476">
        <v>46</v>
      </c>
      <c r="BC476">
        <v>53</v>
      </c>
      <c r="BD476" t="s">
        <v>74</v>
      </c>
      <c r="BE476" t="s">
        <v>9027</v>
      </c>
      <c r="BF476" t="str">
        <f>HYPERLINK("http://dx.doi.org/10.1134/S0010952513010061","http://dx.doi.org/10.1134/S0010952513010061")</f>
        <v>http://dx.doi.org/10.1134/S0010952513010061</v>
      </c>
      <c r="BG476" t="s">
        <v>74</v>
      </c>
      <c r="BH476" t="s">
        <v>74</v>
      </c>
      <c r="BI476">
        <v>8</v>
      </c>
      <c r="BJ476" t="s">
        <v>9028</v>
      </c>
      <c r="BK476" t="s">
        <v>102</v>
      </c>
      <c r="BL476" t="s">
        <v>9029</v>
      </c>
      <c r="BM476" t="s">
        <v>9030</v>
      </c>
      <c r="BN476" t="s">
        <v>74</v>
      </c>
      <c r="BO476" t="s">
        <v>74</v>
      </c>
      <c r="BP476" t="s">
        <v>74</v>
      </c>
      <c r="BQ476" t="s">
        <v>74</v>
      </c>
      <c r="BR476" t="s">
        <v>105</v>
      </c>
      <c r="BS476" t="s">
        <v>9031</v>
      </c>
      <c r="BT476" t="str">
        <f>HYPERLINK("https%3A%2F%2Fwww.webofscience.com%2Fwos%2Fwoscc%2Ffull-record%2FWOS:000314295100006","View Full Record in Web of Science")</f>
        <v>View Full Record in Web of Science</v>
      </c>
    </row>
    <row r="477" spans="1:72" x14ac:dyDescent="0.15">
      <c r="A477" t="s">
        <v>72</v>
      </c>
      <c r="B477" t="s">
        <v>9032</v>
      </c>
      <c r="C477" t="s">
        <v>74</v>
      </c>
      <c r="D477" t="s">
        <v>74</v>
      </c>
      <c r="E477" t="s">
        <v>74</v>
      </c>
      <c r="F477" t="s">
        <v>9033</v>
      </c>
      <c r="G477" t="s">
        <v>74</v>
      </c>
      <c r="H477" t="s">
        <v>74</v>
      </c>
      <c r="I477" t="s">
        <v>9034</v>
      </c>
      <c r="J477" t="s">
        <v>690</v>
      </c>
      <c r="K477" t="s">
        <v>74</v>
      </c>
      <c r="L477" t="s">
        <v>74</v>
      </c>
      <c r="M477" t="s">
        <v>78</v>
      </c>
      <c r="N477" t="s">
        <v>79</v>
      </c>
      <c r="O477" t="s">
        <v>74</v>
      </c>
      <c r="P477" t="s">
        <v>74</v>
      </c>
      <c r="Q477" t="s">
        <v>74</v>
      </c>
      <c r="R477" t="s">
        <v>74</v>
      </c>
      <c r="S477" t="s">
        <v>74</v>
      </c>
      <c r="T477" t="s">
        <v>9035</v>
      </c>
      <c r="U477" t="s">
        <v>9036</v>
      </c>
      <c r="V477" t="s">
        <v>9037</v>
      </c>
      <c r="W477" t="s">
        <v>9038</v>
      </c>
      <c r="X477" t="s">
        <v>9039</v>
      </c>
      <c r="Y477" t="s">
        <v>9040</v>
      </c>
      <c r="Z477" t="s">
        <v>9041</v>
      </c>
      <c r="AA477" t="s">
        <v>9042</v>
      </c>
      <c r="AB477" t="s">
        <v>9043</v>
      </c>
      <c r="AC477" t="s">
        <v>74</v>
      </c>
      <c r="AD477" t="s">
        <v>74</v>
      </c>
      <c r="AE477" t="s">
        <v>74</v>
      </c>
      <c r="AF477" t="s">
        <v>74</v>
      </c>
      <c r="AG477">
        <v>54</v>
      </c>
      <c r="AH477">
        <v>34</v>
      </c>
      <c r="AI477">
        <v>37</v>
      </c>
      <c r="AJ477">
        <v>1</v>
      </c>
      <c r="AK477">
        <v>36</v>
      </c>
      <c r="AL477" t="s">
        <v>703</v>
      </c>
      <c r="AM477" t="s">
        <v>704</v>
      </c>
      <c r="AN477" t="s">
        <v>705</v>
      </c>
      <c r="AO477" t="s">
        <v>706</v>
      </c>
      <c r="AP477" t="s">
        <v>707</v>
      </c>
      <c r="AQ477" t="s">
        <v>74</v>
      </c>
      <c r="AR477" t="s">
        <v>708</v>
      </c>
      <c r="AS477" t="s">
        <v>709</v>
      </c>
      <c r="AT477" t="s">
        <v>5170</v>
      </c>
      <c r="AU477">
        <v>2013</v>
      </c>
      <c r="AV477">
        <v>51</v>
      </c>
      <c r="AW477">
        <v>1</v>
      </c>
      <c r="AX477">
        <v>1</v>
      </c>
      <c r="AY477" t="s">
        <v>74</v>
      </c>
      <c r="AZ477" t="s">
        <v>74</v>
      </c>
      <c r="BA477" t="s">
        <v>74</v>
      </c>
      <c r="BB477">
        <v>38</v>
      </c>
      <c r="BC477">
        <v>56</v>
      </c>
      <c r="BD477" t="s">
        <v>74</v>
      </c>
      <c r="BE477" t="s">
        <v>9044</v>
      </c>
      <c r="BF477" t="str">
        <f>HYPERLINK("http://dx.doi.org/10.1109/TGRS.2012.2202666","http://dx.doi.org/10.1109/TGRS.2012.2202666")</f>
        <v>http://dx.doi.org/10.1109/TGRS.2012.2202666</v>
      </c>
      <c r="BG477" t="s">
        <v>74</v>
      </c>
      <c r="BH477" t="s">
        <v>74</v>
      </c>
      <c r="BI477">
        <v>19</v>
      </c>
      <c r="BJ477" t="s">
        <v>711</v>
      </c>
      <c r="BK477" t="s">
        <v>102</v>
      </c>
      <c r="BL477" t="s">
        <v>712</v>
      </c>
      <c r="BM477" t="s">
        <v>9045</v>
      </c>
      <c r="BN477" t="s">
        <v>74</v>
      </c>
      <c r="BO477" t="s">
        <v>74</v>
      </c>
      <c r="BP477" t="s">
        <v>74</v>
      </c>
      <c r="BQ477" t="s">
        <v>74</v>
      </c>
      <c r="BR477" t="s">
        <v>105</v>
      </c>
      <c r="BS477" t="s">
        <v>9046</v>
      </c>
      <c r="BT477" t="str">
        <f>HYPERLINK("https%3A%2F%2Fwww.webofscience.com%2Fwos%2Fwoscc%2Ffull-record%2FWOS:000313963700007","View Full Record in Web of Science")</f>
        <v>View Full Record in Web of Science</v>
      </c>
    </row>
    <row r="478" spans="1:72" x14ac:dyDescent="0.15">
      <c r="A478" t="s">
        <v>72</v>
      </c>
      <c r="B478" t="s">
        <v>9047</v>
      </c>
      <c r="C478" t="s">
        <v>74</v>
      </c>
      <c r="D478" t="s">
        <v>74</v>
      </c>
      <c r="E478" t="s">
        <v>74</v>
      </c>
      <c r="F478" t="s">
        <v>9048</v>
      </c>
      <c r="G478" t="s">
        <v>74</v>
      </c>
      <c r="H478" t="s">
        <v>74</v>
      </c>
      <c r="I478" t="s">
        <v>9049</v>
      </c>
      <c r="J478" t="s">
        <v>690</v>
      </c>
      <c r="K478" t="s">
        <v>74</v>
      </c>
      <c r="L478" t="s">
        <v>74</v>
      </c>
      <c r="M478" t="s">
        <v>78</v>
      </c>
      <c r="N478" t="s">
        <v>79</v>
      </c>
      <c r="O478" t="s">
        <v>74</v>
      </c>
      <c r="P478" t="s">
        <v>74</v>
      </c>
      <c r="Q478" t="s">
        <v>74</v>
      </c>
      <c r="R478" t="s">
        <v>74</v>
      </c>
      <c r="S478" t="s">
        <v>74</v>
      </c>
      <c r="T478" t="s">
        <v>9050</v>
      </c>
      <c r="U478" t="s">
        <v>9051</v>
      </c>
      <c r="V478" t="s">
        <v>9052</v>
      </c>
      <c r="W478" t="s">
        <v>9053</v>
      </c>
      <c r="X478" t="s">
        <v>9054</v>
      </c>
      <c r="Y478" t="s">
        <v>9055</v>
      </c>
      <c r="Z478" t="s">
        <v>9056</v>
      </c>
      <c r="AA478" t="s">
        <v>9057</v>
      </c>
      <c r="AB478" t="s">
        <v>9058</v>
      </c>
      <c r="AC478" t="s">
        <v>9059</v>
      </c>
      <c r="AD478" t="s">
        <v>9059</v>
      </c>
      <c r="AE478" t="s">
        <v>9060</v>
      </c>
      <c r="AF478" t="s">
        <v>74</v>
      </c>
      <c r="AG478">
        <v>22</v>
      </c>
      <c r="AH478">
        <v>30</v>
      </c>
      <c r="AI478">
        <v>38</v>
      </c>
      <c r="AJ478">
        <v>0</v>
      </c>
      <c r="AK478">
        <v>48</v>
      </c>
      <c r="AL478" t="s">
        <v>703</v>
      </c>
      <c r="AM478" t="s">
        <v>704</v>
      </c>
      <c r="AN478" t="s">
        <v>705</v>
      </c>
      <c r="AO478" t="s">
        <v>706</v>
      </c>
      <c r="AP478" t="s">
        <v>707</v>
      </c>
      <c r="AQ478" t="s">
        <v>74</v>
      </c>
      <c r="AR478" t="s">
        <v>708</v>
      </c>
      <c r="AS478" t="s">
        <v>709</v>
      </c>
      <c r="AT478" t="s">
        <v>5170</v>
      </c>
      <c r="AU478">
        <v>2013</v>
      </c>
      <c r="AV478">
        <v>51</v>
      </c>
      <c r="AW478">
        <v>1</v>
      </c>
      <c r="AX478">
        <v>1</v>
      </c>
      <c r="AY478" t="s">
        <v>74</v>
      </c>
      <c r="AZ478" t="s">
        <v>74</v>
      </c>
      <c r="BA478" t="s">
        <v>74</v>
      </c>
      <c r="BB478">
        <v>57</v>
      </c>
      <c r="BC478">
        <v>72</v>
      </c>
      <c r="BD478" t="s">
        <v>74</v>
      </c>
      <c r="BE478" t="s">
        <v>9061</v>
      </c>
      <c r="BF478" t="str">
        <f>HYPERLINK("http://dx.doi.org/10.1109/TGRS.2012.2200298","http://dx.doi.org/10.1109/TGRS.2012.2200298")</f>
        <v>http://dx.doi.org/10.1109/TGRS.2012.2200298</v>
      </c>
      <c r="BG478" t="s">
        <v>74</v>
      </c>
      <c r="BH478" t="s">
        <v>74</v>
      </c>
      <c r="BI478">
        <v>16</v>
      </c>
      <c r="BJ478" t="s">
        <v>711</v>
      </c>
      <c r="BK478" t="s">
        <v>102</v>
      </c>
      <c r="BL478" t="s">
        <v>712</v>
      </c>
      <c r="BM478" t="s">
        <v>9045</v>
      </c>
      <c r="BN478" t="s">
        <v>74</v>
      </c>
      <c r="BO478" t="s">
        <v>74</v>
      </c>
      <c r="BP478" t="s">
        <v>74</v>
      </c>
      <c r="BQ478" t="s">
        <v>74</v>
      </c>
      <c r="BR478" t="s">
        <v>105</v>
      </c>
      <c r="BS478" t="s">
        <v>9062</v>
      </c>
      <c r="BT478" t="str">
        <f>HYPERLINK("https%3A%2F%2Fwww.webofscience.com%2Fwos%2Fwoscc%2Ffull-record%2FWOS:000313963700008","View Full Record in Web of Science")</f>
        <v>View Full Record in Web of Science</v>
      </c>
    </row>
    <row r="479" spans="1:72" x14ac:dyDescent="0.15">
      <c r="A479" t="s">
        <v>72</v>
      </c>
      <c r="B479" t="s">
        <v>9063</v>
      </c>
      <c r="C479" t="s">
        <v>74</v>
      </c>
      <c r="D479" t="s">
        <v>74</v>
      </c>
      <c r="E479" t="s">
        <v>74</v>
      </c>
      <c r="F479" t="s">
        <v>9064</v>
      </c>
      <c r="G479" t="s">
        <v>74</v>
      </c>
      <c r="H479" t="s">
        <v>74</v>
      </c>
      <c r="I479" t="s">
        <v>9065</v>
      </c>
      <c r="J479" t="s">
        <v>9066</v>
      </c>
      <c r="K479" t="s">
        <v>74</v>
      </c>
      <c r="L479" t="s">
        <v>74</v>
      </c>
      <c r="M479" t="s">
        <v>78</v>
      </c>
      <c r="N479" t="s">
        <v>79</v>
      </c>
      <c r="O479" t="s">
        <v>74</v>
      </c>
      <c r="P479" t="s">
        <v>74</v>
      </c>
      <c r="Q479" t="s">
        <v>74</v>
      </c>
      <c r="R479" t="s">
        <v>74</v>
      </c>
      <c r="S479" t="s">
        <v>74</v>
      </c>
      <c r="T479" t="s">
        <v>9067</v>
      </c>
      <c r="U479" t="s">
        <v>9068</v>
      </c>
      <c r="V479" t="s">
        <v>9069</v>
      </c>
      <c r="W479" t="s">
        <v>9070</v>
      </c>
      <c r="X479" t="s">
        <v>5410</v>
      </c>
      <c r="Y479" t="s">
        <v>9071</v>
      </c>
      <c r="Z479" t="s">
        <v>5412</v>
      </c>
      <c r="AA479" t="s">
        <v>9072</v>
      </c>
      <c r="AB479" t="s">
        <v>9073</v>
      </c>
      <c r="AC479" t="s">
        <v>9074</v>
      </c>
      <c r="AD479" t="s">
        <v>9075</v>
      </c>
      <c r="AE479" t="s">
        <v>9076</v>
      </c>
      <c r="AF479" t="s">
        <v>74</v>
      </c>
      <c r="AG479">
        <v>76</v>
      </c>
      <c r="AH479">
        <v>26</v>
      </c>
      <c r="AI479">
        <v>30</v>
      </c>
      <c r="AJ479">
        <v>4</v>
      </c>
      <c r="AK479">
        <v>88</v>
      </c>
      <c r="AL479" t="s">
        <v>257</v>
      </c>
      <c r="AM479" t="s">
        <v>215</v>
      </c>
      <c r="AN479" t="s">
        <v>216</v>
      </c>
      <c r="AO479" t="s">
        <v>9077</v>
      </c>
      <c r="AP479" t="s">
        <v>9078</v>
      </c>
      <c r="AQ479" t="s">
        <v>74</v>
      </c>
      <c r="AR479" t="s">
        <v>9079</v>
      </c>
      <c r="AS479" t="s">
        <v>9080</v>
      </c>
      <c r="AT479" t="s">
        <v>5170</v>
      </c>
      <c r="AU479">
        <v>2013</v>
      </c>
      <c r="AV479">
        <v>82</v>
      </c>
      <c r="AW479">
        <v>1</v>
      </c>
      <c r="AX479" t="s">
        <v>74</v>
      </c>
      <c r="AY479" t="s">
        <v>74</v>
      </c>
      <c r="AZ479" t="s">
        <v>74</v>
      </c>
      <c r="BA479" t="s">
        <v>74</v>
      </c>
      <c r="BB479">
        <v>141</v>
      </c>
      <c r="BC479">
        <v>164</v>
      </c>
      <c r="BD479" t="s">
        <v>74</v>
      </c>
      <c r="BE479" t="s">
        <v>9081</v>
      </c>
      <c r="BF479" t="str">
        <f>HYPERLINK("http://dx.doi.org/10.1111/j.1095-8649.2012.03476.x","http://dx.doi.org/10.1111/j.1095-8649.2012.03476.x")</f>
        <v>http://dx.doi.org/10.1111/j.1095-8649.2012.03476.x</v>
      </c>
      <c r="BG479" t="s">
        <v>74</v>
      </c>
      <c r="BH479" t="s">
        <v>74</v>
      </c>
      <c r="BI479">
        <v>24</v>
      </c>
      <c r="BJ479" t="s">
        <v>5902</v>
      </c>
      <c r="BK479" t="s">
        <v>102</v>
      </c>
      <c r="BL479" t="s">
        <v>5902</v>
      </c>
      <c r="BM479" t="s">
        <v>9082</v>
      </c>
      <c r="BN479">
        <v>23331143</v>
      </c>
      <c r="BO479" t="s">
        <v>128</v>
      </c>
      <c r="BP479" t="s">
        <v>74</v>
      </c>
      <c r="BQ479" t="s">
        <v>74</v>
      </c>
      <c r="BR479" t="s">
        <v>105</v>
      </c>
      <c r="BS479" t="s">
        <v>9083</v>
      </c>
      <c r="BT479" t="str">
        <f>HYPERLINK("https%3A%2F%2Fwww.webofscience.com%2Fwos%2Fwoscc%2Ffull-record%2FWOS:000313807000011","View Full Record in Web of Science")</f>
        <v>View Full Record in Web of Science</v>
      </c>
    </row>
    <row r="480" spans="1:72" x14ac:dyDescent="0.15">
      <c r="A480" t="s">
        <v>72</v>
      </c>
      <c r="B480" t="s">
        <v>9084</v>
      </c>
      <c r="C480" t="s">
        <v>74</v>
      </c>
      <c r="D480" t="s">
        <v>74</v>
      </c>
      <c r="E480" t="s">
        <v>74</v>
      </c>
      <c r="F480" t="s">
        <v>9085</v>
      </c>
      <c r="G480" t="s">
        <v>74</v>
      </c>
      <c r="H480" t="s">
        <v>74</v>
      </c>
      <c r="I480" t="s">
        <v>9086</v>
      </c>
      <c r="J480" t="s">
        <v>9087</v>
      </c>
      <c r="K480" t="s">
        <v>74</v>
      </c>
      <c r="L480" t="s">
        <v>74</v>
      </c>
      <c r="M480" t="s">
        <v>78</v>
      </c>
      <c r="N480" t="s">
        <v>79</v>
      </c>
      <c r="O480" t="s">
        <v>74</v>
      </c>
      <c r="P480" t="s">
        <v>74</v>
      </c>
      <c r="Q480" t="s">
        <v>74</v>
      </c>
      <c r="R480" t="s">
        <v>74</v>
      </c>
      <c r="S480" t="s">
        <v>74</v>
      </c>
      <c r="T480" t="s">
        <v>9088</v>
      </c>
      <c r="U480" t="s">
        <v>9089</v>
      </c>
      <c r="V480" t="s">
        <v>9090</v>
      </c>
      <c r="W480" t="s">
        <v>9091</v>
      </c>
      <c r="X480" t="s">
        <v>9092</v>
      </c>
      <c r="Y480" t="s">
        <v>9093</v>
      </c>
      <c r="Z480" t="s">
        <v>9094</v>
      </c>
      <c r="AA480" t="s">
        <v>9095</v>
      </c>
      <c r="AB480" t="s">
        <v>9096</v>
      </c>
      <c r="AC480" t="s">
        <v>9097</v>
      </c>
      <c r="AD480" t="s">
        <v>9098</v>
      </c>
      <c r="AE480" t="s">
        <v>9099</v>
      </c>
      <c r="AF480" t="s">
        <v>74</v>
      </c>
      <c r="AG480">
        <v>99</v>
      </c>
      <c r="AH480">
        <v>7</v>
      </c>
      <c r="AI480">
        <v>8</v>
      </c>
      <c r="AJ480">
        <v>1</v>
      </c>
      <c r="AK480">
        <v>7</v>
      </c>
      <c r="AL480" t="s">
        <v>9100</v>
      </c>
      <c r="AM480" t="s">
        <v>3353</v>
      </c>
      <c r="AN480" t="s">
        <v>9101</v>
      </c>
      <c r="AO480" t="s">
        <v>9102</v>
      </c>
      <c r="AP480" t="s">
        <v>74</v>
      </c>
      <c r="AQ480" t="s">
        <v>74</v>
      </c>
      <c r="AR480" t="s">
        <v>9103</v>
      </c>
      <c r="AS480" t="s">
        <v>9104</v>
      </c>
      <c r="AT480" t="s">
        <v>5170</v>
      </c>
      <c r="AU480">
        <v>2013</v>
      </c>
      <c r="AV480">
        <v>32</v>
      </c>
      <c r="AW480" t="s">
        <v>74</v>
      </c>
      <c r="AX480">
        <v>1</v>
      </c>
      <c r="AY480" t="s">
        <v>74</v>
      </c>
      <c r="AZ480" t="s">
        <v>74</v>
      </c>
      <c r="BA480" t="s">
        <v>74</v>
      </c>
      <c r="BB480">
        <v>59</v>
      </c>
      <c r="BC480">
        <v>86</v>
      </c>
      <c r="BD480" t="s">
        <v>74</v>
      </c>
      <c r="BE480" t="s">
        <v>9105</v>
      </c>
      <c r="BF480" t="str">
        <f>HYPERLINK("http://dx.doi.org/10.1144/jmpaleo2011-025","http://dx.doi.org/10.1144/jmpaleo2011-025")</f>
        <v>http://dx.doi.org/10.1144/jmpaleo2011-025</v>
      </c>
      <c r="BG480" t="s">
        <v>74</v>
      </c>
      <c r="BH480" t="s">
        <v>74</v>
      </c>
      <c r="BI480">
        <v>28</v>
      </c>
      <c r="BJ480" t="s">
        <v>4346</v>
      </c>
      <c r="BK480" t="s">
        <v>102</v>
      </c>
      <c r="BL480" t="s">
        <v>4346</v>
      </c>
      <c r="BM480" t="s">
        <v>9106</v>
      </c>
      <c r="BN480" t="s">
        <v>74</v>
      </c>
      <c r="BO480" t="s">
        <v>104</v>
      </c>
      <c r="BP480" t="s">
        <v>74</v>
      </c>
      <c r="BQ480" t="s">
        <v>74</v>
      </c>
      <c r="BR480" t="s">
        <v>105</v>
      </c>
      <c r="BS480" t="s">
        <v>9107</v>
      </c>
      <c r="BT480" t="str">
        <f>HYPERLINK("https%3A%2F%2Fwww.webofscience.com%2Fwos%2Fwoscc%2Ffull-record%2FWOS:000314212900002","View Full Record in Web of Science")</f>
        <v>View Full Record in Web of Science</v>
      </c>
    </row>
    <row r="481" spans="1:72" x14ac:dyDescent="0.15">
      <c r="A481" t="s">
        <v>72</v>
      </c>
      <c r="B481" t="s">
        <v>9108</v>
      </c>
      <c r="C481" t="s">
        <v>74</v>
      </c>
      <c r="D481" t="s">
        <v>74</v>
      </c>
      <c r="E481" t="s">
        <v>74</v>
      </c>
      <c r="F481" t="s">
        <v>9109</v>
      </c>
      <c r="G481" t="s">
        <v>74</v>
      </c>
      <c r="H481" t="s">
        <v>74</v>
      </c>
      <c r="I481" t="s">
        <v>9110</v>
      </c>
      <c r="J481" t="s">
        <v>1970</v>
      </c>
      <c r="K481" t="s">
        <v>74</v>
      </c>
      <c r="L481" t="s">
        <v>74</v>
      </c>
      <c r="M481" t="s">
        <v>78</v>
      </c>
      <c r="N481" t="s">
        <v>79</v>
      </c>
      <c r="O481" t="s">
        <v>74</v>
      </c>
      <c r="P481" t="s">
        <v>74</v>
      </c>
      <c r="Q481" t="s">
        <v>74</v>
      </c>
      <c r="R481" t="s">
        <v>74</v>
      </c>
      <c r="S481" t="s">
        <v>74</v>
      </c>
      <c r="T481" t="s">
        <v>74</v>
      </c>
      <c r="U481" t="s">
        <v>9111</v>
      </c>
      <c r="V481" t="s">
        <v>9112</v>
      </c>
      <c r="W481" t="s">
        <v>9113</v>
      </c>
      <c r="X481" t="s">
        <v>74</v>
      </c>
      <c r="Y481" t="s">
        <v>9114</v>
      </c>
      <c r="Z481" t="s">
        <v>9115</v>
      </c>
      <c r="AA481" t="s">
        <v>74</v>
      </c>
      <c r="AB481" t="s">
        <v>9116</v>
      </c>
      <c r="AC481" t="s">
        <v>9117</v>
      </c>
      <c r="AD481" t="s">
        <v>418</v>
      </c>
      <c r="AE481" t="s">
        <v>9118</v>
      </c>
      <c r="AF481" t="s">
        <v>74</v>
      </c>
      <c r="AG481">
        <v>41</v>
      </c>
      <c r="AH481">
        <v>118</v>
      </c>
      <c r="AI481">
        <v>132</v>
      </c>
      <c r="AJ481">
        <v>2</v>
      </c>
      <c r="AK481">
        <v>48</v>
      </c>
      <c r="AL481" t="s">
        <v>91</v>
      </c>
      <c r="AM481" t="s">
        <v>92</v>
      </c>
      <c r="AN481" t="s">
        <v>93</v>
      </c>
      <c r="AO481" t="s">
        <v>1981</v>
      </c>
      <c r="AP481" t="s">
        <v>1982</v>
      </c>
      <c r="AQ481" t="s">
        <v>74</v>
      </c>
      <c r="AR481" t="s">
        <v>1983</v>
      </c>
      <c r="AS481" t="s">
        <v>1984</v>
      </c>
      <c r="AT481" t="s">
        <v>5170</v>
      </c>
      <c r="AU481">
        <v>2013</v>
      </c>
      <c r="AV481">
        <v>43</v>
      </c>
      <c r="AW481">
        <v>1</v>
      </c>
      <c r="AX481" t="s">
        <v>74</v>
      </c>
      <c r="AY481" t="s">
        <v>74</v>
      </c>
      <c r="AZ481" t="s">
        <v>74</v>
      </c>
      <c r="BA481" t="s">
        <v>74</v>
      </c>
      <c r="BB481">
        <v>51</v>
      </c>
      <c r="BC481">
        <v>64</v>
      </c>
      <c r="BD481" t="s">
        <v>74</v>
      </c>
      <c r="BE481" t="s">
        <v>9119</v>
      </c>
      <c r="BF481" t="str">
        <f>HYPERLINK("http://dx.doi.org/10.1175/JPO-D-11-0237.1","http://dx.doi.org/10.1175/JPO-D-11-0237.1")</f>
        <v>http://dx.doi.org/10.1175/JPO-D-11-0237.1</v>
      </c>
      <c r="BG481" t="s">
        <v>74</v>
      </c>
      <c r="BH481" t="s">
        <v>74</v>
      </c>
      <c r="BI481">
        <v>14</v>
      </c>
      <c r="BJ481" t="s">
        <v>303</v>
      </c>
      <c r="BK481" t="s">
        <v>102</v>
      </c>
      <c r="BL481" t="s">
        <v>303</v>
      </c>
      <c r="BM481" t="s">
        <v>9120</v>
      </c>
      <c r="BN481" t="s">
        <v>74</v>
      </c>
      <c r="BO481" t="s">
        <v>1427</v>
      </c>
      <c r="BP481" t="s">
        <v>74</v>
      </c>
      <c r="BQ481" t="s">
        <v>74</v>
      </c>
      <c r="BR481" t="s">
        <v>105</v>
      </c>
      <c r="BS481" t="s">
        <v>9121</v>
      </c>
      <c r="BT481" t="str">
        <f>HYPERLINK("https%3A%2F%2Fwww.webofscience.com%2Fwos%2Fwoscc%2Ffull-record%2FWOS:000314179300004","View Full Record in Web of Science")</f>
        <v>View Full Record in Web of Science</v>
      </c>
    </row>
    <row r="482" spans="1:72" x14ac:dyDescent="0.15">
      <c r="A482" t="s">
        <v>72</v>
      </c>
      <c r="B482" t="s">
        <v>9122</v>
      </c>
      <c r="C482" t="s">
        <v>74</v>
      </c>
      <c r="D482" t="s">
        <v>74</v>
      </c>
      <c r="E482" t="s">
        <v>74</v>
      </c>
      <c r="F482" t="s">
        <v>9123</v>
      </c>
      <c r="G482" t="s">
        <v>74</v>
      </c>
      <c r="H482" t="s">
        <v>74</v>
      </c>
      <c r="I482" t="s">
        <v>9124</v>
      </c>
      <c r="J482" t="s">
        <v>9125</v>
      </c>
      <c r="K482" t="s">
        <v>74</v>
      </c>
      <c r="L482" t="s">
        <v>74</v>
      </c>
      <c r="M482" t="s">
        <v>78</v>
      </c>
      <c r="N482" t="s">
        <v>79</v>
      </c>
      <c r="O482" t="s">
        <v>74</v>
      </c>
      <c r="P482" t="s">
        <v>74</v>
      </c>
      <c r="Q482" t="s">
        <v>74</v>
      </c>
      <c r="R482" t="s">
        <v>74</v>
      </c>
      <c r="S482" t="s">
        <v>74</v>
      </c>
      <c r="T482" t="s">
        <v>74</v>
      </c>
      <c r="U482" t="s">
        <v>9126</v>
      </c>
      <c r="V482" t="s">
        <v>9127</v>
      </c>
      <c r="W482" t="s">
        <v>9128</v>
      </c>
      <c r="X482" t="s">
        <v>9129</v>
      </c>
      <c r="Y482" t="s">
        <v>9130</v>
      </c>
      <c r="Z482" t="s">
        <v>9131</v>
      </c>
      <c r="AA482" t="s">
        <v>9132</v>
      </c>
      <c r="AB482" t="s">
        <v>74</v>
      </c>
      <c r="AC482" t="s">
        <v>9133</v>
      </c>
      <c r="AD482" t="s">
        <v>9134</v>
      </c>
      <c r="AE482" t="s">
        <v>9135</v>
      </c>
      <c r="AF482" t="s">
        <v>74</v>
      </c>
      <c r="AG482">
        <v>50</v>
      </c>
      <c r="AH482">
        <v>1</v>
      </c>
      <c r="AI482">
        <v>1</v>
      </c>
      <c r="AJ482">
        <v>0</v>
      </c>
      <c r="AK482">
        <v>11</v>
      </c>
      <c r="AL482" t="s">
        <v>816</v>
      </c>
      <c r="AM482" t="s">
        <v>296</v>
      </c>
      <c r="AN482" t="s">
        <v>817</v>
      </c>
      <c r="AO482" t="s">
        <v>9136</v>
      </c>
      <c r="AP482" t="s">
        <v>9137</v>
      </c>
      <c r="AQ482" t="s">
        <v>74</v>
      </c>
      <c r="AR482" t="s">
        <v>9138</v>
      </c>
      <c r="AS482" t="s">
        <v>9139</v>
      </c>
      <c r="AT482" t="s">
        <v>5170</v>
      </c>
      <c r="AU482">
        <v>2013</v>
      </c>
      <c r="AV482">
        <v>49</v>
      </c>
      <c r="AW482">
        <v>248</v>
      </c>
      <c r="AX482" t="s">
        <v>74</v>
      </c>
      <c r="AY482" t="s">
        <v>74</v>
      </c>
      <c r="AZ482" t="s">
        <v>74</v>
      </c>
      <c r="BA482" t="s">
        <v>74</v>
      </c>
      <c r="BB482">
        <v>1</v>
      </c>
      <c r="BC482">
        <v>8</v>
      </c>
      <c r="BD482" t="s">
        <v>74</v>
      </c>
      <c r="BE482" t="s">
        <v>9140</v>
      </c>
      <c r="BF482" t="str">
        <f>HYPERLINK("http://dx.doi.org/10.1017/S0032247411000234","http://dx.doi.org/10.1017/S0032247411000234")</f>
        <v>http://dx.doi.org/10.1017/S0032247411000234</v>
      </c>
      <c r="BG482" t="s">
        <v>74</v>
      </c>
      <c r="BH482" t="s">
        <v>74</v>
      </c>
      <c r="BI482">
        <v>8</v>
      </c>
      <c r="BJ482" t="s">
        <v>9141</v>
      </c>
      <c r="BK482" t="s">
        <v>102</v>
      </c>
      <c r="BL482" t="s">
        <v>455</v>
      </c>
      <c r="BM482" t="s">
        <v>9142</v>
      </c>
      <c r="BN482" t="s">
        <v>74</v>
      </c>
      <c r="BO482" t="s">
        <v>74</v>
      </c>
      <c r="BP482" t="s">
        <v>74</v>
      </c>
      <c r="BQ482" t="s">
        <v>74</v>
      </c>
      <c r="BR482" t="s">
        <v>105</v>
      </c>
      <c r="BS482" t="s">
        <v>9143</v>
      </c>
      <c r="BT482" t="str">
        <f>HYPERLINK("https%3A%2F%2Fwww.webofscience.com%2Fwos%2Fwoscc%2Ffull-record%2FWOS:000314014900001","View Full Record in Web of Science")</f>
        <v>View Full Record in Web of Science</v>
      </c>
    </row>
    <row r="483" spans="1:72" x14ac:dyDescent="0.15">
      <c r="A483" t="s">
        <v>72</v>
      </c>
      <c r="B483" t="s">
        <v>9144</v>
      </c>
      <c r="C483" t="s">
        <v>74</v>
      </c>
      <c r="D483" t="s">
        <v>74</v>
      </c>
      <c r="E483" t="s">
        <v>74</v>
      </c>
      <c r="F483" t="s">
        <v>9145</v>
      </c>
      <c r="G483" t="s">
        <v>74</v>
      </c>
      <c r="H483" t="s">
        <v>74</v>
      </c>
      <c r="I483" t="s">
        <v>9146</v>
      </c>
      <c r="J483" t="s">
        <v>9125</v>
      </c>
      <c r="K483" t="s">
        <v>74</v>
      </c>
      <c r="L483" t="s">
        <v>74</v>
      </c>
      <c r="M483" t="s">
        <v>78</v>
      </c>
      <c r="N483" t="s">
        <v>79</v>
      </c>
      <c r="O483" t="s">
        <v>74</v>
      </c>
      <c r="P483" t="s">
        <v>74</v>
      </c>
      <c r="Q483" t="s">
        <v>74</v>
      </c>
      <c r="R483" t="s">
        <v>74</v>
      </c>
      <c r="S483" t="s">
        <v>74</v>
      </c>
      <c r="T483" t="s">
        <v>74</v>
      </c>
      <c r="U483" t="s">
        <v>74</v>
      </c>
      <c r="V483" t="s">
        <v>9147</v>
      </c>
      <c r="W483" t="s">
        <v>74</v>
      </c>
      <c r="X483" t="s">
        <v>74</v>
      </c>
      <c r="Y483" t="s">
        <v>9148</v>
      </c>
      <c r="Z483" t="s">
        <v>9149</v>
      </c>
      <c r="AA483" t="s">
        <v>74</v>
      </c>
      <c r="AB483" t="s">
        <v>74</v>
      </c>
      <c r="AC483" t="s">
        <v>74</v>
      </c>
      <c r="AD483" t="s">
        <v>74</v>
      </c>
      <c r="AE483" t="s">
        <v>74</v>
      </c>
      <c r="AF483" t="s">
        <v>74</v>
      </c>
      <c r="AG483">
        <v>114</v>
      </c>
      <c r="AH483">
        <v>2</v>
      </c>
      <c r="AI483">
        <v>2</v>
      </c>
      <c r="AJ483">
        <v>0</v>
      </c>
      <c r="AK483">
        <v>4</v>
      </c>
      <c r="AL483" t="s">
        <v>816</v>
      </c>
      <c r="AM483" t="s">
        <v>296</v>
      </c>
      <c r="AN483" t="s">
        <v>817</v>
      </c>
      <c r="AO483" t="s">
        <v>9136</v>
      </c>
      <c r="AP483" t="s">
        <v>9137</v>
      </c>
      <c r="AQ483" t="s">
        <v>74</v>
      </c>
      <c r="AR483" t="s">
        <v>9138</v>
      </c>
      <c r="AS483" t="s">
        <v>9139</v>
      </c>
      <c r="AT483" t="s">
        <v>5170</v>
      </c>
      <c r="AU483">
        <v>2013</v>
      </c>
      <c r="AV483">
        <v>49</v>
      </c>
      <c r="AW483">
        <v>248</v>
      </c>
      <c r="AX483" t="s">
        <v>74</v>
      </c>
      <c r="AY483" t="s">
        <v>74</v>
      </c>
      <c r="AZ483" t="s">
        <v>74</v>
      </c>
      <c r="BA483" t="s">
        <v>74</v>
      </c>
      <c r="BB483">
        <v>9</v>
      </c>
      <c r="BC483">
        <v>25</v>
      </c>
      <c r="BD483" t="s">
        <v>74</v>
      </c>
      <c r="BE483" t="s">
        <v>9150</v>
      </c>
      <c r="BF483" t="str">
        <f>HYPERLINK("http://dx.doi.org/10.1017/S0032247411000544","http://dx.doi.org/10.1017/S0032247411000544")</f>
        <v>http://dx.doi.org/10.1017/S0032247411000544</v>
      </c>
      <c r="BG483" t="s">
        <v>74</v>
      </c>
      <c r="BH483" t="s">
        <v>74</v>
      </c>
      <c r="BI483">
        <v>17</v>
      </c>
      <c r="BJ483" t="s">
        <v>9141</v>
      </c>
      <c r="BK483" t="s">
        <v>102</v>
      </c>
      <c r="BL483" t="s">
        <v>455</v>
      </c>
      <c r="BM483" t="s">
        <v>9142</v>
      </c>
      <c r="BN483" t="s">
        <v>74</v>
      </c>
      <c r="BO483" t="s">
        <v>74</v>
      </c>
      <c r="BP483" t="s">
        <v>74</v>
      </c>
      <c r="BQ483" t="s">
        <v>74</v>
      </c>
      <c r="BR483" t="s">
        <v>105</v>
      </c>
      <c r="BS483" t="s">
        <v>9151</v>
      </c>
      <c r="BT483" t="str">
        <f>HYPERLINK("https%3A%2F%2Fwww.webofscience.com%2Fwos%2Fwoscc%2Ffull-record%2FWOS:000314014900002","View Full Record in Web of Science")</f>
        <v>View Full Record in Web of Science</v>
      </c>
    </row>
    <row r="484" spans="1:72" x14ac:dyDescent="0.15">
      <c r="A484" t="s">
        <v>72</v>
      </c>
      <c r="B484" t="s">
        <v>3342</v>
      </c>
      <c r="C484" t="s">
        <v>74</v>
      </c>
      <c r="D484" t="s">
        <v>74</v>
      </c>
      <c r="E484" t="s">
        <v>74</v>
      </c>
      <c r="F484" t="s">
        <v>3344</v>
      </c>
      <c r="G484" t="s">
        <v>74</v>
      </c>
      <c r="H484" t="s">
        <v>74</v>
      </c>
      <c r="I484" t="s">
        <v>9152</v>
      </c>
      <c r="J484" t="s">
        <v>9125</v>
      </c>
      <c r="K484" t="s">
        <v>74</v>
      </c>
      <c r="L484" t="s">
        <v>74</v>
      </c>
      <c r="M484" t="s">
        <v>78</v>
      </c>
      <c r="N484" t="s">
        <v>79</v>
      </c>
      <c r="O484" t="s">
        <v>74</v>
      </c>
      <c r="P484" t="s">
        <v>74</v>
      </c>
      <c r="Q484" t="s">
        <v>74</v>
      </c>
      <c r="R484" t="s">
        <v>74</v>
      </c>
      <c r="S484" t="s">
        <v>74</v>
      </c>
      <c r="T484" t="s">
        <v>74</v>
      </c>
      <c r="U484" t="s">
        <v>9153</v>
      </c>
      <c r="V484" t="s">
        <v>9154</v>
      </c>
      <c r="W484" t="s">
        <v>9155</v>
      </c>
      <c r="X484" t="s">
        <v>9156</v>
      </c>
      <c r="Y484" t="s">
        <v>9157</v>
      </c>
      <c r="Z484" t="s">
        <v>3351</v>
      </c>
      <c r="AA484" t="s">
        <v>74</v>
      </c>
      <c r="AB484" t="s">
        <v>74</v>
      </c>
      <c r="AC484" t="s">
        <v>9158</v>
      </c>
      <c r="AD484" t="s">
        <v>9159</v>
      </c>
      <c r="AE484" t="s">
        <v>9160</v>
      </c>
      <c r="AF484" t="s">
        <v>74</v>
      </c>
      <c r="AG484">
        <v>46</v>
      </c>
      <c r="AH484">
        <v>9</v>
      </c>
      <c r="AI484">
        <v>9</v>
      </c>
      <c r="AJ484">
        <v>0</v>
      </c>
      <c r="AK484">
        <v>12</v>
      </c>
      <c r="AL484" t="s">
        <v>816</v>
      </c>
      <c r="AM484" t="s">
        <v>296</v>
      </c>
      <c r="AN484" t="s">
        <v>817</v>
      </c>
      <c r="AO484" t="s">
        <v>9136</v>
      </c>
      <c r="AP484" t="s">
        <v>9137</v>
      </c>
      <c r="AQ484" t="s">
        <v>74</v>
      </c>
      <c r="AR484" t="s">
        <v>9138</v>
      </c>
      <c r="AS484" t="s">
        <v>9139</v>
      </c>
      <c r="AT484" t="s">
        <v>5170</v>
      </c>
      <c r="AU484">
        <v>2013</v>
      </c>
      <c r="AV484">
        <v>49</v>
      </c>
      <c r="AW484">
        <v>248</v>
      </c>
      <c r="AX484" t="s">
        <v>74</v>
      </c>
      <c r="AY484" t="s">
        <v>74</v>
      </c>
      <c r="AZ484" t="s">
        <v>74</v>
      </c>
      <c r="BA484" t="s">
        <v>74</v>
      </c>
      <c r="BB484">
        <v>26</v>
      </c>
      <c r="BC484">
        <v>32</v>
      </c>
      <c r="BD484" t="s">
        <v>74</v>
      </c>
      <c r="BE484" t="s">
        <v>9161</v>
      </c>
      <c r="BF484" t="str">
        <f>HYPERLINK("http://dx.doi.org/10.1017/S0032247411000428","http://dx.doi.org/10.1017/S0032247411000428")</f>
        <v>http://dx.doi.org/10.1017/S0032247411000428</v>
      </c>
      <c r="BG484" t="s">
        <v>74</v>
      </c>
      <c r="BH484" t="s">
        <v>74</v>
      </c>
      <c r="BI484">
        <v>7</v>
      </c>
      <c r="BJ484" t="s">
        <v>9141</v>
      </c>
      <c r="BK484" t="s">
        <v>102</v>
      </c>
      <c r="BL484" t="s">
        <v>455</v>
      </c>
      <c r="BM484" t="s">
        <v>9142</v>
      </c>
      <c r="BN484" t="s">
        <v>74</v>
      </c>
      <c r="BO484" t="s">
        <v>74</v>
      </c>
      <c r="BP484" t="s">
        <v>74</v>
      </c>
      <c r="BQ484" t="s">
        <v>74</v>
      </c>
      <c r="BR484" t="s">
        <v>105</v>
      </c>
      <c r="BS484" t="s">
        <v>9162</v>
      </c>
      <c r="BT484" t="str">
        <f>HYPERLINK("https%3A%2F%2Fwww.webofscience.com%2Fwos%2Fwoscc%2Ffull-record%2FWOS:000314014900003","View Full Record in Web of Science")</f>
        <v>View Full Record in Web of Science</v>
      </c>
    </row>
    <row r="485" spans="1:72" x14ac:dyDescent="0.15">
      <c r="A485" t="s">
        <v>72</v>
      </c>
      <c r="B485" t="s">
        <v>9163</v>
      </c>
      <c r="C485" t="s">
        <v>74</v>
      </c>
      <c r="D485" t="s">
        <v>74</v>
      </c>
      <c r="E485" t="s">
        <v>74</v>
      </c>
      <c r="F485" t="s">
        <v>9164</v>
      </c>
      <c r="G485" t="s">
        <v>74</v>
      </c>
      <c r="H485" t="s">
        <v>74</v>
      </c>
      <c r="I485" t="s">
        <v>9165</v>
      </c>
      <c r="J485" t="s">
        <v>9125</v>
      </c>
      <c r="K485" t="s">
        <v>74</v>
      </c>
      <c r="L485" t="s">
        <v>74</v>
      </c>
      <c r="M485" t="s">
        <v>78</v>
      </c>
      <c r="N485" t="s">
        <v>79</v>
      </c>
      <c r="O485" t="s">
        <v>74</v>
      </c>
      <c r="P485" t="s">
        <v>74</v>
      </c>
      <c r="Q485" t="s">
        <v>74</v>
      </c>
      <c r="R485" t="s">
        <v>74</v>
      </c>
      <c r="S485" t="s">
        <v>74</v>
      </c>
      <c r="T485" t="s">
        <v>74</v>
      </c>
      <c r="U485" t="s">
        <v>74</v>
      </c>
      <c r="V485" t="s">
        <v>9166</v>
      </c>
      <c r="W485" t="s">
        <v>9167</v>
      </c>
      <c r="X485" t="s">
        <v>3418</v>
      </c>
      <c r="Y485" t="s">
        <v>9168</v>
      </c>
      <c r="Z485" t="s">
        <v>9169</v>
      </c>
      <c r="AA485" t="s">
        <v>9170</v>
      </c>
      <c r="AB485" t="s">
        <v>9171</v>
      </c>
      <c r="AC485" t="s">
        <v>74</v>
      </c>
      <c r="AD485" t="s">
        <v>74</v>
      </c>
      <c r="AE485" t="s">
        <v>74</v>
      </c>
      <c r="AF485" t="s">
        <v>74</v>
      </c>
      <c r="AG485">
        <v>44</v>
      </c>
      <c r="AH485">
        <v>1</v>
      </c>
      <c r="AI485">
        <v>1</v>
      </c>
      <c r="AJ485">
        <v>0</v>
      </c>
      <c r="AK485">
        <v>4</v>
      </c>
      <c r="AL485" t="s">
        <v>816</v>
      </c>
      <c r="AM485" t="s">
        <v>296</v>
      </c>
      <c r="AN485" t="s">
        <v>817</v>
      </c>
      <c r="AO485" t="s">
        <v>9136</v>
      </c>
      <c r="AP485" t="s">
        <v>9137</v>
      </c>
      <c r="AQ485" t="s">
        <v>74</v>
      </c>
      <c r="AR485" t="s">
        <v>9138</v>
      </c>
      <c r="AS485" t="s">
        <v>9139</v>
      </c>
      <c r="AT485" t="s">
        <v>5170</v>
      </c>
      <c r="AU485">
        <v>2013</v>
      </c>
      <c r="AV485">
        <v>49</v>
      </c>
      <c r="AW485">
        <v>248</v>
      </c>
      <c r="AX485" t="s">
        <v>74</v>
      </c>
      <c r="AY485" t="s">
        <v>74</v>
      </c>
      <c r="AZ485" t="s">
        <v>74</v>
      </c>
      <c r="BA485" t="s">
        <v>74</v>
      </c>
      <c r="BB485">
        <v>50</v>
      </c>
      <c r="BC485">
        <v>61</v>
      </c>
      <c r="BD485" t="s">
        <v>74</v>
      </c>
      <c r="BE485" t="s">
        <v>9172</v>
      </c>
      <c r="BF485" t="str">
        <f>HYPERLINK("http://dx.doi.org/10.1017/S0032247411000660","http://dx.doi.org/10.1017/S0032247411000660")</f>
        <v>http://dx.doi.org/10.1017/S0032247411000660</v>
      </c>
      <c r="BG485" t="s">
        <v>74</v>
      </c>
      <c r="BH485" t="s">
        <v>74</v>
      </c>
      <c r="BI485">
        <v>12</v>
      </c>
      <c r="BJ485" t="s">
        <v>9141</v>
      </c>
      <c r="BK485" t="s">
        <v>102</v>
      </c>
      <c r="BL485" t="s">
        <v>455</v>
      </c>
      <c r="BM485" t="s">
        <v>9142</v>
      </c>
      <c r="BN485" t="s">
        <v>74</v>
      </c>
      <c r="BO485" t="s">
        <v>74</v>
      </c>
      <c r="BP485" t="s">
        <v>74</v>
      </c>
      <c r="BQ485" t="s">
        <v>74</v>
      </c>
      <c r="BR485" t="s">
        <v>105</v>
      </c>
      <c r="BS485" t="s">
        <v>9173</v>
      </c>
      <c r="BT485" t="str">
        <f>HYPERLINK("https%3A%2F%2Fwww.webofscience.com%2Fwos%2Fwoscc%2Ffull-record%2FWOS:000314014900006","View Full Record in Web of Science")</f>
        <v>View Full Record in Web of Science</v>
      </c>
    </row>
    <row r="486" spans="1:72" x14ac:dyDescent="0.15">
      <c r="A486" t="s">
        <v>72</v>
      </c>
      <c r="B486" t="s">
        <v>9174</v>
      </c>
      <c r="C486" t="s">
        <v>74</v>
      </c>
      <c r="D486" t="s">
        <v>74</v>
      </c>
      <c r="E486" t="s">
        <v>74</v>
      </c>
      <c r="F486" t="s">
        <v>9175</v>
      </c>
      <c r="G486" t="s">
        <v>74</v>
      </c>
      <c r="H486" t="s">
        <v>74</v>
      </c>
      <c r="I486" t="s">
        <v>9176</v>
      </c>
      <c r="J486" t="s">
        <v>178</v>
      </c>
      <c r="K486" t="s">
        <v>74</v>
      </c>
      <c r="L486" t="s">
        <v>74</v>
      </c>
      <c r="M486" t="s">
        <v>78</v>
      </c>
      <c r="N486" t="s">
        <v>79</v>
      </c>
      <c r="O486" t="s">
        <v>74</v>
      </c>
      <c r="P486" t="s">
        <v>74</v>
      </c>
      <c r="Q486" t="s">
        <v>74</v>
      </c>
      <c r="R486" t="s">
        <v>74</v>
      </c>
      <c r="S486" t="s">
        <v>74</v>
      </c>
      <c r="T486" t="s">
        <v>74</v>
      </c>
      <c r="U486" t="s">
        <v>9177</v>
      </c>
      <c r="V486" t="s">
        <v>9178</v>
      </c>
      <c r="W486" t="s">
        <v>9179</v>
      </c>
      <c r="X486" t="s">
        <v>4564</v>
      </c>
      <c r="Y486" t="s">
        <v>9180</v>
      </c>
      <c r="Z486" t="s">
        <v>4566</v>
      </c>
      <c r="AA486" t="s">
        <v>4567</v>
      </c>
      <c r="AB486" t="s">
        <v>9181</v>
      </c>
      <c r="AC486" t="s">
        <v>9182</v>
      </c>
      <c r="AD486" t="s">
        <v>9182</v>
      </c>
      <c r="AE486" t="s">
        <v>9183</v>
      </c>
      <c r="AF486" t="s">
        <v>74</v>
      </c>
      <c r="AG486">
        <v>63</v>
      </c>
      <c r="AH486">
        <v>26</v>
      </c>
      <c r="AI486">
        <v>30</v>
      </c>
      <c r="AJ486">
        <v>1</v>
      </c>
      <c r="AK486">
        <v>29</v>
      </c>
      <c r="AL486" t="s">
        <v>91</v>
      </c>
      <c r="AM486" t="s">
        <v>92</v>
      </c>
      <c r="AN486" t="s">
        <v>9184</v>
      </c>
      <c r="AO486" t="s">
        <v>190</v>
      </c>
      <c r="AP486" t="s">
        <v>191</v>
      </c>
      <c r="AQ486" t="s">
        <v>74</v>
      </c>
      <c r="AR486" t="s">
        <v>192</v>
      </c>
      <c r="AS486" t="s">
        <v>193</v>
      </c>
      <c r="AT486" t="s">
        <v>5170</v>
      </c>
      <c r="AU486">
        <v>2013</v>
      </c>
      <c r="AV486">
        <v>26</v>
      </c>
      <c r="AW486">
        <v>2</v>
      </c>
      <c r="AX486" t="s">
        <v>74</v>
      </c>
      <c r="AY486" t="s">
        <v>74</v>
      </c>
      <c r="AZ486" t="s">
        <v>74</v>
      </c>
      <c r="BA486" t="s">
        <v>74</v>
      </c>
      <c r="BB486">
        <v>636</v>
      </c>
      <c r="BC486">
        <v>649</v>
      </c>
      <c r="BD486" t="s">
        <v>74</v>
      </c>
      <c r="BE486" t="s">
        <v>9185</v>
      </c>
      <c r="BF486" t="str">
        <f>HYPERLINK("http://dx.doi.org/10.1175/JCLI-D-11-00690.1","http://dx.doi.org/10.1175/JCLI-D-11-00690.1")</f>
        <v>http://dx.doi.org/10.1175/JCLI-D-11-00690.1</v>
      </c>
      <c r="BG486" t="s">
        <v>74</v>
      </c>
      <c r="BH486" t="s">
        <v>74</v>
      </c>
      <c r="BI486">
        <v>14</v>
      </c>
      <c r="BJ486" t="s">
        <v>101</v>
      </c>
      <c r="BK486" t="s">
        <v>102</v>
      </c>
      <c r="BL486" t="s">
        <v>101</v>
      </c>
      <c r="BM486" t="s">
        <v>9186</v>
      </c>
      <c r="BN486" t="s">
        <v>74</v>
      </c>
      <c r="BO486" t="s">
        <v>104</v>
      </c>
      <c r="BP486" t="s">
        <v>74</v>
      </c>
      <c r="BQ486" t="s">
        <v>74</v>
      </c>
      <c r="BR486" t="s">
        <v>105</v>
      </c>
      <c r="BS486" t="s">
        <v>9187</v>
      </c>
      <c r="BT486" t="str">
        <f>HYPERLINK("https%3A%2F%2Fwww.webofscience.com%2Fwos%2Fwoscc%2Ffull-record%2FWOS:000313740400019","View Full Record in Web of Science")</f>
        <v>View Full Record in Web of Science</v>
      </c>
    </row>
    <row r="487" spans="1:72" x14ac:dyDescent="0.15">
      <c r="A487" t="s">
        <v>72</v>
      </c>
      <c r="B487" t="s">
        <v>9188</v>
      </c>
      <c r="C487" t="s">
        <v>74</v>
      </c>
      <c r="D487" t="s">
        <v>74</v>
      </c>
      <c r="E487" t="s">
        <v>74</v>
      </c>
      <c r="F487" t="s">
        <v>9189</v>
      </c>
      <c r="G487" t="s">
        <v>74</v>
      </c>
      <c r="H487" t="s">
        <v>74</v>
      </c>
      <c r="I487" t="s">
        <v>9190</v>
      </c>
      <c r="J487" t="s">
        <v>178</v>
      </c>
      <c r="K487" t="s">
        <v>74</v>
      </c>
      <c r="L487" t="s">
        <v>74</v>
      </c>
      <c r="M487" t="s">
        <v>78</v>
      </c>
      <c r="N487" t="s">
        <v>79</v>
      </c>
      <c r="O487" t="s">
        <v>74</v>
      </c>
      <c r="P487" t="s">
        <v>74</v>
      </c>
      <c r="Q487" t="s">
        <v>74</v>
      </c>
      <c r="R487" t="s">
        <v>74</v>
      </c>
      <c r="S487" t="s">
        <v>74</v>
      </c>
      <c r="T487" t="s">
        <v>74</v>
      </c>
      <c r="U487" t="s">
        <v>9191</v>
      </c>
      <c r="V487" t="s">
        <v>9192</v>
      </c>
      <c r="W487" t="s">
        <v>9193</v>
      </c>
      <c r="X487" t="s">
        <v>9194</v>
      </c>
      <c r="Y487" t="s">
        <v>9195</v>
      </c>
      <c r="Z487" t="s">
        <v>9196</v>
      </c>
      <c r="AA487" t="s">
        <v>9197</v>
      </c>
      <c r="AB487" t="s">
        <v>9198</v>
      </c>
      <c r="AC487" t="s">
        <v>9199</v>
      </c>
      <c r="AD487" t="s">
        <v>9199</v>
      </c>
      <c r="AE487" t="s">
        <v>9200</v>
      </c>
      <c r="AF487" t="s">
        <v>74</v>
      </c>
      <c r="AG487">
        <v>46</v>
      </c>
      <c r="AH487">
        <v>92</v>
      </c>
      <c r="AI487">
        <v>104</v>
      </c>
      <c r="AJ487">
        <v>1</v>
      </c>
      <c r="AK487">
        <v>33</v>
      </c>
      <c r="AL487" t="s">
        <v>91</v>
      </c>
      <c r="AM487" t="s">
        <v>92</v>
      </c>
      <c r="AN487" t="s">
        <v>93</v>
      </c>
      <c r="AO487" t="s">
        <v>190</v>
      </c>
      <c r="AP487" t="s">
        <v>191</v>
      </c>
      <c r="AQ487" t="s">
        <v>74</v>
      </c>
      <c r="AR487" t="s">
        <v>192</v>
      </c>
      <c r="AS487" t="s">
        <v>193</v>
      </c>
      <c r="AT487" t="s">
        <v>5170</v>
      </c>
      <c r="AU487">
        <v>2013</v>
      </c>
      <c r="AV487">
        <v>26</v>
      </c>
      <c r="AW487">
        <v>2</v>
      </c>
      <c r="AX487" t="s">
        <v>74</v>
      </c>
      <c r="AY487" t="s">
        <v>74</v>
      </c>
      <c r="AZ487" t="s">
        <v>74</v>
      </c>
      <c r="BA487" t="s">
        <v>74</v>
      </c>
      <c r="BB487">
        <v>650</v>
      </c>
      <c r="BC487">
        <v>661</v>
      </c>
      <c r="BD487" t="s">
        <v>74</v>
      </c>
      <c r="BE487" t="s">
        <v>9201</v>
      </c>
      <c r="BF487" t="str">
        <f>HYPERLINK("http://dx.doi.org/10.1175/JCLI-D-12-00231.1","http://dx.doi.org/10.1175/JCLI-D-12-00231.1")</f>
        <v>http://dx.doi.org/10.1175/JCLI-D-12-00231.1</v>
      </c>
      <c r="BG487" t="s">
        <v>74</v>
      </c>
      <c r="BH487" t="s">
        <v>74</v>
      </c>
      <c r="BI487">
        <v>12</v>
      </c>
      <c r="BJ487" t="s">
        <v>101</v>
      </c>
      <c r="BK487" t="s">
        <v>102</v>
      </c>
      <c r="BL487" t="s">
        <v>101</v>
      </c>
      <c r="BM487" t="s">
        <v>9186</v>
      </c>
      <c r="BN487" t="s">
        <v>74</v>
      </c>
      <c r="BO487" t="s">
        <v>1427</v>
      </c>
      <c r="BP487" t="s">
        <v>74</v>
      </c>
      <c r="BQ487" t="s">
        <v>74</v>
      </c>
      <c r="BR487" t="s">
        <v>105</v>
      </c>
      <c r="BS487" t="s">
        <v>9202</v>
      </c>
      <c r="BT487" t="str">
        <f>HYPERLINK("https%3A%2F%2Fwww.webofscience.com%2Fwos%2Fwoscc%2Ffull-record%2FWOS:000313740400020","View Full Record in Web of Science")</f>
        <v>View Full Record in Web of Science</v>
      </c>
    </row>
    <row r="488" spans="1:72" x14ac:dyDescent="0.15">
      <c r="A488" t="s">
        <v>72</v>
      </c>
      <c r="B488" t="s">
        <v>9203</v>
      </c>
      <c r="C488" t="s">
        <v>74</v>
      </c>
      <c r="D488" t="s">
        <v>74</v>
      </c>
      <c r="E488" t="s">
        <v>74</v>
      </c>
      <c r="F488" t="s">
        <v>9204</v>
      </c>
      <c r="G488" t="s">
        <v>74</v>
      </c>
      <c r="H488" t="s">
        <v>74</v>
      </c>
      <c r="I488" t="s">
        <v>9205</v>
      </c>
      <c r="J488" t="s">
        <v>4521</v>
      </c>
      <c r="K488" t="s">
        <v>74</v>
      </c>
      <c r="L488" t="s">
        <v>74</v>
      </c>
      <c r="M488" t="s">
        <v>78</v>
      </c>
      <c r="N488" t="s">
        <v>79</v>
      </c>
      <c r="O488" t="s">
        <v>74</v>
      </c>
      <c r="P488" t="s">
        <v>74</v>
      </c>
      <c r="Q488" t="s">
        <v>74</v>
      </c>
      <c r="R488" t="s">
        <v>74</v>
      </c>
      <c r="S488" t="s">
        <v>74</v>
      </c>
      <c r="T488" t="s">
        <v>74</v>
      </c>
      <c r="U488" t="s">
        <v>9206</v>
      </c>
      <c r="V488" t="s">
        <v>9207</v>
      </c>
      <c r="W488" t="s">
        <v>9208</v>
      </c>
      <c r="X488" t="s">
        <v>9209</v>
      </c>
      <c r="Y488" t="s">
        <v>9210</v>
      </c>
      <c r="Z488" t="s">
        <v>9211</v>
      </c>
      <c r="AA488" t="s">
        <v>9212</v>
      </c>
      <c r="AB488" t="s">
        <v>9213</v>
      </c>
      <c r="AC488" t="s">
        <v>9214</v>
      </c>
      <c r="AD488" t="s">
        <v>9215</v>
      </c>
      <c r="AE488" t="s">
        <v>9216</v>
      </c>
      <c r="AF488" t="s">
        <v>74</v>
      </c>
      <c r="AG488">
        <v>71</v>
      </c>
      <c r="AH488">
        <v>35</v>
      </c>
      <c r="AI488">
        <v>38</v>
      </c>
      <c r="AJ488">
        <v>0</v>
      </c>
      <c r="AK488">
        <v>30</v>
      </c>
      <c r="AL488" t="s">
        <v>4248</v>
      </c>
      <c r="AM488" t="s">
        <v>4249</v>
      </c>
      <c r="AN488" t="s">
        <v>4250</v>
      </c>
      <c r="AO488" t="s">
        <v>4533</v>
      </c>
      <c r="AP488" t="s">
        <v>4534</v>
      </c>
      <c r="AQ488" t="s">
        <v>74</v>
      </c>
      <c r="AR488" t="s">
        <v>4535</v>
      </c>
      <c r="AS488" t="s">
        <v>4536</v>
      </c>
      <c r="AT488" t="s">
        <v>74</v>
      </c>
      <c r="AU488">
        <v>2013</v>
      </c>
      <c r="AV488">
        <v>13</v>
      </c>
      <c r="AW488">
        <v>1</v>
      </c>
      <c r="AX488" t="s">
        <v>74</v>
      </c>
      <c r="AY488" t="s">
        <v>74</v>
      </c>
      <c r="AZ488" t="s">
        <v>74</v>
      </c>
      <c r="BA488" t="s">
        <v>74</v>
      </c>
      <c r="BB488">
        <v>147</v>
      </c>
      <c r="BC488">
        <v>164</v>
      </c>
      <c r="BD488" t="s">
        <v>74</v>
      </c>
      <c r="BE488" t="s">
        <v>9217</v>
      </c>
      <c r="BF488" t="str">
        <f>HYPERLINK("http://dx.doi.org/10.5194/acp-13-147-2013","http://dx.doi.org/10.5194/acp-13-147-2013")</f>
        <v>http://dx.doi.org/10.5194/acp-13-147-2013</v>
      </c>
      <c r="BG488" t="s">
        <v>74</v>
      </c>
      <c r="BH488" t="s">
        <v>74</v>
      </c>
      <c r="BI488">
        <v>18</v>
      </c>
      <c r="BJ488" t="s">
        <v>1627</v>
      </c>
      <c r="BK488" t="s">
        <v>102</v>
      </c>
      <c r="BL488" t="s">
        <v>1628</v>
      </c>
      <c r="BM488" t="s">
        <v>9218</v>
      </c>
      <c r="BN488" t="s">
        <v>74</v>
      </c>
      <c r="BO488" t="s">
        <v>5344</v>
      </c>
      <c r="BP488" t="s">
        <v>74</v>
      </c>
      <c r="BQ488" t="s">
        <v>74</v>
      </c>
      <c r="BR488" t="s">
        <v>105</v>
      </c>
      <c r="BS488" t="s">
        <v>9219</v>
      </c>
      <c r="BT488" t="str">
        <f>HYPERLINK("https%3A%2F%2Fwww.webofscience.com%2Fwos%2Fwoscc%2Ffull-record%2FWOS:000313513700010","View Full Record in Web of Science")</f>
        <v>View Full Record in Web of Science</v>
      </c>
    </row>
    <row r="489" spans="1:72" x14ac:dyDescent="0.15">
      <c r="A489" t="s">
        <v>72</v>
      </c>
      <c r="B489" t="s">
        <v>9220</v>
      </c>
      <c r="C489" t="s">
        <v>74</v>
      </c>
      <c r="D489" t="s">
        <v>74</v>
      </c>
      <c r="E489" t="s">
        <v>74</v>
      </c>
      <c r="F489" t="s">
        <v>9221</v>
      </c>
      <c r="G489" t="s">
        <v>74</v>
      </c>
      <c r="H489" t="s">
        <v>74</v>
      </c>
      <c r="I489" t="s">
        <v>9222</v>
      </c>
      <c r="J489" t="s">
        <v>4521</v>
      </c>
      <c r="K489" t="s">
        <v>74</v>
      </c>
      <c r="L489" t="s">
        <v>74</v>
      </c>
      <c r="M489" t="s">
        <v>78</v>
      </c>
      <c r="N489" t="s">
        <v>79</v>
      </c>
      <c r="O489" t="s">
        <v>74</v>
      </c>
      <c r="P489" t="s">
        <v>74</v>
      </c>
      <c r="Q489" t="s">
        <v>74</v>
      </c>
      <c r="R489" t="s">
        <v>74</v>
      </c>
      <c r="S489" t="s">
        <v>74</v>
      </c>
      <c r="T489" t="s">
        <v>74</v>
      </c>
      <c r="U489" t="s">
        <v>9223</v>
      </c>
      <c r="V489" t="s">
        <v>9224</v>
      </c>
      <c r="W489" t="s">
        <v>9225</v>
      </c>
      <c r="X489" t="s">
        <v>9226</v>
      </c>
      <c r="Y489" t="s">
        <v>9227</v>
      </c>
      <c r="Z489" t="s">
        <v>9228</v>
      </c>
      <c r="AA489" t="s">
        <v>9229</v>
      </c>
      <c r="AB489" t="s">
        <v>9230</v>
      </c>
      <c r="AC489" t="s">
        <v>9214</v>
      </c>
      <c r="AD489" t="s">
        <v>9215</v>
      </c>
      <c r="AE489" t="s">
        <v>9216</v>
      </c>
      <c r="AF489" t="s">
        <v>74</v>
      </c>
      <c r="AG489">
        <v>54</v>
      </c>
      <c r="AH489">
        <v>45</v>
      </c>
      <c r="AI489">
        <v>49</v>
      </c>
      <c r="AJ489">
        <v>0</v>
      </c>
      <c r="AK489">
        <v>43</v>
      </c>
      <c r="AL489" t="s">
        <v>4248</v>
      </c>
      <c r="AM489" t="s">
        <v>4249</v>
      </c>
      <c r="AN489" t="s">
        <v>4250</v>
      </c>
      <c r="AO489" t="s">
        <v>4533</v>
      </c>
      <c r="AP489" t="s">
        <v>74</v>
      </c>
      <c r="AQ489" t="s">
        <v>74</v>
      </c>
      <c r="AR489" t="s">
        <v>4535</v>
      </c>
      <c r="AS489" t="s">
        <v>4536</v>
      </c>
      <c r="AT489" t="s">
        <v>74</v>
      </c>
      <c r="AU489">
        <v>2013</v>
      </c>
      <c r="AV489">
        <v>13</v>
      </c>
      <c r="AW489">
        <v>1</v>
      </c>
      <c r="AX489" t="s">
        <v>74</v>
      </c>
      <c r="AY489" t="s">
        <v>74</v>
      </c>
      <c r="AZ489" t="s">
        <v>74</v>
      </c>
      <c r="BA489" t="s">
        <v>74</v>
      </c>
      <c r="BB489">
        <v>165</v>
      </c>
      <c r="BC489">
        <v>179</v>
      </c>
      <c r="BD489" t="s">
        <v>74</v>
      </c>
      <c r="BE489" t="s">
        <v>9231</v>
      </c>
      <c r="BF489" t="str">
        <f>HYPERLINK("http://dx.doi.org/10.5194/acp-13-165-2013","http://dx.doi.org/10.5194/acp-13-165-2013")</f>
        <v>http://dx.doi.org/10.5194/acp-13-165-2013</v>
      </c>
      <c r="BG489" t="s">
        <v>74</v>
      </c>
      <c r="BH489" t="s">
        <v>74</v>
      </c>
      <c r="BI489">
        <v>15</v>
      </c>
      <c r="BJ489" t="s">
        <v>1627</v>
      </c>
      <c r="BK489" t="s">
        <v>102</v>
      </c>
      <c r="BL489" t="s">
        <v>1628</v>
      </c>
      <c r="BM489" t="s">
        <v>9218</v>
      </c>
      <c r="BN489" t="s">
        <v>74</v>
      </c>
      <c r="BO489" t="s">
        <v>5344</v>
      </c>
      <c r="BP489" t="s">
        <v>74</v>
      </c>
      <c r="BQ489" t="s">
        <v>74</v>
      </c>
      <c r="BR489" t="s">
        <v>105</v>
      </c>
      <c r="BS489" t="s">
        <v>9232</v>
      </c>
      <c r="BT489" t="str">
        <f>HYPERLINK("https%3A%2F%2Fwww.webofscience.com%2Fwos%2Fwoscc%2Ffull-record%2FWOS:000313513700011","View Full Record in Web of Science")</f>
        <v>View Full Record in Web of Science</v>
      </c>
    </row>
    <row r="490" spans="1:72" x14ac:dyDescent="0.15">
      <c r="A490" t="s">
        <v>72</v>
      </c>
      <c r="B490" t="s">
        <v>9233</v>
      </c>
      <c r="C490" t="s">
        <v>74</v>
      </c>
      <c r="D490" t="s">
        <v>74</v>
      </c>
      <c r="E490" t="s">
        <v>74</v>
      </c>
      <c r="F490" t="s">
        <v>9234</v>
      </c>
      <c r="G490" t="s">
        <v>74</v>
      </c>
      <c r="H490" t="s">
        <v>74</v>
      </c>
      <c r="I490" t="s">
        <v>9235</v>
      </c>
      <c r="J490" t="s">
        <v>9236</v>
      </c>
      <c r="K490" t="s">
        <v>74</v>
      </c>
      <c r="L490" t="s">
        <v>74</v>
      </c>
      <c r="M490" t="s">
        <v>78</v>
      </c>
      <c r="N490" t="s">
        <v>79</v>
      </c>
      <c r="O490" t="s">
        <v>74</v>
      </c>
      <c r="P490" t="s">
        <v>74</v>
      </c>
      <c r="Q490" t="s">
        <v>74</v>
      </c>
      <c r="R490" t="s">
        <v>74</v>
      </c>
      <c r="S490" t="s">
        <v>74</v>
      </c>
      <c r="T490" t="s">
        <v>9237</v>
      </c>
      <c r="U490" t="s">
        <v>9238</v>
      </c>
      <c r="V490" t="s">
        <v>9239</v>
      </c>
      <c r="W490" t="s">
        <v>9240</v>
      </c>
      <c r="X490" t="s">
        <v>8150</v>
      </c>
      <c r="Y490" t="s">
        <v>9241</v>
      </c>
      <c r="Z490" t="s">
        <v>9242</v>
      </c>
      <c r="AA490" t="s">
        <v>74</v>
      </c>
      <c r="AB490" t="s">
        <v>9243</v>
      </c>
      <c r="AC490" t="s">
        <v>9244</v>
      </c>
      <c r="AD490" t="s">
        <v>9245</v>
      </c>
      <c r="AE490" t="s">
        <v>9246</v>
      </c>
      <c r="AF490" t="s">
        <v>74</v>
      </c>
      <c r="AG490">
        <v>51</v>
      </c>
      <c r="AH490">
        <v>10</v>
      </c>
      <c r="AI490">
        <v>12</v>
      </c>
      <c r="AJ490">
        <v>0</v>
      </c>
      <c r="AK490">
        <v>39</v>
      </c>
      <c r="AL490" t="s">
        <v>321</v>
      </c>
      <c r="AM490" t="s">
        <v>322</v>
      </c>
      <c r="AN490" t="s">
        <v>1712</v>
      </c>
      <c r="AO490" t="s">
        <v>9247</v>
      </c>
      <c r="AP490" t="s">
        <v>9248</v>
      </c>
      <c r="AQ490" t="s">
        <v>74</v>
      </c>
      <c r="AR490" t="s">
        <v>9249</v>
      </c>
      <c r="AS490" t="s">
        <v>9250</v>
      </c>
      <c r="AT490" t="s">
        <v>5170</v>
      </c>
      <c r="AU490">
        <v>2013</v>
      </c>
      <c r="AV490">
        <v>31</v>
      </c>
      <c r="AW490">
        <v>1</v>
      </c>
      <c r="AX490" t="s">
        <v>74</v>
      </c>
      <c r="AY490" t="s">
        <v>74</v>
      </c>
      <c r="AZ490" t="s">
        <v>74</v>
      </c>
      <c r="BA490" t="s">
        <v>74</v>
      </c>
      <c r="BB490">
        <v>21</v>
      </c>
      <c r="BC490">
        <v>30</v>
      </c>
      <c r="BD490" t="s">
        <v>74</v>
      </c>
      <c r="BE490" t="s">
        <v>9251</v>
      </c>
      <c r="BF490" t="str">
        <f>HYPERLINK("http://dx.doi.org/10.1007/s00343-013-1309-x","http://dx.doi.org/10.1007/s00343-013-1309-x")</f>
        <v>http://dx.doi.org/10.1007/s00343-013-1309-x</v>
      </c>
      <c r="BG490" t="s">
        <v>74</v>
      </c>
      <c r="BH490" t="s">
        <v>74</v>
      </c>
      <c r="BI490">
        <v>10</v>
      </c>
      <c r="BJ490" t="s">
        <v>2094</v>
      </c>
      <c r="BK490" t="s">
        <v>102</v>
      </c>
      <c r="BL490" t="s">
        <v>2095</v>
      </c>
      <c r="BM490" t="s">
        <v>9252</v>
      </c>
      <c r="BN490" t="s">
        <v>74</v>
      </c>
      <c r="BO490" t="s">
        <v>74</v>
      </c>
      <c r="BP490" t="s">
        <v>74</v>
      </c>
      <c r="BQ490" t="s">
        <v>74</v>
      </c>
      <c r="BR490" t="s">
        <v>105</v>
      </c>
      <c r="BS490" t="s">
        <v>9253</v>
      </c>
      <c r="BT490" t="str">
        <f>HYPERLINK("https%3A%2F%2Fwww.webofscience.com%2Fwos%2Fwoscc%2Ffull-record%2FWOS:000313654000003","View Full Record in Web of Science")</f>
        <v>View Full Record in Web of Science</v>
      </c>
    </row>
    <row r="491" spans="1:72" x14ac:dyDescent="0.15">
      <c r="A491" t="s">
        <v>72</v>
      </c>
      <c r="B491" t="s">
        <v>9254</v>
      </c>
      <c r="C491" t="s">
        <v>74</v>
      </c>
      <c r="D491" t="s">
        <v>74</v>
      </c>
      <c r="E491" t="s">
        <v>74</v>
      </c>
      <c r="F491" t="s">
        <v>9255</v>
      </c>
      <c r="G491" t="s">
        <v>74</v>
      </c>
      <c r="H491" t="s">
        <v>74</v>
      </c>
      <c r="I491" t="s">
        <v>9256</v>
      </c>
      <c r="J491" t="s">
        <v>9257</v>
      </c>
      <c r="K491" t="s">
        <v>74</v>
      </c>
      <c r="L491" t="s">
        <v>74</v>
      </c>
      <c r="M491" t="s">
        <v>78</v>
      </c>
      <c r="N491" t="s">
        <v>79</v>
      </c>
      <c r="O491" t="s">
        <v>74</v>
      </c>
      <c r="P491" t="s">
        <v>74</v>
      </c>
      <c r="Q491" t="s">
        <v>74</v>
      </c>
      <c r="R491" t="s">
        <v>74</v>
      </c>
      <c r="S491" t="s">
        <v>74</v>
      </c>
      <c r="T491" t="s">
        <v>9258</v>
      </c>
      <c r="U491" t="s">
        <v>9259</v>
      </c>
      <c r="V491" t="s">
        <v>9260</v>
      </c>
      <c r="W491" t="s">
        <v>9261</v>
      </c>
      <c r="X491" t="s">
        <v>9262</v>
      </c>
      <c r="Y491" t="s">
        <v>9263</v>
      </c>
      <c r="Z491" t="s">
        <v>9264</v>
      </c>
      <c r="AA491" t="s">
        <v>74</v>
      </c>
      <c r="AB491" t="s">
        <v>9265</v>
      </c>
      <c r="AC491" t="s">
        <v>9266</v>
      </c>
      <c r="AD491" t="s">
        <v>418</v>
      </c>
      <c r="AE491" t="s">
        <v>9267</v>
      </c>
      <c r="AF491" t="s">
        <v>74</v>
      </c>
      <c r="AG491">
        <v>27</v>
      </c>
      <c r="AH491">
        <v>39</v>
      </c>
      <c r="AI491">
        <v>40</v>
      </c>
      <c r="AJ491">
        <v>2</v>
      </c>
      <c r="AK491">
        <v>48</v>
      </c>
      <c r="AL491" t="s">
        <v>397</v>
      </c>
      <c r="AM491" t="s">
        <v>398</v>
      </c>
      <c r="AN491" t="s">
        <v>399</v>
      </c>
      <c r="AO491" t="s">
        <v>9268</v>
      </c>
      <c r="AP491" t="s">
        <v>9269</v>
      </c>
      <c r="AQ491" t="s">
        <v>74</v>
      </c>
      <c r="AR491" t="s">
        <v>9270</v>
      </c>
      <c r="AS491" t="s">
        <v>9271</v>
      </c>
      <c r="AT491" t="s">
        <v>5170</v>
      </c>
      <c r="AU491">
        <v>2013</v>
      </c>
      <c r="AV491">
        <v>17</v>
      </c>
      <c r="AW491">
        <v>1</v>
      </c>
      <c r="AX491" t="s">
        <v>74</v>
      </c>
      <c r="AY491" t="s">
        <v>74</v>
      </c>
      <c r="AZ491" t="s">
        <v>74</v>
      </c>
      <c r="BA491" t="s">
        <v>74</v>
      </c>
      <c r="BB491">
        <v>29</v>
      </c>
      <c r="BC491">
        <v>39</v>
      </c>
      <c r="BD491" t="s">
        <v>74</v>
      </c>
      <c r="BE491" t="s">
        <v>9272</v>
      </c>
      <c r="BF491" t="str">
        <f>HYPERLINK("http://dx.doi.org/10.1007/s10291-012-0258-8","http://dx.doi.org/10.1007/s10291-012-0258-8")</f>
        <v>http://dx.doi.org/10.1007/s10291-012-0258-8</v>
      </c>
      <c r="BG491" t="s">
        <v>74</v>
      </c>
      <c r="BH491" t="s">
        <v>74</v>
      </c>
      <c r="BI491">
        <v>11</v>
      </c>
      <c r="BJ491" t="s">
        <v>2069</v>
      </c>
      <c r="BK491" t="s">
        <v>102</v>
      </c>
      <c r="BL491" t="s">
        <v>2069</v>
      </c>
      <c r="BM491" t="s">
        <v>9273</v>
      </c>
      <c r="BN491" t="s">
        <v>74</v>
      </c>
      <c r="BO491" t="s">
        <v>74</v>
      </c>
      <c r="BP491" t="s">
        <v>74</v>
      </c>
      <c r="BQ491" t="s">
        <v>74</v>
      </c>
      <c r="BR491" t="s">
        <v>105</v>
      </c>
      <c r="BS491" t="s">
        <v>9274</v>
      </c>
      <c r="BT491" t="str">
        <f>HYPERLINK("https%3A%2F%2Fwww.webofscience.com%2Fwos%2Fwoscc%2Ffull-record%2FWOS:000313049900003","View Full Record in Web of Science")</f>
        <v>View Full Record in Web of Science</v>
      </c>
    </row>
    <row r="492" spans="1:72" x14ac:dyDescent="0.15">
      <c r="A492" t="s">
        <v>72</v>
      </c>
      <c r="B492" t="s">
        <v>9275</v>
      </c>
      <c r="C492" t="s">
        <v>74</v>
      </c>
      <c r="D492" t="s">
        <v>74</v>
      </c>
      <c r="E492" t="s">
        <v>74</v>
      </c>
      <c r="F492" t="s">
        <v>9276</v>
      </c>
      <c r="G492" t="s">
        <v>74</v>
      </c>
      <c r="H492" t="s">
        <v>74</v>
      </c>
      <c r="I492" t="s">
        <v>9277</v>
      </c>
      <c r="J492" t="s">
        <v>160</v>
      </c>
      <c r="K492" t="s">
        <v>74</v>
      </c>
      <c r="L492" t="s">
        <v>74</v>
      </c>
      <c r="M492" t="s">
        <v>78</v>
      </c>
      <c r="N492" t="s">
        <v>79</v>
      </c>
      <c r="O492" t="s">
        <v>74</v>
      </c>
      <c r="P492" t="s">
        <v>74</v>
      </c>
      <c r="Q492" t="s">
        <v>74</v>
      </c>
      <c r="R492" t="s">
        <v>74</v>
      </c>
      <c r="S492" t="s">
        <v>74</v>
      </c>
      <c r="T492" t="s">
        <v>74</v>
      </c>
      <c r="U492" t="s">
        <v>9278</v>
      </c>
      <c r="V492" t="s">
        <v>9279</v>
      </c>
      <c r="W492" t="s">
        <v>9280</v>
      </c>
      <c r="X492" t="s">
        <v>9281</v>
      </c>
      <c r="Y492" t="s">
        <v>9282</v>
      </c>
      <c r="Z492" t="s">
        <v>9283</v>
      </c>
      <c r="AA492" t="s">
        <v>9284</v>
      </c>
      <c r="AB492" t="s">
        <v>9285</v>
      </c>
      <c r="AC492" t="s">
        <v>9286</v>
      </c>
      <c r="AD492" t="s">
        <v>9287</v>
      </c>
      <c r="AE492" t="s">
        <v>9288</v>
      </c>
      <c r="AF492" t="s">
        <v>74</v>
      </c>
      <c r="AG492">
        <v>11</v>
      </c>
      <c r="AH492">
        <v>6</v>
      </c>
      <c r="AI492">
        <v>7</v>
      </c>
      <c r="AJ492">
        <v>0</v>
      </c>
      <c r="AK492">
        <v>5</v>
      </c>
      <c r="AL492" t="s">
        <v>91</v>
      </c>
      <c r="AM492" t="s">
        <v>92</v>
      </c>
      <c r="AN492" t="s">
        <v>93</v>
      </c>
      <c r="AO492" t="s">
        <v>168</v>
      </c>
      <c r="AP492" t="s">
        <v>169</v>
      </c>
      <c r="AQ492" t="s">
        <v>74</v>
      </c>
      <c r="AR492" t="s">
        <v>170</v>
      </c>
      <c r="AS492" t="s">
        <v>171</v>
      </c>
      <c r="AT492" t="s">
        <v>5170</v>
      </c>
      <c r="AU492">
        <v>2013</v>
      </c>
      <c r="AV492">
        <v>52</v>
      </c>
      <c r="AW492">
        <v>1</v>
      </c>
      <c r="AX492" t="s">
        <v>74</v>
      </c>
      <c r="AY492" t="s">
        <v>74</v>
      </c>
      <c r="AZ492" t="s">
        <v>74</v>
      </c>
      <c r="BA492" t="s">
        <v>74</v>
      </c>
      <c r="BB492">
        <v>164</v>
      </c>
      <c r="BC492">
        <v>168</v>
      </c>
      <c r="BD492" t="s">
        <v>74</v>
      </c>
      <c r="BE492" t="s">
        <v>9289</v>
      </c>
      <c r="BF492" t="str">
        <f>HYPERLINK("http://dx.doi.org/10.1175/JAMC-D-12-0218.1","http://dx.doi.org/10.1175/JAMC-D-12-0218.1")</f>
        <v>http://dx.doi.org/10.1175/JAMC-D-12-0218.1</v>
      </c>
      <c r="BG492" t="s">
        <v>74</v>
      </c>
      <c r="BH492" t="s">
        <v>74</v>
      </c>
      <c r="BI492">
        <v>5</v>
      </c>
      <c r="BJ492" t="s">
        <v>101</v>
      </c>
      <c r="BK492" t="s">
        <v>102</v>
      </c>
      <c r="BL492" t="s">
        <v>101</v>
      </c>
      <c r="BM492" t="s">
        <v>9290</v>
      </c>
      <c r="BN492" t="s">
        <v>74</v>
      </c>
      <c r="BO492" t="s">
        <v>104</v>
      </c>
      <c r="BP492" t="s">
        <v>74</v>
      </c>
      <c r="BQ492" t="s">
        <v>74</v>
      </c>
      <c r="BR492" t="s">
        <v>105</v>
      </c>
      <c r="BS492" t="s">
        <v>9291</v>
      </c>
      <c r="BT492" t="str">
        <f>HYPERLINK("https%3A%2F%2Fwww.webofscience.com%2Fwos%2Fwoscc%2Ffull-record%2FWOS:000313559900012","View Full Record in Web of Science")</f>
        <v>View Full Record in Web of Science</v>
      </c>
    </row>
    <row r="493" spans="1:72" x14ac:dyDescent="0.15">
      <c r="A493" t="s">
        <v>72</v>
      </c>
      <c r="B493" t="s">
        <v>9292</v>
      </c>
      <c r="C493" t="s">
        <v>74</v>
      </c>
      <c r="D493" t="s">
        <v>74</v>
      </c>
      <c r="E493" t="s">
        <v>74</v>
      </c>
      <c r="F493" t="s">
        <v>9293</v>
      </c>
      <c r="G493" t="s">
        <v>74</v>
      </c>
      <c r="H493" t="s">
        <v>74</v>
      </c>
      <c r="I493" t="s">
        <v>9294</v>
      </c>
      <c r="J493" t="s">
        <v>9295</v>
      </c>
      <c r="K493" t="s">
        <v>74</v>
      </c>
      <c r="L493" t="s">
        <v>74</v>
      </c>
      <c r="M493" t="s">
        <v>78</v>
      </c>
      <c r="N493" t="s">
        <v>79</v>
      </c>
      <c r="O493" t="s">
        <v>74</v>
      </c>
      <c r="P493" t="s">
        <v>74</v>
      </c>
      <c r="Q493" t="s">
        <v>74</v>
      </c>
      <c r="R493" t="s">
        <v>74</v>
      </c>
      <c r="S493" t="s">
        <v>74</v>
      </c>
      <c r="T493" t="s">
        <v>9296</v>
      </c>
      <c r="U493" t="s">
        <v>9297</v>
      </c>
      <c r="V493" t="s">
        <v>9298</v>
      </c>
      <c r="W493" t="s">
        <v>9299</v>
      </c>
      <c r="X493" t="s">
        <v>9300</v>
      </c>
      <c r="Y493" t="s">
        <v>1865</v>
      </c>
      <c r="Z493" t="s">
        <v>9301</v>
      </c>
      <c r="AA493" t="s">
        <v>9302</v>
      </c>
      <c r="AB493" t="s">
        <v>9303</v>
      </c>
      <c r="AC493" t="s">
        <v>9304</v>
      </c>
      <c r="AD493" t="s">
        <v>9305</v>
      </c>
      <c r="AE493" t="s">
        <v>9306</v>
      </c>
      <c r="AF493" t="s">
        <v>74</v>
      </c>
      <c r="AG493">
        <v>40</v>
      </c>
      <c r="AH493">
        <v>33</v>
      </c>
      <c r="AI493">
        <v>34</v>
      </c>
      <c r="AJ493">
        <v>1</v>
      </c>
      <c r="AK493">
        <v>58</v>
      </c>
      <c r="AL493" t="s">
        <v>586</v>
      </c>
      <c r="AM493" t="s">
        <v>542</v>
      </c>
      <c r="AN493" t="s">
        <v>587</v>
      </c>
      <c r="AO493" t="s">
        <v>9307</v>
      </c>
      <c r="AP493" t="s">
        <v>9308</v>
      </c>
      <c r="AQ493" t="s">
        <v>74</v>
      </c>
      <c r="AR493" t="s">
        <v>9309</v>
      </c>
      <c r="AS493" t="s">
        <v>9310</v>
      </c>
      <c r="AT493" t="s">
        <v>5170</v>
      </c>
      <c r="AU493">
        <v>2013</v>
      </c>
      <c r="AV493">
        <v>164</v>
      </c>
      <c r="AW493">
        <v>1</v>
      </c>
      <c r="AX493" t="s">
        <v>74</v>
      </c>
      <c r="AY493" t="s">
        <v>74</v>
      </c>
      <c r="AZ493" t="s">
        <v>74</v>
      </c>
      <c r="BA493" t="s">
        <v>74</v>
      </c>
      <c r="BB493">
        <v>70</v>
      </c>
      <c r="BC493">
        <v>82</v>
      </c>
      <c r="BD493" t="s">
        <v>74</v>
      </c>
      <c r="BE493" t="s">
        <v>9311</v>
      </c>
      <c r="BF493" t="str">
        <f>HYPERLINK("http://dx.doi.org/10.1016/j.resmic.2012.09.001","http://dx.doi.org/10.1016/j.resmic.2012.09.001")</f>
        <v>http://dx.doi.org/10.1016/j.resmic.2012.09.001</v>
      </c>
      <c r="BG493" t="s">
        <v>74</v>
      </c>
      <c r="BH493" t="s">
        <v>74</v>
      </c>
      <c r="BI493">
        <v>13</v>
      </c>
      <c r="BJ493" t="s">
        <v>1139</v>
      </c>
      <c r="BK493" t="s">
        <v>102</v>
      </c>
      <c r="BL493" t="s">
        <v>1139</v>
      </c>
      <c r="BM493" t="s">
        <v>9312</v>
      </c>
      <c r="BN493">
        <v>23041141</v>
      </c>
      <c r="BO493" t="s">
        <v>74</v>
      </c>
      <c r="BP493" t="s">
        <v>74</v>
      </c>
      <c r="BQ493" t="s">
        <v>74</v>
      </c>
      <c r="BR493" t="s">
        <v>105</v>
      </c>
      <c r="BS493" t="s">
        <v>9313</v>
      </c>
      <c r="BT493" t="str">
        <f>HYPERLINK("https%3A%2F%2Fwww.webofscience.com%2Fwos%2Fwoscc%2Ffull-record%2FWOS:000313542400011","View Full Record in Web of Science")</f>
        <v>View Full Record in Web of Science</v>
      </c>
    </row>
    <row r="494" spans="1:72" x14ac:dyDescent="0.15">
      <c r="A494" t="s">
        <v>72</v>
      </c>
      <c r="B494" t="s">
        <v>9314</v>
      </c>
      <c r="C494" t="s">
        <v>74</v>
      </c>
      <c r="D494" t="s">
        <v>74</v>
      </c>
      <c r="E494" t="s">
        <v>74</v>
      </c>
      <c r="F494" t="s">
        <v>9315</v>
      </c>
      <c r="G494" t="s">
        <v>74</v>
      </c>
      <c r="H494" t="s">
        <v>74</v>
      </c>
      <c r="I494" t="s">
        <v>9316</v>
      </c>
      <c r="J494" t="s">
        <v>9317</v>
      </c>
      <c r="K494" t="s">
        <v>74</v>
      </c>
      <c r="L494" t="s">
        <v>74</v>
      </c>
      <c r="M494" t="s">
        <v>78</v>
      </c>
      <c r="N494" t="s">
        <v>1120</v>
      </c>
      <c r="O494" t="s">
        <v>74</v>
      </c>
      <c r="P494" t="s">
        <v>74</v>
      </c>
      <c r="Q494" t="s">
        <v>74</v>
      </c>
      <c r="R494" t="s">
        <v>74</v>
      </c>
      <c r="S494" t="s">
        <v>74</v>
      </c>
      <c r="T494" t="s">
        <v>9318</v>
      </c>
      <c r="U494" t="s">
        <v>9319</v>
      </c>
      <c r="V494" t="s">
        <v>9320</v>
      </c>
      <c r="W494" t="s">
        <v>9321</v>
      </c>
      <c r="X494" t="s">
        <v>9322</v>
      </c>
      <c r="Y494" t="s">
        <v>9323</v>
      </c>
      <c r="Z494" t="s">
        <v>9324</v>
      </c>
      <c r="AA494" t="s">
        <v>74</v>
      </c>
      <c r="AB494" t="s">
        <v>74</v>
      </c>
      <c r="AC494" t="s">
        <v>74</v>
      </c>
      <c r="AD494" t="s">
        <v>74</v>
      </c>
      <c r="AE494" t="s">
        <v>74</v>
      </c>
      <c r="AF494" t="s">
        <v>74</v>
      </c>
      <c r="AG494">
        <v>237</v>
      </c>
      <c r="AH494">
        <v>79</v>
      </c>
      <c r="AI494">
        <v>86</v>
      </c>
      <c r="AJ494">
        <v>2</v>
      </c>
      <c r="AK494">
        <v>83</v>
      </c>
      <c r="AL494" t="s">
        <v>257</v>
      </c>
      <c r="AM494" t="s">
        <v>215</v>
      </c>
      <c r="AN494" t="s">
        <v>216</v>
      </c>
      <c r="AO494" t="s">
        <v>9325</v>
      </c>
      <c r="AP494" t="s">
        <v>9326</v>
      </c>
      <c r="AQ494" t="s">
        <v>74</v>
      </c>
      <c r="AR494" t="s">
        <v>9327</v>
      </c>
      <c r="AS494" t="s">
        <v>9328</v>
      </c>
      <c r="AT494" t="s">
        <v>5170</v>
      </c>
      <c r="AU494">
        <v>2013</v>
      </c>
      <c r="AV494">
        <v>38</v>
      </c>
      <c r="AW494">
        <v>1</v>
      </c>
      <c r="AX494" t="s">
        <v>74</v>
      </c>
      <c r="AY494" t="s">
        <v>74</v>
      </c>
      <c r="AZ494" t="s">
        <v>74</v>
      </c>
      <c r="BA494" t="s">
        <v>74</v>
      </c>
      <c r="BB494">
        <v>71</v>
      </c>
      <c r="BC494">
        <v>89</v>
      </c>
      <c r="BD494" t="s">
        <v>74</v>
      </c>
      <c r="BE494" t="s">
        <v>9329</v>
      </c>
      <c r="BF494" t="str">
        <f>HYPERLINK("http://dx.doi.org/10.1002/esp.3315","http://dx.doi.org/10.1002/esp.3315")</f>
        <v>http://dx.doi.org/10.1002/esp.3315</v>
      </c>
      <c r="BG494" t="s">
        <v>74</v>
      </c>
      <c r="BH494" t="s">
        <v>74</v>
      </c>
      <c r="BI494">
        <v>19</v>
      </c>
      <c r="BJ494" t="s">
        <v>2261</v>
      </c>
      <c r="BK494" t="s">
        <v>1803</v>
      </c>
      <c r="BL494" t="s">
        <v>2262</v>
      </c>
      <c r="BM494" t="s">
        <v>9330</v>
      </c>
      <c r="BN494" t="s">
        <v>74</v>
      </c>
      <c r="BO494" t="s">
        <v>74</v>
      </c>
      <c r="BP494" t="s">
        <v>74</v>
      </c>
      <c r="BQ494" t="s">
        <v>74</v>
      </c>
      <c r="BR494" t="s">
        <v>105</v>
      </c>
      <c r="BS494" t="s">
        <v>9331</v>
      </c>
      <c r="BT494" t="str">
        <f>HYPERLINK("https%3A%2F%2Fwww.webofscience.com%2Fwos%2Fwoscc%2Ffull-record%2FWOS:000313257000007","View Full Record in Web of Science")</f>
        <v>View Full Record in Web of Science</v>
      </c>
    </row>
    <row r="495" spans="1:72" x14ac:dyDescent="0.15">
      <c r="A495" t="s">
        <v>72</v>
      </c>
      <c r="B495" t="s">
        <v>9332</v>
      </c>
      <c r="C495" t="s">
        <v>74</v>
      </c>
      <c r="D495" t="s">
        <v>74</v>
      </c>
      <c r="E495" t="s">
        <v>74</v>
      </c>
      <c r="F495" t="s">
        <v>9333</v>
      </c>
      <c r="G495" t="s">
        <v>74</v>
      </c>
      <c r="H495" t="s">
        <v>74</v>
      </c>
      <c r="I495" t="s">
        <v>9334</v>
      </c>
      <c r="J495" t="s">
        <v>9335</v>
      </c>
      <c r="K495" t="s">
        <v>74</v>
      </c>
      <c r="L495" t="s">
        <v>74</v>
      </c>
      <c r="M495" t="s">
        <v>78</v>
      </c>
      <c r="N495" t="s">
        <v>79</v>
      </c>
      <c r="O495" t="s">
        <v>74</v>
      </c>
      <c r="P495" t="s">
        <v>74</v>
      </c>
      <c r="Q495" t="s">
        <v>74</v>
      </c>
      <c r="R495" t="s">
        <v>74</v>
      </c>
      <c r="S495" t="s">
        <v>74</v>
      </c>
      <c r="T495" t="s">
        <v>9336</v>
      </c>
      <c r="U495" t="s">
        <v>9337</v>
      </c>
      <c r="V495" t="s">
        <v>9338</v>
      </c>
      <c r="W495" t="s">
        <v>9339</v>
      </c>
      <c r="X495" t="s">
        <v>9340</v>
      </c>
      <c r="Y495" t="s">
        <v>9341</v>
      </c>
      <c r="Z495" t="s">
        <v>9342</v>
      </c>
      <c r="AA495" t="s">
        <v>9343</v>
      </c>
      <c r="AB495" t="s">
        <v>9344</v>
      </c>
      <c r="AC495" t="s">
        <v>9345</v>
      </c>
      <c r="AD495" t="s">
        <v>9345</v>
      </c>
      <c r="AE495" t="s">
        <v>9346</v>
      </c>
      <c r="AF495" t="s">
        <v>74</v>
      </c>
      <c r="AG495">
        <v>34</v>
      </c>
      <c r="AH495">
        <v>47</v>
      </c>
      <c r="AI495">
        <v>56</v>
      </c>
      <c r="AJ495">
        <v>5</v>
      </c>
      <c r="AK495">
        <v>51</v>
      </c>
      <c r="AL495" t="s">
        <v>9347</v>
      </c>
      <c r="AM495" t="s">
        <v>9348</v>
      </c>
      <c r="AN495" t="s">
        <v>9349</v>
      </c>
      <c r="AO495" t="s">
        <v>9350</v>
      </c>
      <c r="AP495" t="s">
        <v>9351</v>
      </c>
      <c r="AQ495" t="s">
        <v>74</v>
      </c>
      <c r="AR495" t="s">
        <v>9352</v>
      </c>
      <c r="AS495" t="s">
        <v>9353</v>
      </c>
      <c r="AT495" t="s">
        <v>5170</v>
      </c>
      <c r="AU495">
        <v>2013</v>
      </c>
      <c r="AV495">
        <v>26</v>
      </c>
      <c r="AW495">
        <v>1</v>
      </c>
      <c r="AX495" t="s">
        <v>74</v>
      </c>
      <c r="AY495" t="s">
        <v>74</v>
      </c>
      <c r="AZ495" t="s">
        <v>221</v>
      </c>
      <c r="BA495" t="s">
        <v>74</v>
      </c>
      <c r="BB495">
        <v>74</v>
      </c>
      <c r="BC495">
        <v>86</v>
      </c>
      <c r="BD495" t="s">
        <v>74</v>
      </c>
      <c r="BE495" t="s">
        <v>9354</v>
      </c>
      <c r="BF495" t="str">
        <f>HYPERLINK("http://dx.doi.org/10.1061/(ASCE)AS.1943-5525.0000212","http://dx.doi.org/10.1061/(ASCE)AS.1943-5525.0000212")</f>
        <v>http://dx.doi.org/10.1061/(ASCE)AS.1943-5525.0000212</v>
      </c>
      <c r="BG495" t="s">
        <v>74</v>
      </c>
      <c r="BH495" t="s">
        <v>74</v>
      </c>
      <c r="BI495">
        <v>13</v>
      </c>
      <c r="BJ495" t="s">
        <v>9355</v>
      </c>
      <c r="BK495" t="s">
        <v>102</v>
      </c>
      <c r="BL495" t="s">
        <v>3248</v>
      </c>
      <c r="BM495" t="s">
        <v>9356</v>
      </c>
      <c r="BN495" t="s">
        <v>74</v>
      </c>
      <c r="BO495" t="s">
        <v>74</v>
      </c>
      <c r="BP495" t="s">
        <v>74</v>
      </c>
      <c r="BQ495" t="s">
        <v>74</v>
      </c>
      <c r="BR495" t="s">
        <v>105</v>
      </c>
      <c r="BS495" t="s">
        <v>9357</v>
      </c>
      <c r="BT495" t="str">
        <f>HYPERLINK("https%3A%2F%2Fwww.webofscience.com%2Fwos%2Fwoscc%2Ffull-record%2FWOS:000313444300009","View Full Record in Web of Science")</f>
        <v>View Full Record in Web of Science</v>
      </c>
    </row>
    <row r="496" spans="1:72" x14ac:dyDescent="0.15">
      <c r="A496" t="s">
        <v>72</v>
      </c>
      <c r="B496" t="s">
        <v>1042</v>
      </c>
      <c r="C496" t="s">
        <v>74</v>
      </c>
      <c r="D496" t="s">
        <v>74</v>
      </c>
      <c r="E496" t="s">
        <v>74</v>
      </c>
      <c r="F496" t="s">
        <v>1043</v>
      </c>
      <c r="G496" t="s">
        <v>74</v>
      </c>
      <c r="H496" t="s">
        <v>74</v>
      </c>
      <c r="I496" t="s">
        <v>9358</v>
      </c>
      <c r="J496" t="s">
        <v>9359</v>
      </c>
      <c r="K496" t="s">
        <v>74</v>
      </c>
      <c r="L496" t="s">
        <v>74</v>
      </c>
      <c r="M496" t="s">
        <v>78</v>
      </c>
      <c r="N496" t="s">
        <v>79</v>
      </c>
      <c r="O496" t="s">
        <v>74</v>
      </c>
      <c r="P496" t="s">
        <v>74</v>
      </c>
      <c r="Q496" t="s">
        <v>74</v>
      </c>
      <c r="R496" t="s">
        <v>74</v>
      </c>
      <c r="S496" t="s">
        <v>74</v>
      </c>
      <c r="T496" t="s">
        <v>74</v>
      </c>
      <c r="U496" t="s">
        <v>9360</v>
      </c>
      <c r="V496" t="s">
        <v>9361</v>
      </c>
      <c r="W496" t="s">
        <v>9362</v>
      </c>
      <c r="X496" t="s">
        <v>1049</v>
      </c>
      <c r="Y496" t="s">
        <v>9363</v>
      </c>
      <c r="Z496" t="s">
        <v>1051</v>
      </c>
      <c r="AA496" t="s">
        <v>1052</v>
      </c>
      <c r="AB496" t="s">
        <v>74</v>
      </c>
      <c r="AC496" t="s">
        <v>1053</v>
      </c>
      <c r="AD496" t="s">
        <v>1054</v>
      </c>
      <c r="AE496" t="s">
        <v>9364</v>
      </c>
      <c r="AF496" t="s">
        <v>74</v>
      </c>
      <c r="AG496">
        <v>37</v>
      </c>
      <c r="AH496">
        <v>4</v>
      </c>
      <c r="AI496">
        <v>4</v>
      </c>
      <c r="AJ496">
        <v>1</v>
      </c>
      <c r="AK496">
        <v>52</v>
      </c>
      <c r="AL496" t="s">
        <v>257</v>
      </c>
      <c r="AM496" t="s">
        <v>215</v>
      </c>
      <c r="AN496" t="s">
        <v>216</v>
      </c>
      <c r="AO496" t="s">
        <v>9365</v>
      </c>
      <c r="AP496" t="s">
        <v>9366</v>
      </c>
      <c r="AQ496" t="s">
        <v>74</v>
      </c>
      <c r="AR496" t="s">
        <v>9367</v>
      </c>
      <c r="AS496" t="s">
        <v>9368</v>
      </c>
      <c r="AT496" t="s">
        <v>5170</v>
      </c>
      <c r="AU496">
        <v>2013</v>
      </c>
      <c r="AV496">
        <v>44</v>
      </c>
      <c r="AW496">
        <v>1</v>
      </c>
      <c r="AX496" t="s">
        <v>74</v>
      </c>
      <c r="AY496" t="s">
        <v>74</v>
      </c>
      <c r="AZ496" t="s">
        <v>74</v>
      </c>
      <c r="BA496" t="s">
        <v>74</v>
      </c>
      <c r="BB496">
        <v>89</v>
      </c>
      <c r="BC496">
        <v>95</v>
      </c>
      <c r="BD496" t="s">
        <v>74</v>
      </c>
      <c r="BE496" t="s">
        <v>9369</v>
      </c>
      <c r="BF496" t="str">
        <f>HYPERLINK("http://dx.doi.org/10.1111/j.1600-048X.2012.05731.x","http://dx.doi.org/10.1111/j.1600-048X.2012.05731.x")</f>
        <v>http://dx.doi.org/10.1111/j.1600-048X.2012.05731.x</v>
      </c>
      <c r="BG496" t="s">
        <v>74</v>
      </c>
      <c r="BH496" t="s">
        <v>74</v>
      </c>
      <c r="BI496">
        <v>7</v>
      </c>
      <c r="BJ496" t="s">
        <v>7130</v>
      </c>
      <c r="BK496" t="s">
        <v>102</v>
      </c>
      <c r="BL496" t="s">
        <v>3023</v>
      </c>
      <c r="BM496" t="s">
        <v>9370</v>
      </c>
      <c r="BN496" t="s">
        <v>74</v>
      </c>
      <c r="BO496" t="s">
        <v>74</v>
      </c>
      <c r="BP496" t="s">
        <v>74</v>
      </c>
      <c r="BQ496" t="s">
        <v>74</v>
      </c>
      <c r="BR496" t="s">
        <v>105</v>
      </c>
      <c r="BS496" t="s">
        <v>9371</v>
      </c>
      <c r="BT496" t="str">
        <f>HYPERLINK("https%3A%2F%2Fwww.webofscience.com%2Fwos%2Fwoscc%2Ffull-record%2FWOS:000312990100011","View Full Record in Web of Science")</f>
        <v>View Full Record in Web of Science</v>
      </c>
    </row>
    <row r="497" spans="1:72" x14ac:dyDescent="0.15">
      <c r="A497" t="s">
        <v>72</v>
      </c>
      <c r="B497" t="s">
        <v>9372</v>
      </c>
      <c r="C497" t="s">
        <v>74</v>
      </c>
      <c r="D497" t="s">
        <v>74</v>
      </c>
      <c r="E497" t="s">
        <v>74</v>
      </c>
      <c r="F497" t="s">
        <v>9373</v>
      </c>
      <c r="G497" t="s">
        <v>74</v>
      </c>
      <c r="H497" t="s">
        <v>74</v>
      </c>
      <c r="I497" t="s">
        <v>9374</v>
      </c>
      <c r="J497" t="s">
        <v>9375</v>
      </c>
      <c r="K497" t="s">
        <v>74</v>
      </c>
      <c r="L497" t="s">
        <v>74</v>
      </c>
      <c r="M497" t="s">
        <v>78</v>
      </c>
      <c r="N497" t="s">
        <v>3967</v>
      </c>
      <c r="O497" t="s">
        <v>9376</v>
      </c>
      <c r="P497" t="s">
        <v>9377</v>
      </c>
      <c r="Q497" t="s">
        <v>9378</v>
      </c>
      <c r="R497" t="s">
        <v>74</v>
      </c>
      <c r="S497" t="s">
        <v>9379</v>
      </c>
      <c r="T497" t="s">
        <v>9380</v>
      </c>
      <c r="U497" t="s">
        <v>9381</v>
      </c>
      <c r="V497" t="s">
        <v>9382</v>
      </c>
      <c r="W497" t="s">
        <v>9383</v>
      </c>
      <c r="X497" t="s">
        <v>9384</v>
      </c>
      <c r="Y497" t="s">
        <v>9385</v>
      </c>
      <c r="Z497" t="s">
        <v>9386</v>
      </c>
      <c r="AA497" t="s">
        <v>9387</v>
      </c>
      <c r="AB497" t="s">
        <v>9388</v>
      </c>
      <c r="AC497" t="s">
        <v>74</v>
      </c>
      <c r="AD497" t="s">
        <v>74</v>
      </c>
      <c r="AE497" t="s">
        <v>74</v>
      </c>
      <c r="AF497" t="s">
        <v>74</v>
      </c>
      <c r="AG497">
        <v>26</v>
      </c>
      <c r="AH497">
        <v>2</v>
      </c>
      <c r="AI497">
        <v>3</v>
      </c>
      <c r="AJ497">
        <v>1</v>
      </c>
      <c r="AK497">
        <v>9</v>
      </c>
      <c r="AL497" t="s">
        <v>541</v>
      </c>
      <c r="AM497" t="s">
        <v>542</v>
      </c>
      <c r="AN497" t="s">
        <v>543</v>
      </c>
      <c r="AO497" t="s">
        <v>9389</v>
      </c>
      <c r="AP497" t="s">
        <v>9390</v>
      </c>
      <c r="AQ497" t="s">
        <v>74</v>
      </c>
      <c r="AR497" t="s">
        <v>9391</v>
      </c>
      <c r="AS497" t="s">
        <v>9392</v>
      </c>
      <c r="AT497" t="s">
        <v>5170</v>
      </c>
      <c r="AU497">
        <v>2013</v>
      </c>
      <c r="AV497">
        <v>294</v>
      </c>
      <c r="AW497" t="s">
        <v>74</v>
      </c>
      <c r="AX497" t="s">
        <v>74</v>
      </c>
      <c r="AY497" t="s">
        <v>74</v>
      </c>
      <c r="AZ497" t="s">
        <v>74</v>
      </c>
      <c r="BA497" t="s">
        <v>74</v>
      </c>
      <c r="BB497">
        <v>59</v>
      </c>
      <c r="BC497">
        <v>66</v>
      </c>
      <c r="BD497" t="s">
        <v>74</v>
      </c>
      <c r="BE497" t="s">
        <v>9393</v>
      </c>
      <c r="BF497" t="str">
        <f>HYPERLINK("http://dx.doi.org/10.1016/j.nimb.2012.08.055","http://dx.doi.org/10.1016/j.nimb.2012.08.055")</f>
        <v>http://dx.doi.org/10.1016/j.nimb.2012.08.055</v>
      </c>
      <c r="BG497" t="s">
        <v>74</v>
      </c>
      <c r="BH497" t="s">
        <v>74</v>
      </c>
      <c r="BI497">
        <v>8</v>
      </c>
      <c r="BJ497" t="s">
        <v>9394</v>
      </c>
      <c r="BK497" t="s">
        <v>3990</v>
      </c>
      <c r="BL497" t="s">
        <v>9395</v>
      </c>
      <c r="BM497" t="s">
        <v>9396</v>
      </c>
      <c r="BN497" t="s">
        <v>74</v>
      </c>
      <c r="BO497" t="s">
        <v>74</v>
      </c>
      <c r="BP497" t="s">
        <v>74</v>
      </c>
      <c r="BQ497" t="s">
        <v>74</v>
      </c>
      <c r="BR497" t="s">
        <v>105</v>
      </c>
      <c r="BS497" t="s">
        <v>9397</v>
      </c>
      <c r="BT497" t="str">
        <f>HYPERLINK("https%3A%2F%2Fwww.webofscience.com%2Fwos%2Fwoscc%2Ffull-record%2FWOS:000313234300012","View Full Record in Web of Science")</f>
        <v>View Full Record in Web of Science</v>
      </c>
    </row>
    <row r="498" spans="1:72" x14ac:dyDescent="0.15">
      <c r="A498" t="s">
        <v>72</v>
      </c>
      <c r="B498" t="s">
        <v>9398</v>
      </c>
      <c r="C498" t="s">
        <v>74</v>
      </c>
      <c r="D498" t="s">
        <v>74</v>
      </c>
      <c r="E498" t="s">
        <v>74</v>
      </c>
      <c r="F498" t="s">
        <v>9399</v>
      </c>
      <c r="G498" t="s">
        <v>74</v>
      </c>
      <c r="H498" t="s">
        <v>74</v>
      </c>
      <c r="I498" t="s">
        <v>9400</v>
      </c>
      <c r="J498" t="s">
        <v>9375</v>
      </c>
      <c r="K498" t="s">
        <v>74</v>
      </c>
      <c r="L498" t="s">
        <v>74</v>
      </c>
      <c r="M498" t="s">
        <v>78</v>
      </c>
      <c r="N498" t="s">
        <v>3967</v>
      </c>
      <c r="O498" t="s">
        <v>9376</v>
      </c>
      <c r="P498" t="s">
        <v>9377</v>
      </c>
      <c r="Q498" t="s">
        <v>9378</v>
      </c>
      <c r="R498" t="s">
        <v>74</v>
      </c>
      <c r="S498" t="s">
        <v>9379</v>
      </c>
      <c r="T498" t="s">
        <v>9401</v>
      </c>
      <c r="U498" t="s">
        <v>9402</v>
      </c>
      <c r="V498" t="s">
        <v>9403</v>
      </c>
      <c r="W498" t="s">
        <v>9404</v>
      </c>
      <c r="X498" t="s">
        <v>9405</v>
      </c>
      <c r="Y498" t="s">
        <v>9406</v>
      </c>
      <c r="Z498" t="s">
        <v>9407</v>
      </c>
      <c r="AA498" t="s">
        <v>74</v>
      </c>
      <c r="AB498" t="s">
        <v>9408</v>
      </c>
      <c r="AC498" t="s">
        <v>9409</v>
      </c>
      <c r="AD498" t="s">
        <v>9410</v>
      </c>
      <c r="AE498" t="s">
        <v>74</v>
      </c>
      <c r="AF498" t="s">
        <v>74</v>
      </c>
      <c r="AG498">
        <v>13</v>
      </c>
      <c r="AH498">
        <v>5</v>
      </c>
      <c r="AI498">
        <v>5</v>
      </c>
      <c r="AJ498">
        <v>0</v>
      </c>
      <c r="AK498">
        <v>11</v>
      </c>
      <c r="AL498" t="s">
        <v>586</v>
      </c>
      <c r="AM498" t="s">
        <v>542</v>
      </c>
      <c r="AN498" t="s">
        <v>587</v>
      </c>
      <c r="AO498" t="s">
        <v>9389</v>
      </c>
      <c r="AP498" t="s">
        <v>9390</v>
      </c>
      <c r="AQ498" t="s">
        <v>74</v>
      </c>
      <c r="AR498" t="s">
        <v>9391</v>
      </c>
      <c r="AS498" t="s">
        <v>9392</v>
      </c>
      <c r="AT498" t="s">
        <v>5170</v>
      </c>
      <c r="AU498">
        <v>2013</v>
      </c>
      <c r="AV498">
        <v>294</v>
      </c>
      <c r="AW498" t="s">
        <v>74</v>
      </c>
      <c r="AX498" t="s">
        <v>74</v>
      </c>
      <c r="AY498" t="s">
        <v>74</v>
      </c>
      <c r="AZ498" t="s">
        <v>74</v>
      </c>
      <c r="BA498" t="s">
        <v>74</v>
      </c>
      <c r="BB498">
        <v>77</v>
      </c>
      <c r="BC498">
        <v>80</v>
      </c>
      <c r="BD498" t="s">
        <v>74</v>
      </c>
      <c r="BE498" t="s">
        <v>9411</v>
      </c>
      <c r="BF498" t="str">
        <f>HYPERLINK("http://dx.doi.org/10.1016/j.nimb.2012.08.033","http://dx.doi.org/10.1016/j.nimb.2012.08.033")</f>
        <v>http://dx.doi.org/10.1016/j.nimb.2012.08.033</v>
      </c>
      <c r="BG498" t="s">
        <v>74</v>
      </c>
      <c r="BH498" t="s">
        <v>74</v>
      </c>
      <c r="BI498">
        <v>4</v>
      </c>
      <c r="BJ498" t="s">
        <v>9394</v>
      </c>
      <c r="BK498" t="s">
        <v>3990</v>
      </c>
      <c r="BL498" t="s">
        <v>9395</v>
      </c>
      <c r="BM498" t="s">
        <v>9396</v>
      </c>
      <c r="BN498" t="s">
        <v>74</v>
      </c>
      <c r="BO498" t="s">
        <v>74</v>
      </c>
      <c r="BP498" t="s">
        <v>74</v>
      </c>
      <c r="BQ498" t="s">
        <v>74</v>
      </c>
      <c r="BR498" t="s">
        <v>105</v>
      </c>
      <c r="BS498" t="s">
        <v>9412</v>
      </c>
      <c r="BT498" t="str">
        <f>HYPERLINK("https%3A%2F%2Fwww.webofscience.com%2Fwos%2Fwoscc%2Ffull-record%2FWOS:000313234300015","View Full Record in Web of Science")</f>
        <v>View Full Record in Web of Science</v>
      </c>
    </row>
    <row r="499" spans="1:72" x14ac:dyDescent="0.15">
      <c r="A499" t="s">
        <v>72</v>
      </c>
      <c r="B499" t="s">
        <v>9413</v>
      </c>
      <c r="C499" t="s">
        <v>74</v>
      </c>
      <c r="D499" t="s">
        <v>74</v>
      </c>
      <c r="E499" t="s">
        <v>74</v>
      </c>
      <c r="F499" t="s">
        <v>9414</v>
      </c>
      <c r="G499" t="s">
        <v>74</v>
      </c>
      <c r="H499" t="s">
        <v>74</v>
      </c>
      <c r="I499" t="s">
        <v>9415</v>
      </c>
      <c r="J499" t="s">
        <v>9375</v>
      </c>
      <c r="K499" t="s">
        <v>74</v>
      </c>
      <c r="L499" t="s">
        <v>74</v>
      </c>
      <c r="M499" t="s">
        <v>78</v>
      </c>
      <c r="N499" t="s">
        <v>3967</v>
      </c>
      <c r="O499" t="s">
        <v>9376</v>
      </c>
      <c r="P499" t="s">
        <v>9377</v>
      </c>
      <c r="Q499" t="s">
        <v>9378</v>
      </c>
      <c r="R499" t="s">
        <v>74</v>
      </c>
      <c r="S499" t="s">
        <v>9379</v>
      </c>
      <c r="T499" t="s">
        <v>9416</v>
      </c>
      <c r="U499" t="s">
        <v>74</v>
      </c>
      <c r="V499" t="s">
        <v>9417</v>
      </c>
      <c r="W499" t="s">
        <v>9418</v>
      </c>
      <c r="X499" t="s">
        <v>9419</v>
      </c>
      <c r="Y499" t="s">
        <v>9420</v>
      </c>
      <c r="Z499" t="s">
        <v>9421</v>
      </c>
      <c r="AA499" t="s">
        <v>9422</v>
      </c>
      <c r="AB499" t="s">
        <v>9423</v>
      </c>
      <c r="AC499" t="s">
        <v>74</v>
      </c>
      <c r="AD499" t="s">
        <v>74</v>
      </c>
      <c r="AE499" t="s">
        <v>74</v>
      </c>
      <c r="AF499" t="s">
        <v>74</v>
      </c>
      <c r="AG499">
        <v>22</v>
      </c>
      <c r="AH499">
        <v>3</v>
      </c>
      <c r="AI499">
        <v>3</v>
      </c>
      <c r="AJ499">
        <v>0</v>
      </c>
      <c r="AK499">
        <v>9</v>
      </c>
      <c r="AL499" t="s">
        <v>541</v>
      </c>
      <c r="AM499" t="s">
        <v>542</v>
      </c>
      <c r="AN499" t="s">
        <v>543</v>
      </c>
      <c r="AO499" t="s">
        <v>9389</v>
      </c>
      <c r="AP499" t="s">
        <v>9390</v>
      </c>
      <c r="AQ499" t="s">
        <v>74</v>
      </c>
      <c r="AR499" t="s">
        <v>9391</v>
      </c>
      <c r="AS499" t="s">
        <v>9392</v>
      </c>
      <c r="AT499" t="s">
        <v>5170</v>
      </c>
      <c r="AU499">
        <v>2013</v>
      </c>
      <c r="AV499">
        <v>294</v>
      </c>
      <c r="AW499" t="s">
        <v>74</v>
      </c>
      <c r="AX499" t="s">
        <v>74</v>
      </c>
      <c r="AY499" t="s">
        <v>74</v>
      </c>
      <c r="AZ499" t="s">
        <v>74</v>
      </c>
      <c r="BA499" t="s">
        <v>74</v>
      </c>
      <c r="BB499">
        <v>208</v>
      </c>
      <c r="BC499">
        <v>213</v>
      </c>
      <c r="BD499" t="s">
        <v>74</v>
      </c>
      <c r="BE499" t="s">
        <v>9424</v>
      </c>
      <c r="BF499" t="str">
        <f>HYPERLINK("http://dx.doi.org/10.1016/j.nimb.2012.07.013","http://dx.doi.org/10.1016/j.nimb.2012.07.013")</f>
        <v>http://dx.doi.org/10.1016/j.nimb.2012.07.013</v>
      </c>
      <c r="BG499" t="s">
        <v>74</v>
      </c>
      <c r="BH499" t="s">
        <v>74</v>
      </c>
      <c r="BI499">
        <v>6</v>
      </c>
      <c r="BJ499" t="s">
        <v>9394</v>
      </c>
      <c r="BK499" t="s">
        <v>3990</v>
      </c>
      <c r="BL499" t="s">
        <v>9395</v>
      </c>
      <c r="BM499" t="s">
        <v>9396</v>
      </c>
      <c r="BN499" t="s">
        <v>74</v>
      </c>
      <c r="BO499" t="s">
        <v>155</v>
      </c>
      <c r="BP499" t="s">
        <v>74</v>
      </c>
      <c r="BQ499" t="s">
        <v>74</v>
      </c>
      <c r="BR499" t="s">
        <v>105</v>
      </c>
      <c r="BS499" t="s">
        <v>9425</v>
      </c>
      <c r="BT499" t="str">
        <f>HYPERLINK("https%3A%2F%2Fwww.webofscience.com%2Fwos%2Fwoscc%2Ffull-record%2FWOS:000313234300041","View Full Record in Web of Science")</f>
        <v>View Full Record in Web of Science</v>
      </c>
    </row>
    <row r="500" spans="1:72" x14ac:dyDescent="0.15">
      <c r="A500" t="s">
        <v>72</v>
      </c>
      <c r="B500" t="s">
        <v>9426</v>
      </c>
      <c r="C500" t="s">
        <v>74</v>
      </c>
      <c r="D500" t="s">
        <v>74</v>
      </c>
      <c r="E500" t="s">
        <v>74</v>
      </c>
      <c r="F500" t="s">
        <v>9427</v>
      </c>
      <c r="G500" t="s">
        <v>74</v>
      </c>
      <c r="H500" t="s">
        <v>74</v>
      </c>
      <c r="I500" t="s">
        <v>9428</v>
      </c>
      <c r="J500" t="s">
        <v>9429</v>
      </c>
      <c r="K500" t="s">
        <v>74</v>
      </c>
      <c r="L500" t="s">
        <v>74</v>
      </c>
      <c r="M500" t="s">
        <v>78</v>
      </c>
      <c r="N500" t="s">
        <v>79</v>
      </c>
      <c r="O500" t="s">
        <v>74</v>
      </c>
      <c r="P500" t="s">
        <v>74</v>
      </c>
      <c r="Q500" t="s">
        <v>74</v>
      </c>
      <c r="R500" t="s">
        <v>74</v>
      </c>
      <c r="S500" t="s">
        <v>74</v>
      </c>
      <c r="T500" t="s">
        <v>9430</v>
      </c>
      <c r="U500" t="s">
        <v>9431</v>
      </c>
      <c r="V500" t="s">
        <v>9432</v>
      </c>
      <c r="W500" t="s">
        <v>9433</v>
      </c>
      <c r="X500" t="s">
        <v>9434</v>
      </c>
      <c r="Y500" t="s">
        <v>9435</v>
      </c>
      <c r="Z500" t="s">
        <v>9436</v>
      </c>
      <c r="AA500" t="s">
        <v>9437</v>
      </c>
      <c r="AB500" t="s">
        <v>9438</v>
      </c>
      <c r="AC500" t="s">
        <v>9439</v>
      </c>
      <c r="AD500" t="s">
        <v>9440</v>
      </c>
      <c r="AE500" t="s">
        <v>9441</v>
      </c>
      <c r="AF500" t="s">
        <v>74</v>
      </c>
      <c r="AG500">
        <v>25</v>
      </c>
      <c r="AH500">
        <v>14</v>
      </c>
      <c r="AI500">
        <v>15</v>
      </c>
      <c r="AJ500">
        <v>2</v>
      </c>
      <c r="AK500">
        <v>44</v>
      </c>
      <c r="AL500" t="s">
        <v>321</v>
      </c>
      <c r="AM500" t="s">
        <v>322</v>
      </c>
      <c r="AN500" t="s">
        <v>323</v>
      </c>
      <c r="AO500" t="s">
        <v>9442</v>
      </c>
      <c r="AP500" t="s">
        <v>9443</v>
      </c>
      <c r="AQ500" t="s">
        <v>74</v>
      </c>
      <c r="AR500" t="s">
        <v>9444</v>
      </c>
      <c r="AS500" t="s">
        <v>9445</v>
      </c>
      <c r="AT500" t="s">
        <v>5170</v>
      </c>
      <c r="AU500">
        <v>2013</v>
      </c>
      <c r="AV500">
        <v>56</v>
      </c>
      <c r="AW500">
        <v>1</v>
      </c>
      <c r="AX500" t="s">
        <v>74</v>
      </c>
      <c r="AY500" t="s">
        <v>74</v>
      </c>
      <c r="AZ500" t="s">
        <v>74</v>
      </c>
      <c r="BA500" t="s">
        <v>74</v>
      </c>
      <c r="BB500">
        <v>1</v>
      </c>
      <c r="BC500">
        <v>12</v>
      </c>
      <c r="BD500" t="s">
        <v>74</v>
      </c>
      <c r="BE500" t="s">
        <v>9446</v>
      </c>
      <c r="BF500" t="str">
        <f>HYPERLINK("http://dx.doi.org/10.1007/s11430-012-4481-5","http://dx.doi.org/10.1007/s11430-012-4481-5")</f>
        <v>http://dx.doi.org/10.1007/s11430-012-4481-5</v>
      </c>
      <c r="BG500" t="s">
        <v>74</v>
      </c>
      <c r="BH500" t="s">
        <v>74</v>
      </c>
      <c r="BI500">
        <v>12</v>
      </c>
      <c r="BJ500" t="s">
        <v>1604</v>
      </c>
      <c r="BK500" t="s">
        <v>102</v>
      </c>
      <c r="BL500" t="s">
        <v>1605</v>
      </c>
      <c r="BM500" t="s">
        <v>9447</v>
      </c>
      <c r="BN500" t="s">
        <v>74</v>
      </c>
      <c r="BO500" t="s">
        <v>74</v>
      </c>
      <c r="BP500" t="s">
        <v>74</v>
      </c>
      <c r="BQ500" t="s">
        <v>74</v>
      </c>
      <c r="BR500" t="s">
        <v>105</v>
      </c>
      <c r="BS500" t="s">
        <v>9448</v>
      </c>
      <c r="BT500" t="str">
        <f>HYPERLINK("https%3A%2F%2Fwww.webofscience.com%2Fwos%2Fwoscc%2Ffull-record%2FWOS:000313498000001","View Full Record in Web of Science")</f>
        <v>View Full Record in Web of Science</v>
      </c>
    </row>
    <row r="501" spans="1:72" x14ac:dyDescent="0.15">
      <c r="A501" t="s">
        <v>72</v>
      </c>
      <c r="B501" t="s">
        <v>9449</v>
      </c>
      <c r="C501" t="s">
        <v>74</v>
      </c>
      <c r="D501" t="s">
        <v>74</v>
      </c>
      <c r="E501" t="s">
        <v>74</v>
      </c>
      <c r="F501" t="s">
        <v>9450</v>
      </c>
      <c r="G501" t="s">
        <v>74</v>
      </c>
      <c r="H501" t="s">
        <v>74</v>
      </c>
      <c r="I501" t="s">
        <v>9451</v>
      </c>
      <c r="J501" t="s">
        <v>9452</v>
      </c>
      <c r="K501" t="s">
        <v>74</v>
      </c>
      <c r="L501" t="s">
        <v>74</v>
      </c>
      <c r="M501" t="s">
        <v>78</v>
      </c>
      <c r="N501" t="s">
        <v>79</v>
      </c>
      <c r="O501" t="s">
        <v>74</v>
      </c>
      <c r="P501" t="s">
        <v>74</v>
      </c>
      <c r="Q501" t="s">
        <v>74</v>
      </c>
      <c r="R501" t="s">
        <v>74</v>
      </c>
      <c r="S501" t="s">
        <v>74</v>
      </c>
      <c r="T501" t="s">
        <v>74</v>
      </c>
      <c r="U501" t="s">
        <v>9453</v>
      </c>
      <c r="V501" t="s">
        <v>9454</v>
      </c>
      <c r="W501" t="s">
        <v>9455</v>
      </c>
      <c r="X501" t="s">
        <v>9456</v>
      </c>
      <c r="Y501" t="s">
        <v>9457</v>
      </c>
      <c r="Z501" t="s">
        <v>9458</v>
      </c>
      <c r="AA501" t="s">
        <v>9459</v>
      </c>
      <c r="AB501" t="s">
        <v>9460</v>
      </c>
      <c r="AC501" t="s">
        <v>9461</v>
      </c>
      <c r="AD501" t="s">
        <v>9462</v>
      </c>
      <c r="AE501" t="s">
        <v>9463</v>
      </c>
      <c r="AF501" t="s">
        <v>74</v>
      </c>
      <c r="AG501">
        <v>29</v>
      </c>
      <c r="AH501">
        <v>79</v>
      </c>
      <c r="AI501">
        <v>87</v>
      </c>
      <c r="AJ501">
        <v>1</v>
      </c>
      <c r="AK501">
        <v>43</v>
      </c>
      <c r="AL501" t="s">
        <v>9464</v>
      </c>
      <c r="AM501" t="s">
        <v>786</v>
      </c>
      <c r="AN501" t="s">
        <v>9465</v>
      </c>
      <c r="AO501" t="s">
        <v>9466</v>
      </c>
      <c r="AP501" t="s">
        <v>9467</v>
      </c>
      <c r="AQ501" t="s">
        <v>74</v>
      </c>
      <c r="AR501" t="s">
        <v>9468</v>
      </c>
      <c r="AS501" t="s">
        <v>9469</v>
      </c>
      <c r="AT501" t="s">
        <v>5170</v>
      </c>
      <c r="AU501">
        <v>2013</v>
      </c>
      <c r="AV501">
        <v>79</v>
      </c>
      <c r="AW501">
        <v>1</v>
      </c>
      <c r="AX501" t="s">
        <v>74</v>
      </c>
      <c r="AY501" t="s">
        <v>74</v>
      </c>
      <c r="AZ501" t="s">
        <v>74</v>
      </c>
      <c r="BA501" t="s">
        <v>74</v>
      </c>
      <c r="BB501">
        <v>224</v>
      </c>
      <c r="BC501">
        <v>230</v>
      </c>
      <c r="BD501" t="s">
        <v>74</v>
      </c>
      <c r="BE501" t="s">
        <v>9470</v>
      </c>
      <c r="BF501" t="str">
        <f>HYPERLINK("http://dx.doi.org/10.1128/AEM.01801-12","http://dx.doi.org/10.1128/AEM.01801-12")</f>
        <v>http://dx.doi.org/10.1128/AEM.01801-12</v>
      </c>
      <c r="BG501" t="s">
        <v>74</v>
      </c>
      <c r="BH501" t="s">
        <v>74</v>
      </c>
      <c r="BI501">
        <v>7</v>
      </c>
      <c r="BJ501" t="s">
        <v>1079</v>
      </c>
      <c r="BK501" t="s">
        <v>102</v>
      </c>
      <c r="BL501" t="s">
        <v>1079</v>
      </c>
      <c r="BM501" t="s">
        <v>9471</v>
      </c>
      <c r="BN501">
        <v>23087043</v>
      </c>
      <c r="BO501" t="s">
        <v>2097</v>
      </c>
      <c r="BP501" t="s">
        <v>74</v>
      </c>
      <c r="BQ501" t="s">
        <v>74</v>
      </c>
      <c r="BR501" t="s">
        <v>105</v>
      </c>
      <c r="BS501" t="s">
        <v>9472</v>
      </c>
      <c r="BT501" t="str">
        <f>HYPERLINK("https%3A%2F%2Fwww.webofscience.com%2Fwos%2Fwoscc%2Ffull-record%2FWOS:000312931600025","View Full Record in Web of Science")</f>
        <v>View Full Record in Web of Science</v>
      </c>
    </row>
    <row r="502" spans="1:72" x14ac:dyDescent="0.15">
      <c r="A502" t="s">
        <v>72</v>
      </c>
      <c r="B502" t="s">
        <v>9473</v>
      </c>
      <c r="C502" t="s">
        <v>74</v>
      </c>
      <c r="D502" t="s">
        <v>74</v>
      </c>
      <c r="E502" t="s">
        <v>74</v>
      </c>
      <c r="F502" t="s">
        <v>9474</v>
      </c>
      <c r="G502" t="s">
        <v>74</v>
      </c>
      <c r="H502" t="s">
        <v>74</v>
      </c>
      <c r="I502" t="s">
        <v>9475</v>
      </c>
      <c r="J502" t="s">
        <v>9476</v>
      </c>
      <c r="K502" t="s">
        <v>74</v>
      </c>
      <c r="L502" t="s">
        <v>74</v>
      </c>
      <c r="M502" t="s">
        <v>78</v>
      </c>
      <c r="N502" t="s">
        <v>79</v>
      </c>
      <c r="O502" t="s">
        <v>74</v>
      </c>
      <c r="P502" t="s">
        <v>74</v>
      </c>
      <c r="Q502" t="s">
        <v>74</v>
      </c>
      <c r="R502" t="s">
        <v>74</v>
      </c>
      <c r="S502" t="s">
        <v>74</v>
      </c>
      <c r="T502" t="s">
        <v>9477</v>
      </c>
      <c r="U502" t="s">
        <v>9478</v>
      </c>
      <c r="V502" t="s">
        <v>9479</v>
      </c>
      <c r="W502" t="s">
        <v>9480</v>
      </c>
      <c r="X502" t="s">
        <v>9481</v>
      </c>
      <c r="Y502" t="s">
        <v>9482</v>
      </c>
      <c r="Z502" t="s">
        <v>9483</v>
      </c>
      <c r="AA502" t="s">
        <v>9484</v>
      </c>
      <c r="AB502" t="s">
        <v>9485</v>
      </c>
      <c r="AC502" t="s">
        <v>9486</v>
      </c>
      <c r="AD502" t="s">
        <v>9487</v>
      </c>
      <c r="AE502" t="s">
        <v>9488</v>
      </c>
      <c r="AF502" t="s">
        <v>74</v>
      </c>
      <c r="AG502">
        <v>35</v>
      </c>
      <c r="AH502">
        <v>13</v>
      </c>
      <c r="AI502">
        <v>14</v>
      </c>
      <c r="AJ502">
        <v>2</v>
      </c>
      <c r="AK502">
        <v>46</v>
      </c>
      <c r="AL502" t="s">
        <v>146</v>
      </c>
      <c r="AM502" t="s">
        <v>147</v>
      </c>
      <c r="AN502" t="s">
        <v>148</v>
      </c>
      <c r="AO502" t="s">
        <v>9489</v>
      </c>
      <c r="AP502" t="s">
        <v>9490</v>
      </c>
      <c r="AQ502" t="s">
        <v>74</v>
      </c>
      <c r="AR502" t="s">
        <v>9476</v>
      </c>
      <c r="AS502" t="s">
        <v>9491</v>
      </c>
      <c r="AT502" t="s">
        <v>5170</v>
      </c>
      <c r="AU502">
        <v>2013</v>
      </c>
      <c r="AV502">
        <v>90</v>
      </c>
      <c r="AW502">
        <v>2</v>
      </c>
      <c r="AX502" t="s">
        <v>74</v>
      </c>
      <c r="AY502" t="s">
        <v>74</v>
      </c>
      <c r="AZ502" t="s">
        <v>74</v>
      </c>
      <c r="BA502" t="s">
        <v>74</v>
      </c>
      <c r="BB502">
        <v>497</v>
      </c>
      <c r="BC502">
        <v>504</v>
      </c>
      <c r="BD502" t="s">
        <v>74</v>
      </c>
      <c r="BE502" t="s">
        <v>9492</v>
      </c>
      <c r="BF502" t="str">
        <f>HYPERLINK("http://dx.doi.org/10.1016/j.chemosphere.2012.08.013","http://dx.doi.org/10.1016/j.chemosphere.2012.08.013")</f>
        <v>http://dx.doi.org/10.1016/j.chemosphere.2012.08.013</v>
      </c>
      <c r="BG502" t="s">
        <v>74</v>
      </c>
      <c r="BH502" t="s">
        <v>74</v>
      </c>
      <c r="BI502">
        <v>8</v>
      </c>
      <c r="BJ502" t="s">
        <v>454</v>
      </c>
      <c r="BK502" t="s">
        <v>102</v>
      </c>
      <c r="BL502" t="s">
        <v>455</v>
      </c>
      <c r="BM502" t="s">
        <v>9493</v>
      </c>
      <c r="BN502">
        <v>22980960</v>
      </c>
      <c r="BO502" t="s">
        <v>74</v>
      </c>
      <c r="BP502" t="s">
        <v>74</v>
      </c>
      <c r="BQ502" t="s">
        <v>74</v>
      </c>
      <c r="BR502" t="s">
        <v>105</v>
      </c>
      <c r="BS502" t="s">
        <v>9494</v>
      </c>
      <c r="BT502" t="str">
        <f>HYPERLINK("https%3A%2F%2Fwww.webofscience.com%2Fwos%2Fwoscc%2Ffull-record%2FWOS:000312618300049","View Full Record in Web of Science")</f>
        <v>View Full Record in Web of Science</v>
      </c>
    </row>
    <row r="503" spans="1:72" x14ac:dyDescent="0.15">
      <c r="A503" t="s">
        <v>72</v>
      </c>
      <c r="B503" t="s">
        <v>9495</v>
      </c>
      <c r="C503" t="s">
        <v>74</v>
      </c>
      <c r="D503" t="s">
        <v>74</v>
      </c>
      <c r="E503" t="s">
        <v>74</v>
      </c>
      <c r="F503" t="s">
        <v>9496</v>
      </c>
      <c r="G503" t="s">
        <v>74</v>
      </c>
      <c r="H503" t="s">
        <v>74</v>
      </c>
      <c r="I503" t="s">
        <v>9497</v>
      </c>
      <c r="J503" t="s">
        <v>9498</v>
      </c>
      <c r="K503" t="s">
        <v>74</v>
      </c>
      <c r="L503" t="s">
        <v>74</v>
      </c>
      <c r="M503" t="s">
        <v>78</v>
      </c>
      <c r="N503" t="s">
        <v>79</v>
      </c>
      <c r="O503" t="s">
        <v>74</v>
      </c>
      <c r="P503" t="s">
        <v>74</v>
      </c>
      <c r="Q503" t="s">
        <v>74</v>
      </c>
      <c r="R503" t="s">
        <v>74</v>
      </c>
      <c r="S503" t="s">
        <v>74</v>
      </c>
      <c r="T503" t="s">
        <v>9499</v>
      </c>
      <c r="U503" t="s">
        <v>9500</v>
      </c>
      <c r="V503" t="s">
        <v>9501</v>
      </c>
      <c r="W503" t="s">
        <v>9502</v>
      </c>
      <c r="X503" t="s">
        <v>9503</v>
      </c>
      <c r="Y503" t="s">
        <v>9504</v>
      </c>
      <c r="Z503" t="s">
        <v>9505</v>
      </c>
      <c r="AA503" t="s">
        <v>9506</v>
      </c>
      <c r="AB503" t="s">
        <v>9507</v>
      </c>
      <c r="AC503" t="s">
        <v>9508</v>
      </c>
      <c r="AD503" t="s">
        <v>9509</v>
      </c>
      <c r="AE503" t="s">
        <v>9510</v>
      </c>
      <c r="AF503" t="s">
        <v>74</v>
      </c>
      <c r="AG503">
        <v>50</v>
      </c>
      <c r="AH503">
        <v>48</v>
      </c>
      <c r="AI503">
        <v>56</v>
      </c>
      <c r="AJ503">
        <v>1</v>
      </c>
      <c r="AK503">
        <v>48</v>
      </c>
      <c r="AL503" t="s">
        <v>9511</v>
      </c>
      <c r="AM503" t="s">
        <v>5988</v>
      </c>
      <c r="AN503" t="s">
        <v>9512</v>
      </c>
      <c r="AO503" t="s">
        <v>9513</v>
      </c>
      <c r="AP503" t="s">
        <v>9514</v>
      </c>
      <c r="AQ503" t="s">
        <v>74</v>
      </c>
      <c r="AR503" t="s">
        <v>9498</v>
      </c>
      <c r="AS503" t="s">
        <v>9515</v>
      </c>
      <c r="AT503" t="s">
        <v>5170</v>
      </c>
      <c r="AU503">
        <v>2013</v>
      </c>
      <c r="AV503">
        <v>17</v>
      </c>
      <c r="AW503">
        <v>1</v>
      </c>
      <c r="AX503" t="s">
        <v>74</v>
      </c>
      <c r="AY503" t="s">
        <v>74</v>
      </c>
      <c r="AZ503" t="s">
        <v>74</v>
      </c>
      <c r="BA503" t="s">
        <v>74</v>
      </c>
      <c r="BB503">
        <v>63</v>
      </c>
      <c r="BC503">
        <v>73</v>
      </c>
      <c r="BD503" t="s">
        <v>74</v>
      </c>
      <c r="BE503" t="s">
        <v>9516</v>
      </c>
      <c r="BF503" t="str">
        <f>HYPERLINK("http://dx.doi.org/10.1007/s00792-012-0494-4","http://dx.doi.org/10.1007/s00792-012-0494-4")</f>
        <v>http://dx.doi.org/10.1007/s00792-012-0494-4</v>
      </c>
      <c r="BG503" t="s">
        <v>74</v>
      </c>
      <c r="BH503" t="s">
        <v>74</v>
      </c>
      <c r="BI503">
        <v>11</v>
      </c>
      <c r="BJ503" t="s">
        <v>5131</v>
      </c>
      <c r="BK503" t="s">
        <v>102</v>
      </c>
      <c r="BL503" t="s">
        <v>5131</v>
      </c>
      <c r="BM503" t="s">
        <v>9517</v>
      </c>
      <c r="BN503">
        <v>23132550</v>
      </c>
      <c r="BO503" t="s">
        <v>74</v>
      </c>
      <c r="BP503" t="s">
        <v>74</v>
      </c>
      <c r="BQ503" t="s">
        <v>74</v>
      </c>
      <c r="BR503" t="s">
        <v>105</v>
      </c>
      <c r="BS503" t="s">
        <v>9518</v>
      </c>
      <c r="BT503" t="str">
        <f>HYPERLINK("https%3A%2F%2Fwww.webofscience.com%2Fwos%2Fwoscc%2Ffull-record%2FWOS:000312779200006","View Full Record in Web of Science")</f>
        <v>View Full Record in Web of Science</v>
      </c>
    </row>
    <row r="504" spans="1:72" x14ac:dyDescent="0.15">
      <c r="A504" t="s">
        <v>72</v>
      </c>
      <c r="B504" t="s">
        <v>9519</v>
      </c>
      <c r="C504" t="s">
        <v>74</v>
      </c>
      <c r="D504" t="s">
        <v>74</v>
      </c>
      <c r="E504" t="s">
        <v>74</v>
      </c>
      <c r="F504" t="s">
        <v>9520</v>
      </c>
      <c r="G504" t="s">
        <v>74</v>
      </c>
      <c r="H504" t="s">
        <v>74</v>
      </c>
      <c r="I504" t="s">
        <v>9521</v>
      </c>
      <c r="J504" t="s">
        <v>9522</v>
      </c>
      <c r="K504" t="s">
        <v>74</v>
      </c>
      <c r="L504" t="s">
        <v>74</v>
      </c>
      <c r="M504" t="s">
        <v>78</v>
      </c>
      <c r="N504" t="s">
        <v>79</v>
      </c>
      <c r="O504" t="s">
        <v>74</v>
      </c>
      <c r="P504" t="s">
        <v>74</v>
      </c>
      <c r="Q504" t="s">
        <v>74</v>
      </c>
      <c r="R504" t="s">
        <v>74</v>
      </c>
      <c r="S504" t="s">
        <v>74</v>
      </c>
      <c r="T504" t="s">
        <v>9523</v>
      </c>
      <c r="U504" t="s">
        <v>9524</v>
      </c>
      <c r="V504" t="s">
        <v>9525</v>
      </c>
      <c r="W504" t="s">
        <v>9526</v>
      </c>
      <c r="X504" t="s">
        <v>9527</v>
      </c>
      <c r="Y504" t="s">
        <v>9528</v>
      </c>
      <c r="Z504" t="s">
        <v>9529</v>
      </c>
      <c r="AA504" t="s">
        <v>9530</v>
      </c>
      <c r="AB504" t="s">
        <v>74</v>
      </c>
      <c r="AC504" t="s">
        <v>9531</v>
      </c>
      <c r="AD504" t="s">
        <v>9532</v>
      </c>
      <c r="AE504" t="s">
        <v>9533</v>
      </c>
      <c r="AF504" t="s">
        <v>74</v>
      </c>
      <c r="AG504">
        <v>216</v>
      </c>
      <c r="AH504">
        <v>27</v>
      </c>
      <c r="AI504">
        <v>34</v>
      </c>
      <c r="AJ504">
        <v>0</v>
      </c>
      <c r="AK504">
        <v>25</v>
      </c>
      <c r="AL504" t="s">
        <v>586</v>
      </c>
      <c r="AM504" t="s">
        <v>542</v>
      </c>
      <c r="AN504" t="s">
        <v>587</v>
      </c>
      <c r="AO504" t="s">
        <v>9534</v>
      </c>
      <c r="AP504" t="s">
        <v>9535</v>
      </c>
      <c r="AQ504" t="s">
        <v>74</v>
      </c>
      <c r="AR504" t="s">
        <v>9536</v>
      </c>
      <c r="AS504" t="s">
        <v>9537</v>
      </c>
      <c r="AT504" t="s">
        <v>5170</v>
      </c>
      <c r="AU504">
        <v>2013</v>
      </c>
      <c r="AV504">
        <v>23</v>
      </c>
      <c r="AW504">
        <v>1</v>
      </c>
      <c r="AX504" t="s">
        <v>74</v>
      </c>
      <c r="AY504" t="s">
        <v>74</v>
      </c>
      <c r="AZ504" t="s">
        <v>74</v>
      </c>
      <c r="BA504" t="s">
        <v>74</v>
      </c>
      <c r="BB504">
        <v>296</v>
      </c>
      <c r="BC504">
        <v>332</v>
      </c>
      <c r="BD504" t="s">
        <v>74</v>
      </c>
      <c r="BE504" t="s">
        <v>9538</v>
      </c>
      <c r="BF504" t="str">
        <f>HYPERLINK("http://dx.doi.org/10.1016/j.gr.2012.05.010","http://dx.doi.org/10.1016/j.gr.2012.05.010")</f>
        <v>http://dx.doi.org/10.1016/j.gr.2012.05.010</v>
      </c>
      <c r="BG504" t="s">
        <v>74</v>
      </c>
      <c r="BH504" t="s">
        <v>74</v>
      </c>
      <c r="BI504">
        <v>37</v>
      </c>
      <c r="BJ504" t="s">
        <v>1604</v>
      </c>
      <c r="BK504" t="s">
        <v>102</v>
      </c>
      <c r="BL504" t="s">
        <v>1605</v>
      </c>
      <c r="BM504" t="s">
        <v>9539</v>
      </c>
      <c r="BN504" t="s">
        <v>74</v>
      </c>
      <c r="BO504" t="s">
        <v>74</v>
      </c>
      <c r="BP504" t="s">
        <v>74</v>
      </c>
      <c r="BQ504" t="s">
        <v>74</v>
      </c>
      <c r="BR504" t="s">
        <v>105</v>
      </c>
      <c r="BS504" t="s">
        <v>9540</v>
      </c>
      <c r="BT504" t="str">
        <f>HYPERLINK("https%3A%2F%2Fwww.webofscience.com%2Fwos%2Fwoscc%2Ffull-record%2FWOS:000312746000020","View Full Record in Web of Science")</f>
        <v>View Full Record in Web of Science</v>
      </c>
    </row>
    <row r="505" spans="1:72" x14ac:dyDescent="0.15">
      <c r="A505" t="s">
        <v>72</v>
      </c>
      <c r="B505" t="s">
        <v>9541</v>
      </c>
      <c r="C505" t="s">
        <v>74</v>
      </c>
      <c r="D505" t="s">
        <v>74</v>
      </c>
      <c r="E505" t="s">
        <v>74</v>
      </c>
      <c r="F505" t="s">
        <v>9542</v>
      </c>
      <c r="G505" t="s">
        <v>74</v>
      </c>
      <c r="H505" t="s">
        <v>74</v>
      </c>
      <c r="I505" t="s">
        <v>9543</v>
      </c>
      <c r="J505" t="s">
        <v>9544</v>
      </c>
      <c r="K505" t="s">
        <v>74</v>
      </c>
      <c r="L505" t="s">
        <v>74</v>
      </c>
      <c r="M505" t="s">
        <v>78</v>
      </c>
      <c r="N505" t="s">
        <v>79</v>
      </c>
      <c r="O505" t="s">
        <v>74</v>
      </c>
      <c r="P505" t="s">
        <v>74</v>
      </c>
      <c r="Q505" t="s">
        <v>74</v>
      </c>
      <c r="R505" t="s">
        <v>74</v>
      </c>
      <c r="S505" t="s">
        <v>74</v>
      </c>
      <c r="T505" t="s">
        <v>9545</v>
      </c>
      <c r="U505" t="s">
        <v>9546</v>
      </c>
      <c r="V505" t="s">
        <v>9547</v>
      </c>
      <c r="W505" t="s">
        <v>9548</v>
      </c>
      <c r="X505" t="s">
        <v>9549</v>
      </c>
      <c r="Y505" t="s">
        <v>9550</v>
      </c>
      <c r="Z505" t="s">
        <v>9551</v>
      </c>
      <c r="AA505" t="s">
        <v>9552</v>
      </c>
      <c r="AB505" t="s">
        <v>74</v>
      </c>
      <c r="AC505" t="s">
        <v>9553</v>
      </c>
      <c r="AD505" t="s">
        <v>9553</v>
      </c>
      <c r="AE505" t="s">
        <v>9554</v>
      </c>
      <c r="AF505" t="s">
        <v>74</v>
      </c>
      <c r="AG505">
        <v>60</v>
      </c>
      <c r="AH505">
        <v>18</v>
      </c>
      <c r="AI505">
        <v>22</v>
      </c>
      <c r="AJ505">
        <v>0</v>
      </c>
      <c r="AK505">
        <v>17</v>
      </c>
      <c r="AL505" t="s">
        <v>1132</v>
      </c>
      <c r="AM505" t="s">
        <v>147</v>
      </c>
      <c r="AN505" t="s">
        <v>1133</v>
      </c>
      <c r="AO505" t="s">
        <v>9555</v>
      </c>
      <c r="AP505" t="s">
        <v>74</v>
      </c>
      <c r="AQ505" t="s">
        <v>74</v>
      </c>
      <c r="AR505" t="s">
        <v>9556</v>
      </c>
      <c r="AS505" t="s">
        <v>9557</v>
      </c>
      <c r="AT505" t="s">
        <v>5170</v>
      </c>
      <c r="AU505">
        <v>2013</v>
      </c>
      <c r="AV505">
        <v>70</v>
      </c>
      <c r="AW505">
        <v>1</v>
      </c>
      <c r="AX505" t="s">
        <v>74</v>
      </c>
      <c r="AY505" t="s">
        <v>74</v>
      </c>
      <c r="AZ505" t="s">
        <v>74</v>
      </c>
      <c r="BA505" t="s">
        <v>74</v>
      </c>
      <c r="BB505">
        <v>204</v>
      </c>
      <c r="BC505">
        <v>214</v>
      </c>
      <c r="BD505" t="s">
        <v>74</v>
      </c>
      <c r="BE505" t="s">
        <v>9558</v>
      </c>
      <c r="BF505" t="str">
        <f>HYPERLINK("http://dx.doi.org/10.1093/icesjms/fss140","http://dx.doi.org/10.1093/icesjms/fss140")</f>
        <v>http://dx.doi.org/10.1093/icesjms/fss140</v>
      </c>
      <c r="BG505" t="s">
        <v>74</v>
      </c>
      <c r="BH505" t="s">
        <v>74</v>
      </c>
      <c r="BI505">
        <v>11</v>
      </c>
      <c r="BJ505" t="s">
        <v>9559</v>
      </c>
      <c r="BK505" t="s">
        <v>102</v>
      </c>
      <c r="BL505" t="s">
        <v>9559</v>
      </c>
      <c r="BM505" t="s">
        <v>9560</v>
      </c>
      <c r="BN505" t="s">
        <v>74</v>
      </c>
      <c r="BO505" t="s">
        <v>128</v>
      </c>
      <c r="BP505" t="s">
        <v>74</v>
      </c>
      <c r="BQ505" t="s">
        <v>74</v>
      </c>
      <c r="BR505" t="s">
        <v>105</v>
      </c>
      <c r="BS505" t="s">
        <v>9561</v>
      </c>
      <c r="BT505" t="str">
        <f>HYPERLINK("https%3A%2F%2Fwww.webofscience.com%2Fwos%2Fwoscc%2Ffull-record%2FWOS:000312644500018","View Full Record in Web of Science")</f>
        <v>View Full Record in Web of Science</v>
      </c>
    </row>
    <row r="506" spans="1:72" x14ac:dyDescent="0.15">
      <c r="A506" t="s">
        <v>72</v>
      </c>
      <c r="B506" t="s">
        <v>9562</v>
      </c>
      <c r="C506" t="s">
        <v>74</v>
      </c>
      <c r="D506" t="s">
        <v>74</v>
      </c>
      <c r="E506" t="s">
        <v>74</v>
      </c>
      <c r="F506" t="s">
        <v>9563</v>
      </c>
      <c r="G506" t="s">
        <v>74</v>
      </c>
      <c r="H506" t="s">
        <v>74</v>
      </c>
      <c r="I506" t="s">
        <v>9564</v>
      </c>
      <c r="J506" t="s">
        <v>9565</v>
      </c>
      <c r="K506" t="s">
        <v>74</v>
      </c>
      <c r="L506" t="s">
        <v>74</v>
      </c>
      <c r="M506" t="s">
        <v>78</v>
      </c>
      <c r="N506" t="s">
        <v>79</v>
      </c>
      <c r="O506" t="s">
        <v>74</v>
      </c>
      <c r="P506" t="s">
        <v>74</v>
      </c>
      <c r="Q506" t="s">
        <v>74</v>
      </c>
      <c r="R506" t="s">
        <v>74</v>
      </c>
      <c r="S506" t="s">
        <v>74</v>
      </c>
      <c r="T506" t="s">
        <v>9566</v>
      </c>
      <c r="U506" t="s">
        <v>9567</v>
      </c>
      <c r="V506" t="s">
        <v>9568</v>
      </c>
      <c r="W506" t="s">
        <v>9569</v>
      </c>
      <c r="X506" t="s">
        <v>946</v>
      </c>
      <c r="Y506" t="s">
        <v>9570</v>
      </c>
      <c r="Z506" t="s">
        <v>9571</v>
      </c>
      <c r="AA506" t="s">
        <v>9572</v>
      </c>
      <c r="AB506" t="s">
        <v>9573</v>
      </c>
      <c r="AC506" t="s">
        <v>9574</v>
      </c>
      <c r="AD506" t="s">
        <v>9575</v>
      </c>
      <c r="AE506" t="s">
        <v>9576</v>
      </c>
      <c r="AF506" t="s">
        <v>74</v>
      </c>
      <c r="AG506">
        <v>37</v>
      </c>
      <c r="AH506">
        <v>17</v>
      </c>
      <c r="AI506">
        <v>19</v>
      </c>
      <c r="AJ506">
        <v>1</v>
      </c>
      <c r="AK506">
        <v>46</v>
      </c>
      <c r="AL506" t="s">
        <v>214</v>
      </c>
      <c r="AM506" t="s">
        <v>215</v>
      </c>
      <c r="AN506" t="s">
        <v>216</v>
      </c>
      <c r="AO506" t="s">
        <v>9577</v>
      </c>
      <c r="AP506" t="s">
        <v>74</v>
      </c>
      <c r="AQ506" t="s">
        <v>74</v>
      </c>
      <c r="AR506" t="s">
        <v>9578</v>
      </c>
      <c r="AS506" t="s">
        <v>9579</v>
      </c>
      <c r="AT506" t="s">
        <v>5170</v>
      </c>
      <c r="AU506">
        <v>2013</v>
      </c>
      <c r="AV506">
        <v>36</v>
      </c>
      <c r="AW506">
        <v>1</v>
      </c>
      <c r="AX506" t="s">
        <v>74</v>
      </c>
      <c r="AY506" t="s">
        <v>74</v>
      </c>
      <c r="AZ506" t="s">
        <v>74</v>
      </c>
      <c r="BA506" t="s">
        <v>74</v>
      </c>
      <c r="BB506">
        <v>57</v>
      </c>
      <c r="BC506">
        <v>65</v>
      </c>
      <c r="BD506" t="s">
        <v>74</v>
      </c>
      <c r="BE506" t="s">
        <v>9580</v>
      </c>
      <c r="BF506" t="str">
        <f>HYPERLINK("http://dx.doi.org/10.1111/j.1365-2761.2012.01413.x","http://dx.doi.org/10.1111/j.1365-2761.2012.01413.x")</f>
        <v>http://dx.doi.org/10.1111/j.1365-2761.2012.01413.x</v>
      </c>
      <c r="BG506" t="s">
        <v>74</v>
      </c>
      <c r="BH506" t="s">
        <v>74</v>
      </c>
      <c r="BI506">
        <v>9</v>
      </c>
      <c r="BJ506" t="s">
        <v>9581</v>
      </c>
      <c r="BK506" t="s">
        <v>102</v>
      </c>
      <c r="BL506" t="s">
        <v>9581</v>
      </c>
      <c r="BM506" t="s">
        <v>9582</v>
      </c>
      <c r="BN506">
        <v>22947107</v>
      </c>
      <c r="BO506" t="s">
        <v>74</v>
      </c>
      <c r="BP506" t="s">
        <v>74</v>
      </c>
      <c r="BQ506" t="s">
        <v>74</v>
      </c>
      <c r="BR506" t="s">
        <v>105</v>
      </c>
      <c r="BS506" t="s">
        <v>9583</v>
      </c>
      <c r="BT506" t="str">
        <f>HYPERLINK("https%3A%2F%2Fwww.webofscience.com%2Fwos%2Fwoscc%2Ffull-record%2FWOS:000312648100006","View Full Record in Web of Science")</f>
        <v>View Full Record in Web of Science</v>
      </c>
    </row>
    <row r="507" spans="1:72" x14ac:dyDescent="0.15">
      <c r="A507" t="s">
        <v>72</v>
      </c>
      <c r="B507" t="s">
        <v>9584</v>
      </c>
      <c r="C507" t="s">
        <v>74</v>
      </c>
      <c r="D507" t="s">
        <v>74</v>
      </c>
      <c r="E507" t="s">
        <v>74</v>
      </c>
      <c r="F507" t="s">
        <v>9585</v>
      </c>
      <c r="G507" t="s">
        <v>74</v>
      </c>
      <c r="H507" t="s">
        <v>74</v>
      </c>
      <c r="I507" t="s">
        <v>9586</v>
      </c>
      <c r="J507" t="s">
        <v>1085</v>
      </c>
      <c r="K507" t="s">
        <v>74</v>
      </c>
      <c r="L507" t="s">
        <v>74</v>
      </c>
      <c r="M507" t="s">
        <v>78</v>
      </c>
      <c r="N507" t="s">
        <v>79</v>
      </c>
      <c r="O507" t="s">
        <v>74</v>
      </c>
      <c r="P507" t="s">
        <v>74</v>
      </c>
      <c r="Q507" t="s">
        <v>74</v>
      </c>
      <c r="R507" t="s">
        <v>74</v>
      </c>
      <c r="S507" t="s">
        <v>74</v>
      </c>
      <c r="T507" t="s">
        <v>74</v>
      </c>
      <c r="U507" t="s">
        <v>9587</v>
      </c>
      <c r="V507" t="s">
        <v>9588</v>
      </c>
      <c r="W507" t="s">
        <v>9589</v>
      </c>
      <c r="X507" t="s">
        <v>9590</v>
      </c>
      <c r="Y507" t="s">
        <v>9591</v>
      </c>
      <c r="Z507" t="s">
        <v>9592</v>
      </c>
      <c r="AA507" t="s">
        <v>9593</v>
      </c>
      <c r="AB507" t="s">
        <v>9594</v>
      </c>
      <c r="AC507" t="s">
        <v>9595</v>
      </c>
      <c r="AD507" t="s">
        <v>9596</v>
      </c>
      <c r="AE507" t="s">
        <v>9597</v>
      </c>
      <c r="AF507" t="s">
        <v>74</v>
      </c>
      <c r="AG507">
        <v>85</v>
      </c>
      <c r="AH507">
        <v>13</v>
      </c>
      <c r="AI507">
        <v>16</v>
      </c>
      <c r="AJ507">
        <v>1</v>
      </c>
      <c r="AK507">
        <v>35</v>
      </c>
      <c r="AL507" t="s">
        <v>397</v>
      </c>
      <c r="AM507" t="s">
        <v>398</v>
      </c>
      <c r="AN507" t="s">
        <v>399</v>
      </c>
      <c r="AO507" t="s">
        <v>1090</v>
      </c>
      <c r="AP507" t="s">
        <v>1091</v>
      </c>
      <c r="AQ507" t="s">
        <v>74</v>
      </c>
      <c r="AR507" t="s">
        <v>1092</v>
      </c>
      <c r="AS507" t="s">
        <v>1093</v>
      </c>
      <c r="AT507" t="s">
        <v>5170</v>
      </c>
      <c r="AU507">
        <v>2013</v>
      </c>
      <c r="AV507">
        <v>160</v>
      </c>
      <c r="AW507">
        <v>1</v>
      </c>
      <c r="AX507" t="s">
        <v>74</v>
      </c>
      <c r="AY507" t="s">
        <v>74</v>
      </c>
      <c r="AZ507" t="s">
        <v>74</v>
      </c>
      <c r="BA507" t="s">
        <v>74</v>
      </c>
      <c r="BB507">
        <v>67</v>
      </c>
      <c r="BC507">
        <v>80</v>
      </c>
      <c r="BD507" t="s">
        <v>74</v>
      </c>
      <c r="BE507" t="s">
        <v>9598</v>
      </c>
      <c r="BF507" t="str">
        <f>HYPERLINK("http://dx.doi.org/10.1007/s00227-012-2063-x","http://dx.doi.org/10.1007/s00227-012-2063-x")</f>
        <v>http://dx.doi.org/10.1007/s00227-012-2063-x</v>
      </c>
      <c r="BG507" t="s">
        <v>74</v>
      </c>
      <c r="BH507" t="s">
        <v>74</v>
      </c>
      <c r="BI507">
        <v>14</v>
      </c>
      <c r="BJ507" t="s">
        <v>223</v>
      </c>
      <c r="BK507" t="s">
        <v>102</v>
      </c>
      <c r="BL507" t="s">
        <v>223</v>
      </c>
      <c r="BM507" t="s">
        <v>9599</v>
      </c>
      <c r="BN507" t="s">
        <v>74</v>
      </c>
      <c r="BO507" t="s">
        <v>155</v>
      </c>
      <c r="BP507" t="s">
        <v>74</v>
      </c>
      <c r="BQ507" t="s">
        <v>74</v>
      </c>
      <c r="BR507" t="s">
        <v>105</v>
      </c>
      <c r="BS507" t="s">
        <v>9600</v>
      </c>
      <c r="BT507" t="str">
        <f>HYPERLINK("https%3A%2F%2Fwww.webofscience.com%2Fwos%2Fwoscc%2Ffull-record%2FWOS:000313047600007","View Full Record in Web of Science")</f>
        <v>View Full Record in Web of Science</v>
      </c>
    </row>
    <row r="508" spans="1:72" x14ac:dyDescent="0.15">
      <c r="A508" t="s">
        <v>72</v>
      </c>
      <c r="B508" t="s">
        <v>9601</v>
      </c>
      <c r="C508" t="s">
        <v>74</v>
      </c>
      <c r="D508" t="s">
        <v>74</v>
      </c>
      <c r="E508" t="s">
        <v>74</v>
      </c>
      <c r="F508" t="s">
        <v>9602</v>
      </c>
      <c r="G508" t="s">
        <v>74</v>
      </c>
      <c r="H508" t="s">
        <v>74</v>
      </c>
      <c r="I508" t="s">
        <v>9603</v>
      </c>
      <c r="J508" t="s">
        <v>964</v>
      </c>
      <c r="K508" t="s">
        <v>74</v>
      </c>
      <c r="L508" t="s">
        <v>74</v>
      </c>
      <c r="M508" t="s">
        <v>78</v>
      </c>
      <c r="N508" t="s">
        <v>79</v>
      </c>
      <c r="O508" t="s">
        <v>74</v>
      </c>
      <c r="P508" t="s">
        <v>74</v>
      </c>
      <c r="Q508" t="s">
        <v>74</v>
      </c>
      <c r="R508" t="s">
        <v>74</v>
      </c>
      <c r="S508" t="s">
        <v>74</v>
      </c>
      <c r="T508" t="s">
        <v>9604</v>
      </c>
      <c r="U508" t="s">
        <v>9605</v>
      </c>
      <c r="V508" t="s">
        <v>9606</v>
      </c>
      <c r="W508" t="s">
        <v>9607</v>
      </c>
      <c r="X508" t="s">
        <v>9608</v>
      </c>
      <c r="Y508" t="s">
        <v>9609</v>
      </c>
      <c r="Z508" t="s">
        <v>9610</v>
      </c>
      <c r="AA508" t="s">
        <v>9611</v>
      </c>
      <c r="AB508" t="s">
        <v>9612</v>
      </c>
      <c r="AC508" t="s">
        <v>9613</v>
      </c>
      <c r="AD508" t="s">
        <v>9614</v>
      </c>
      <c r="AE508" t="s">
        <v>9615</v>
      </c>
      <c r="AF508" t="s">
        <v>74</v>
      </c>
      <c r="AG508">
        <v>70</v>
      </c>
      <c r="AH508">
        <v>49</v>
      </c>
      <c r="AI508">
        <v>51</v>
      </c>
      <c r="AJ508">
        <v>0</v>
      </c>
      <c r="AK508">
        <v>45</v>
      </c>
      <c r="AL508" t="s">
        <v>500</v>
      </c>
      <c r="AM508" t="s">
        <v>296</v>
      </c>
      <c r="AN508" t="s">
        <v>501</v>
      </c>
      <c r="AO508" t="s">
        <v>976</v>
      </c>
      <c r="AP508" t="s">
        <v>977</v>
      </c>
      <c r="AQ508" t="s">
        <v>74</v>
      </c>
      <c r="AR508" t="s">
        <v>978</v>
      </c>
      <c r="AS508" t="s">
        <v>979</v>
      </c>
      <c r="AT508" t="s">
        <v>5170</v>
      </c>
      <c r="AU508">
        <v>2013</v>
      </c>
      <c r="AV508">
        <v>36</v>
      </c>
      <c r="AW508">
        <v>1</v>
      </c>
      <c r="AX508" t="s">
        <v>74</v>
      </c>
      <c r="AY508" t="s">
        <v>74</v>
      </c>
      <c r="AZ508" t="s">
        <v>74</v>
      </c>
      <c r="BA508" t="s">
        <v>74</v>
      </c>
      <c r="BB508">
        <v>13</v>
      </c>
      <c r="BC508">
        <v>25</v>
      </c>
      <c r="BD508" t="s">
        <v>74</v>
      </c>
      <c r="BE508" t="s">
        <v>9616</v>
      </c>
      <c r="BF508" t="str">
        <f>HYPERLINK("http://dx.doi.org/10.1007/s00300-012-1234-z","http://dx.doi.org/10.1007/s00300-012-1234-z")</f>
        <v>http://dx.doi.org/10.1007/s00300-012-1234-z</v>
      </c>
      <c r="BG508" t="s">
        <v>74</v>
      </c>
      <c r="BH508" t="s">
        <v>74</v>
      </c>
      <c r="BI508">
        <v>13</v>
      </c>
      <c r="BJ508" t="s">
        <v>981</v>
      </c>
      <c r="BK508" t="s">
        <v>102</v>
      </c>
      <c r="BL508" t="s">
        <v>958</v>
      </c>
      <c r="BM508" t="s">
        <v>9617</v>
      </c>
      <c r="BN508" t="s">
        <v>74</v>
      </c>
      <c r="BO508" t="s">
        <v>74</v>
      </c>
      <c r="BP508" t="s">
        <v>74</v>
      </c>
      <c r="BQ508" t="s">
        <v>74</v>
      </c>
      <c r="BR508" t="s">
        <v>105</v>
      </c>
      <c r="BS508" t="s">
        <v>9618</v>
      </c>
      <c r="BT508" t="str">
        <f>HYPERLINK("https%3A%2F%2Fwww.webofscience.com%2Fwos%2Fwoscc%2Ffull-record%2FWOS:000312729700002","View Full Record in Web of Science")</f>
        <v>View Full Record in Web of Science</v>
      </c>
    </row>
    <row r="509" spans="1:72" x14ac:dyDescent="0.15">
      <c r="A509" t="s">
        <v>72</v>
      </c>
      <c r="B509" t="s">
        <v>9619</v>
      </c>
      <c r="C509" t="s">
        <v>74</v>
      </c>
      <c r="D509" t="s">
        <v>74</v>
      </c>
      <c r="E509" t="s">
        <v>74</v>
      </c>
      <c r="F509" t="s">
        <v>9620</v>
      </c>
      <c r="G509" t="s">
        <v>74</v>
      </c>
      <c r="H509" t="s">
        <v>74</v>
      </c>
      <c r="I509" t="s">
        <v>9621</v>
      </c>
      <c r="J509" t="s">
        <v>964</v>
      </c>
      <c r="K509" t="s">
        <v>74</v>
      </c>
      <c r="L509" t="s">
        <v>74</v>
      </c>
      <c r="M509" t="s">
        <v>78</v>
      </c>
      <c r="N509" t="s">
        <v>79</v>
      </c>
      <c r="O509" t="s">
        <v>74</v>
      </c>
      <c r="P509" t="s">
        <v>74</v>
      </c>
      <c r="Q509" t="s">
        <v>74</v>
      </c>
      <c r="R509" t="s">
        <v>74</v>
      </c>
      <c r="S509" t="s">
        <v>74</v>
      </c>
      <c r="T509" t="s">
        <v>9622</v>
      </c>
      <c r="U509" t="s">
        <v>9623</v>
      </c>
      <c r="V509" t="s">
        <v>9624</v>
      </c>
      <c r="W509" t="s">
        <v>9625</v>
      </c>
      <c r="X509" t="s">
        <v>9626</v>
      </c>
      <c r="Y509" t="s">
        <v>9627</v>
      </c>
      <c r="Z509" t="s">
        <v>9628</v>
      </c>
      <c r="AA509" t="s">
        <v>9629</v>
      </c>
      <c r="AB509" t="s">
        <v>9630</v>
      </c>
      <c r="AC509" t="s">
        <v>9631</v>
      </c>
      <c r="AD509" t="s">
        <v>9632</v>
      </c>
      <c r="AE509" t="s">
        <v>9633</v>
      </c>
      <c r="AF509" t="s">
        <v>74</v>
      </c>
      <c r="AG509">
        <v>51</v>
      </c>
      <c r="AH509">
        <v>23</v>
      </c>
      <c r="AI509">
        <v>25</v>
      </c>
      <c r="AJ509">
        <v>1</v>
      </c>
      <c r="AK509">
        <v>37</v>
      </c>
      <c r="AL509" t="s">
        <v>500</v>
      </c>
      <c r="AM509" t="s">
        <v>296</v>
      </c>
      <c r="AN509" t="s">
        <v>525</v>
      </c>
      <c r="AO509" t="s">
        <v>976</v>
      </c>
      <c r="AP509" t="s">
        <v>977</v>
      </c>
      <c r="AQ509" t="s">
        <v>74</v>
      </c>
      <c r="AR509" t="s">
        <v>978</v>
      </c>
      <c r="AS509" t="s">
        <v>979</v>
      </c>
      <c r="AT509" t="s">
        <v>5170</v>
      </c>
      <c r="AU509">
        <v>2013</v>
      </c>
      <c r="AV509">
        <v>36</v>
      </c>
      <c r="AW509">
        <v>1</v>
      </c>
      <c r="AX509" t="s">
        <v>74</v>
      </c>
      <c r="AY509" t="s">
        <v>74</v>
      </c>
      <c r="AZ509" t="s">
        <v>74</v>
      </c>
      <c r="BA509" t="s">
        <v>74</v>
      </c>
      <c r="BB509">
        <v>73</v>
      </c>
      <c r="BC509">
        <v>86</v>
      </c>
      <c r="BD509" t="s">
        <v>74</v>
      </c>
      <c r="BE509" t="s">
        <v>9634</v>
      </c>
      <c r="BF509" t="str">
        <f>HYPERLINK("http://dx.doi.org/10.1007/s00300-012-1240-1","http://dx.doi.org/10.1007/s00300-012-1240-1")</f>
        <v>http://dx.doi.org/10.1007/s00300-012-1240-1</v>
      </c>
      <c r="BG509" t="s">
        <v>74</v>
      </c>
      <c r="BH509" t="s">
        <v>74</v>
      </c>
      <c r="BI509">
        <v>14</v>
      </c>
      <c r="BJ509" t="s">
        <v>981</v>
      </c>
      <c r="BK509" t="s">
        <v>102</v>
      </c>
      <c r="BL509" t="s">
        <v>958</v>
      </c>
      <c r="BM509" t="s">
        <v>9617</v>
      </c>
      <c r="BN509" t="s">
        <v>74</v>
      </c>
      <c r="BO509" t="s">
        <v>74</v>
      </c>
      <c r="BP509" t="s">
        <v>74</v>
      </c>
      <c r="BQ509" t="s">
        <v>74</v>
      </c>
      <c r="BR509" t="s">
        <v>105</v>
      </c>
      <c r="BS509" t="s">
        <v>9635</v>
      </c>
      <c r="BT509" t="str">
        <f>HYPERLINK("https%3A%2F%2Fwww.webofscience.com%2Fwos%2Fwoscc%2Ffull-record%2FWOS:000312729700007","View Full Record in Web of Science")</f>
        <v>View Full Record in Web of Science</v>
      </c>
    </row>
    <row r="510" spans="1:72" x14ac:dyDescent="0.15">
      <c r="A510" t="s">
        <v>72</v>
      </c>
      <c r="B510" t="s">
        <v>9636</v>
      </c>
      <c r="C510" t="s">
        <v>74</v>
      </c>
      <c r="D510" t="s">
        <v>74</v>
      </c>
      <c r="E510" t="s">
        <v>74</v>
      </c>
      <c r="F510" t="s">
        <v>9637</v>
      </c>
      <c r="G510" t="s">
        <v>74</v>
      </c>
      <c r="H510" t="s">
        <v>74</v>
      </c>
      <c r="I510" t="s">
        <v>9638</v>
      </c>
      <c r="J510" t="s">
        <v>964</v>
      </c>
      <c r="K510" t="s">
        <v>74</v>
      </c>
      <c r="L510" t="s">
        <v>74</v>
      </c>
      <c r="M510" t="s">
        <v>78</v>
      </c>
      <c r="N510" t="s">
        <v>79</v>
      </c>
      <c r="O510" t="s">
        <v>74</v>
      </c>
      <c r="P510" t="s">
        <v>74</v>
      </c>
      <c r="Q510" t="s">
        <v>74</v>
      </c>
      <c r="R510" t="s">
        <v>74</v>
      </c>
      <c r="S510" t="s">
        <v>74</v>
      </c>
      <c r="T510" t="s">
        <v>9639</v>
      </c>
      <c r="U510" t="s">
        <v>9640</v>
      </c>
      <c r="V510" t="s">
        <v>9641</v>
      </c>
      <c r="W510" t="s">
        <v>9642</v>
      </c>
      <c r="X510" t="s">
        <v>946</v>
      </c>
      <c r="Y510" t="s">
        <v>9643</v>
      </c>
      <c r="Z510" t="s">
        <v>9644</v>
      </c>
      <c r="AA510" t="s">
        <v>74</v>
      </c>
      <c r="AB510" t="s">
        <v>9645</v>
      </c>
      <c r="AC510" t="s">
        <v>9646</v>
      </c>
      <c r="AD510" t="s">
        <v>9647</v>
      </c>
      <c r="AE510" t="s">
        <v>9648</v>
      </c>
      <c r="AF510" t="s">
        <v>74</v>
      </c>
      <c r="AG510">
        <v>45</v>
      </c>
      <c r="AH510">
        <v>20</v>
      </c>
      <c r="AI510">
        <v>21</v>
      </c>
      <c r="AJ510">
        <v>0</v>
      </c>
      <c r="AK510">
        <v>66</v>
      </c>
      <c r="AL510" t="s">
        <v>500</v>
      </c>
      <c r="AM510" t="s">
        <v>296</v>
      </c>
      <c r="AN510" t="s">
        <v>525</v>
      </c>
      <c r="AO510" t="s">
        <v>976</v>
      </c>
      <c r="AP510" t="s">
        <v>74</v>
      </c>
      <c r="AQ510" t="s">
        <v>74</v>
      </c>
      <c r="AR510" t="s">
        <v>978</v>
      </c>
      <c r="AS510" t="s">
        <v>979</v>
      </c>
      <c r="AT510" t="s">
        <v>5170</v>
      </c>
      <c r="AU510">
        <v>2013</v>
      </c>
      <c r="AV510">
        <v>36</v>
      </c>
      <c r="AW510">
        <v>1</v>
      </c>
      <c r="AX510" t="s">
        <v>74</v>
      </c>
      <c r="AY510" t="s">
        <v>74</v>
      </c>
      <c r="AZ510" t="s">
        <v>74</v>
      </c>
      <c r="BA510" t="s">
        <v>74</v>
      </c>
      <c r="BB510">
        <v>127</v>
      </c>
      <c r="BC510">
        <v>136</v>
      </c>
      <c r="BD510" t="s">
        <v>74</v>
      </c>
      <c r="BE510" t="s">
        <v>9649</v>
      </c>
      <c r="BF510" t="str">
        <f>HYPERLINK("http://dx.doi.org/10.1007/s00300-012-1243-y","http://dx.doi.org/10.1007/s00300-012-1243-y")</f>
        <v>http://dx.doi.org/10.1007/s00300-012-1243-y</v>
      </c>
      <c r="BG510" t="s">
        <v>74</v>
      </c>
      <c r="BH510" t="s">
        <v>74</v>
      </c>
      <c r="BI510">
        <v>10</v>
      </c>
      <c r="BJ510" t="s">
        <v>981</v>
      </c>
      <c r="BK510" t="s">
        <v>102</v>
      </c>
      <c r="BL510" t="s">
        <v>958</v>
      </c>
      <c r="BM510" t="s">
        <v>9617</v>
      </c>
      <c r="BN510" t="s">
        <v>74</v>
      </c>
      <c r="BO510" t="s">
        <v>74</v>
      </c>
      <c r="BP510" t="s">
        <v>74</v>
      </c>
      <c r="BQ510" t="s">
        <v>74</v>
      </c>
      <c r="BR510" t="s">
        <v>105</v>
      </c>
      <c r="BS510" t="s">
        <v>9650</v>
      </c>
      <c r="BT510" t="str">
        <f>HYPERLINK("https%3A%2F%2Fwww.webofscience.com%2Fwos%2Fwoscc%2Ffull-record%2FWOS:000312729700010","View Full Record in Web of Science")</f>
        <v>View Full Record in Web of Science</v>
      </c>
    </row>
    <row r="511" spans="1:72" x14ac:dyDescent="0.15">
      <c r="A511" t="s">
        <v>72</v>
      </c>
      <c r="B511" t="s">
        <v>9651</v>
      </c>
      <c r="C511" t="s">
        <v>74</v>
      </c>
      <c r="D511" t="s">
        <v>74</v>
      </c>
      <c r="E511" t="s">
        <v>74</v>
      </c>
      <c r="F511" t="s">
        <v>9652</v>
      </c>
      <c r="G511" t="s">
        <v>74</v>
      </c>
      <c r="H511" t="s">
        <v>74</v>
      </c>
      <c r="I511" t="s">
        <v>9653</v>
      </c>
      <c r="J511" t="s">
        <v>9654</v>
      </c>
      <c r="K511" t="s">
        <v>74</v>
      </c>
      <c r="L511" t="s">
        <v>74</v>
      </c>
      <c r="M511" t="s">
        <v>78</v>
      </c>
      <c r="N511" t="s">
        <v>79</v>
      </c>
      <c r="O511" t="s">
        <v>74</v>
      </c>
      <c r="P511" t="s">
        <v>74</v>
      </c>
      <c r="Q511" t="s">
        <v>74</v>
      </c>
      <c r="R511" t="s">
        <v>74</v>
      </c>
      <c r="S511" t="s">
        <v>74</v>
      </c>
      <c r="T511" t="s">
        <v>74</v>
      </c>
      <c r="U511" t="s">
        <v>9655</v>
      </c>
      <c r="V511" t="s">
        <v>9656</v>
      </c>
      <c r="W511" t="s">
        <v>9657</v>
      </c>
      <c r="X511" t="s">
        <v>9658</v>
      </c>
      <c r="Y511" t="s">
        <v>9659</v>
      </c>
      <c r="Z511" t="s">
        <v>9660</v>
      </c>
      <c r="AA511" t="s">
        <v>9661</v>
      </c>
      <c r="AB511" t="s">
        <v>74</v>
      </c>
      <c r="AC511" t="s">
        <v>9662</v>
      </c>
      <c r="AD511" t="s">
        <v>9663</v>
      </c>
      <c r="AE511" t="s">
        <v>9664</v>
      </c>
      <c r="AF511" t="s">
        <v>74</v>
      </c>
      <c r="AG511">
        <v>15</v>
      </c>
      <c r="AH511">
        <v>3</v>
      </c>
      <c r="AI511">
        <v>4</v>
      </c>
      <c r="AJ511">
        <v>1</v>
      </c>
      <c r="AK511">
        <v>16</v>
      </c>
      <c r="AL511" t="s">
        <v>9665</v>
      </c>
      <c r="AM511" t="s">
        <v>9666</v>
      </c>
      <c r="AN511" t="s">
        <v>9667</v>
      </c>
      <c r="AO511" t="s">
        <v>9668</v>
      </c>
      <c r="AP511" t="s">
        <v>74</v>
      </c>
      <c r="AQ511" t="s">
        <v>74</v>
      </c>
      <c r="AR511" t="s">
        <v>9669</v>
      </c>
      <c r="AS511" t="s">
        <v>9670</v>
      </c>
      <c r="AT511" t="s">
        <v>5170</v>
      </c>
      <c r="AU511">
        <v>2013</v>
      </c>
      <c r="AV511">
        <v>111</v>
      </c>
      <c r="AW511" t="s">
        <v>2789</v>
      </c>
      <c r="AX511" t="s">
        <v>74</v>
      </c>
      <c r="AY511" t="s">
        <v>74</v>
      </c>
      <c r="AZ511" t="s">
        <v>74</v>
      </c>
      <c r="BA511" t="s">
        <v>74</v>
      </c>
      <c r="BB511">
        <v>265</v>
      </c>
      <c r="BC511">
        <v>274</v>
      </c>
      <c r="BD511" t="s">
        <v>74</v>
      </c>
      <c r="BE511" t="s">
        <v>9671</v>
      </c>
      <c r="BF511" t="str">
        <f>HYPERLINK("http://dx.doi.org/10.1007/s00704-012-0645-7","http://dx.doi.org/10.1007/s00704-012-0645-7")</f>
        <v>http://dx.doi.org/10.1007/s00704-012-0645-7</v>
      </c>
      <c r="BG511" t="s">
        <v>74</v>
      </c>
      <c r="BH511" t="s">
        <v>74</v>
      </c>
      <c r="BI511">
        <v>10</v>
      </c>
      <c r="BJ511" t="s">
        <v>101</v>
      </c>
      <c r="BK511" t="s">
        <v>102</v>
      </c>
      <c r="BL511" t="s">
        <v>101</v>
      </c>
      <c r="BM511" t="s">
        <v>9672</v>
      </c>
      <c r="BN511" t="s">
        <v>74</v>
      </c>
      <c r="BO511" t="s">
        <v>74</v>
      </c>
      <c r="BP511" t="s">
        <v>74</v>
      </c>
      <c r="BQ511" t="s">
        <v>74</v>
      </c>
      <c r="BR511" t="s">
        <v>105</v>
      </c>
      <c r="BS511" t="s">
        <v>9673</v>
      </c>
      <c r="BT511" t="str">
        <f>HYPERLINK("https%3A%2F%2Fwww.webofscience.com%2Fwos%2Fwoscc%2Ffull-record%2FWOS:000313128200021","View Full Record in Web of Science")</f>
        <v>View Full Record in Web of Science</v>
      </c>
    </row>
    <row r="512" spans="1:72" x14ac:dyDescent="0.15">
      <c r="A512" t="s">
        <v>72</v>
      </c>
      <c r="B512" t="s">
        <v>9674</v>
      </c>
      <c r="C512" t="s">
        <v>74</v>
      </c>
      <c r="D512" t="s">
        <v>74</v>
      </c>
      <c r="E512" t="s">
        <v>74</v>
      </c>
      <c r="F512" t="s">
        <v>9675</v>
      </c>
      <c r="G512" t="s">
        <v>74</v>
      </c>
      <c r="H512" t="s">
        <v>74</v>
      </c>
      <c r="I512" t="s">
        <v>9676</v>
      </c>
      <c r="J512" t="s">
        <v>9677</v>
      </c>
      <c r="K512" t="s">
        <v>74</v>
      </c>
      <c r="L512" t="s">
        <v>74</v>
      </c>
      <c r="M512" t="s">
        <v>78</v>
      </c>
      <c r="N512" t="s">
        <v>79</v>
      </c>
      <c r="O512" t="s">
        <v>74</v>
      </c>
      <c r="P512" t="s">
        <v>74</v>
      </c>
      <c r="Q512" t="s">
        <v>74</v>
      </c>
      <c r="R512" t="s">
        <v>74</v>
      </c>
      <c r="S512" t="s">
        <v>74</v>
      </c>
      <c r="T512" t="s">
        <v>9678</v>
      </c>
      <c r="U512" t="s">
        <v>9679</v>
      </c>
      <c r="V512" t="s">
        <v>9680</v>
      </c>
      <c r="W512" t="s">
        <v>9681</v>
      </c>
      <c r="X512" t="s">
        <v>9682</v>
      </c>
      <c r="Y512" t="s">
        <v>9683</v>
      </c>
      <c r="Z512" t="s">
        <v>9684</v>
      </c>
      <c r="AA512" t="s">
        <v>74</v>
      </c>
      <c r="AB512" t="s">
        <v>74</v>
      </c>
      <c r="AC512" t="s">
        <v>9685</v>
      </c>
      <c r="AD512" t="s">
        <v>9686</v>
      </c>
      <c r="AE512" t="s">
        <v>9687</v>
      </c>
      <c r="AF512" t="s">
        <v>74</v>
      </c>
      <c r="AG512">
        <v>50</v>
      </c>
      <c r="AH512">
        <v>4</v>
      </c>
      <c r="AI512">
        <v>6</v>
      </c>
      <c r="AJ512">
        <v>0</v>
      </c>
      <c r="AK512">
        <v>23</v>
      </c>
      <c r="AL512" t="s">
        <v>321</v>
      </c>
      <c r="AM512" t="s">
        <v>322</v>
      </c>
      <c r="AN512" t="s">
        <v>323</v>
      </c>
      <c r="AO512" t="s">
        <v>9688</v>
      </c>
      <c r="AP512" t="s">
        <v>9689</v>
      </c>
      <c r="AQ512" t="s">
        <v>74</v>
      </c>
      <c r="AR512" t="s">
        <v>9690</v>
      </c>
      <c r="AS512" t="s">
        <v>9691</v>
      </c>
      <c r="AT512" t="s">
        <v>5170</v>
      </c>
      <c r="AU512">
        <v>2013</v>
      </c>
      <c r="AV512">
        <v>30</v>
      </c>
      <c r="AW512">
        <v>1</v>
      </c>
      <c r="AX512" t="s">
        <v>74</v>
      </c>
      <c r="AY512" t="s">
        <v>74</v>
      </c>
      <c r="AZ512" t="s">
        <v>74</v>
      </c>
      <c r="BA512" t="s">
        <v>74</v>
      </c>
      <c r="BB512">
        <v>29</v>
      </c>
      <c r="BC512">
        <v>40</v>
      </c>
      <c r="BD512" t="s">
        <v>74</v>
      </c>
      <c r="BE512" t="s">
        <v>9692</v>
      </c>
      <c r="BF512" t="str">
        <f>HYPERLINK("http://dx.doi.org/10.1007/s00376-012-2045-4","http://dx.doi.org/10.1007/s00376-012-2045-4")</f>
        <v>http://dx.doi.org/10.1007/s00376-012-2045-4</v>
      </c>
      <c r="BG512" t="s">
        <v>74</v>
      </c>
      <c r="BH512" t="s">
        <v>74</v>
      </c>
      <c r="BI512">
        <v>12</v>
      </c>
      <c r="BJ512" t="s">
        <v>101</v>
      </c>
      <c r="BK512" t="s">
        <v>102</v>
      </c>
      <c r="BL512" t="s">
        <v>101</v>
      </c>
      <c r="BM512" t="s">
        <v>9693</v>
      </c>
      <c r="BN512" t="s">
        <v>74</v>
      </c>
      <c r="BO512" t="s">
        <v>74</v>
      </c>
      <c r="BP512" t="s">
        <v>74</v>
      </c>
      <c r="BQ512" t="s">
        <v>74</v>
      </c>
      <c r="BR512" t="s">
        <v>105</v>
      </c>
      <c r="BS512" t="s">
        <v>9694</v>
      </c>
      <c r="BT512" t="str">
        <f>HYPERLINK("https%3A%2F%2Fwww.webofscience.com%2Fwos%2Fwoscc%2Ffull-record%2FWOS:000312636500004","View Full Record in Web of Science")</f>
        <v>View Full Record in Web of Science</v>
      </c>
    </row>
    <row r="513" spans="1:72" x14ac:dyDescent="0.15">
      <c r="A513" t="s">
        <v>72</v>
      </c>
      <c r="B513" t="s">
        <v>9695</v>
      </c>
      <c r="C513" t="s">
        <v>74</v>
      </c>
      <c r="D513" t="s">
        <v>74</v>
      </c>
      <c r="E513" t="s">
        <v>74</v>
      </c>
      <c r="F513" t="s">
        <v>9696</v>
      </c>
      <c r="G513" t="s">
        <v>74</v>
      </c>
      <c r="H513" t="s">
        <v>74</v>
      </c>
      <c r="I513" t="s">
        <v>9697</v>
      </c>
      <c r="J513" t="s">
        <v>9677</v>
      </c>
      <c r="K513" t="s">
        <v>74</v>
      </c>
      <c r="L513" t="s">
        <v>74</v>
      </c>
      <c r="M513" t="s">
        <v>78</v>
      </c>
      <c r="N513" t="s">
        <v>79</v>
      </c>
      <c r="O513" t="s">
        <v>74</v>
      </c>
      <c r="P513" t="s">
        <v>74</v>
      </c>
      <c r="Q513" t="s">
        <v>74</v>
      </c>
      <c r="R513" t="s">
        <v>74</v>
      </c>
      <c r="S513" t="s">
        <v>74</v>
      </c>
      <c r="T513" t="s">
        <v>9698</v>
      </c>
      <c r="U513" t="s">
        <v>9699</v>
      </c>
      <c r="V513" t="s">
        <v>9700</v>
      </c>
      <c r="W513" t="s">
        <v>9701</v>
      </c>
      <c r="X513" t="s">
        <v>9702</v>
      </c>
      <c r="Y513" t="s">
        <v>9703</v>
      </c>
      <c r="Z513" t="s">
        <v>9704</v>
      </c>
      <c r="AA513" t="s">
        <v>74</v>
      </c>
      <c r="AB513" t="s">
        <v>74</v>
      </c>
      <c r="AC513" t="s">
        <v>9705</v>
      </c>
      <c r="AD513" t="s">
        <v>9706</v>
      </c>
      <c r="AE513" t="s">
        <v>9707</v>
      </c>
      <c r="AF513" t="s">
        <v>74</v>
      </c>
      <c r="AG513">
        <v>19</v>
      </c>
      <c r="AH513">
        <v>3</v>
      </c>
      <c r="AI513">
        <v>3</v>
      </c>
      <c r="AJ513">
        <v>0</v>
      </c>
      <c r="AK513">
        <v>49</v>
      </c>
      <c r="AL513" t="s">
        <v>321</v>
      </c>
      <c r="AM513" t="s">
        <v>322</v>
      </c>
      <c r="AN513" t="s">
        <v>323</v>
      </c>
      <c r="AO513" t="s">
        <v>9688</v>
      </c>
      <c r="AP513" t="s">
        <v>9689</v>
      </c>
      <c r="AQ513" t="s">
        <v>74</v>
      </c>
      <c r="AR513" t="s">
        <v>9690</v>
      </c>
      <c r="AS513" t="s">
        <v>9691</v>
      </c>
      <c r="AT513" t="s">
        <v>5170</v>
      </c>
      <c r="AU513">
        <v>2013</v>
      </c>
      <c r="AV513">
        <v>30</v>
      </c>
      <c r="AW513">
        <v>1</v>
      </c>
      <c r="AX513" t="s">
        <v>74</v>
      </c>
      <c r="AY513" t="s">
        <v>74</v>
      </c>
      <c r="AZ513" t="s">
        <v>74</v>
      </c>
      <c r="BA513" t="s">
        <v>74</v>
      </c>
      <c r="BB513">
        <v>41</v>
      </c>
      <c r="BC513">
        <v>47</v>
      </c>
      <c r="BD513" t="s">
        <v>74</v>
      </c>
      <c r="BE513" t="s">
        <v>9708</v>
      </c>
      <c r="BF513" t="str">
        <f>HYPERLINK("http://dx.doi.org/10.1007/s00376-012-2027-6","http://dx.doi.org/10.1007/s00376-012-2027-6")</f>
        <v>http://dx.doi.org/10.1007/s00376-012-2027-6</v>
      </c>
      <c r="BG513" t="s">
        <v>74</v>
      </c>
      <c r="BH513" t="s">
        <v>74</v>
      </c>
      <c r="BI513">
        <v>7</v>
      </c>
      <c r="BJ513" t="s">
        <v>101</v>
      </c>
      <c r="BK513" t="s">
        <v>102</v>
      </c>
      <c r="BL513" t="s">
        <v>101</v>
      </c>
      <c r="BM513" t="s">
        <v>9693</v>
      </c>
      <c r="BN513" t="s">
        <v>74</v>
      </c>
      <c r="BO513" t="s">
        <v>74</v>
      </c>
      <c r="BP513" t="s">
        <v>74</v>
      </c>
      <c r="BQ513" t="s">
        <v>74</v>
      </c>
      <c r="BR513" t="s">
        <v>105</v>
      </c>
      <c r="BS513" t="s">
        <v>9709</v>
      </c>
      <c r="BT513" t="str">
        <f>HYPERLINK("https%3A%2F%2Fwww.webofscience.com%2Fwos%2Fwoscc%2Ffull-record%2FWOS:000312636500005","View Full Record in Web of Science")</f>
        <v>View Full Record in Web of Science</v>
      </c>
    </row>
    <row r="514" spans="1:72" x14ac:dyDescent="0.15">
      <c r="A514" t="s">
        <v>72</v>
      </c>
      <c r="B514" t="s">
        <v>9710</v>
      </c>
      <c r="C514" t="s">
        <v>74</v>
      </c>
      <c r="D514" t="s">
        <v>74</v>
      </c>
      <c r="E514" t="s">
        <v>74</v>
      </c>
      <c r="F514" t="s">
        <v>9711</v>
      </c>
      <c r="G514" t="s">
        <v>74</v>
      </c>
      <c r="H514" t="s">
        <v>74</v>
      </c>
      <c r="I514" t="s">
        <v>9712</v>
      </c>
      <c r="J514" t="s">
        <v>9713</v>
      </c>
      <c r="K514" t="s">
        <v>74</v>
      </c>
      <c r="L514" t="s">
        <v>74</v>
      </c>
      <c r="M514" t="s">
        <v>78</v>
      </c>
      <c r="N514" t="s">
        <v>79</v>
      </c>
      <c r="O514" t="s">
        <v>74</v>
      </c>
      <c r="P514" t="s">
        <v>74</v>
      </c>
      <c r="Q514" t="s">
        <v>74</v>
      </c>
      <c r="R514" t="s">
        <v>74</v>
      </c>
      <c r="S514" t="s">
        <v>74</v>
      </c>
      <c r="T514" t="s">
        <v>9714</v>
      </c>
      <c r="U514" t="s">
        <v>9715</v>
      </c>
      <c r="V514" t="s">
        <v>9716</v>
      </c>
      <c r="W514" t="s">
        <v>9717</v>
      </c>
      <c r="X514" t="s">
        <v>9718</v>
      </c>
      <c r="Y514" t="s">
        <v>9719</v>
      </c>
      <c r="Z514" t="s">
        <v>9720</v>
      </c>
      <c r="AA514" t="s">
        <v>74</v>
      </c>
      <c r="AB514" t="s">
        <v>74</v>
      </c>
      <c r="AC514" t="s">
        <v>9721</v>
      </c>
      <c r="AD514" t="s">
        <v>9722</v>
      </c>
      <c r="AE514" t="s">
        <v>9723</v>
      </c>
      <c r="AF514" t="s">
        <v>74</v>
      </c>
      <c r="AG514">
        <v>63</v>
      </c>
      <c r="AH514">
        <v>6</v>
      </c>
      <c r="AI514">
        <v>7</v>
      </c>
      <c r="AJ514">
        <v>0</v>
      </c>
      <c r="AK514">
        <v>26</v>
      </c>
      <c r="AL514" t="s">
        <v>9724</v>
      </c>
      <c r="AM514" t="s">
        <v>296</v>
      </c>
      <c r="AN514" t="s">
        <v>9725</v>
      </c>
      <c r="AO514" t="s">
        <v>9726</v>
      </c>
      <c r="AP514" t="s">
        <v>74</v>
      </c>
      <c r="AQ514" t="s">
        <v>74</v>
      </c>
      <c r="AR514" t="s">
        <v>9727</v>
      </c>
      <c r="AS514" t="s">
        <v>9728</v>
      </c>
      <c r="AT514" t="s">
        <v>5170</v>
      </c>
      <c r="AU514">
        <v>2013</v>
      </c>
      <c r="AV514">
        <v>164</v>
      </c>
      <c r="AW514">
        <v>1</v>
      </c>
      <c r="AX514" t="s">
        <v>74</v>
      </c>
      <c r="AY514" t="s">
        <v>74</v>
      </c>
      <c r="AZ514" t="s">
        <v>74</v>
      </c>
      <c r="BA514" t="s">
        <v>74</v>
      </c>
      <c r="BB514">
        <v>111</v>
      </c>
      <c r="BC514">
        <v>118</v>
      </c>
      <c r="BD514" t="s">
        <v>74</v>
      </c>
      <c r="BE514" t="s">
        <v>9729</v>
      </c>
      <c r="BF514" t="str">
        <f>HYPERLINK("http://dx.doi.org/10.1016/j.cbpa.2012.10.017","http://dx.doi.org/10.1016/j.cbpa.2012.10.017")</f>
        <v>http://dx.doi.org/10.1016/j.cbpa.2012.10.017</v>
      </c>
      <c r="BG514" t="s">
        <v>74</v>
      </c>
      <c r="BH514" t="s">
        <v>74</v>
      </c>
      <c r="BI514">
        <v>8</v>
      </c>
      <c r="BJ514" t="s">
        <v>9730</v>
      </c>
      <c r="BK514" t="s">
        <v>102</v>
      </c>
      <c r="BL514" t="s">
        <v>9730</v>
      </c>
      <c r="BM514" t="s">
        <v>9731</v>
      </c>
      <c r="BN514">
        <v>23085291</v>
      </c>
      <c r="BO514" t="s">
        <v>74</v>
      </c>
      <c r="BP514" t="s">
        <v>74</v>
      </c>
      <c r="BQ514" t="s">
        <v>74</v>
      </c>
      <c r="BR514" t="s">
        <v>105</v>
      </c>
      <c r="BS514" t="s">
        <v>9732</v>
      </c>
      <c r="BT514" t="str">
        <f>HYPERLINK("https%3A%2F%2Fwww.webofscience.com%2Fwos%2Fwoscc%2Ffull-record%2FWOS:000312421400015","View Full Record in Web of Science")</f>
        <v>View Full Record in Web of Science</v>
      </c>
    </row>
    <row r="515" spans="1:72" x14ac:dyDescent="0.15">
      <c r="A515" t="s">
        <v>72</v>
      </c>
      <c r="B515" t="s">
        <v>9733</v>
      </c>
      <c r="C515" t="s">
        <v>74</v>
      </c>
      <c r="D515" t="s">
        <v>74</v>
      </c>
      <c r="E515" t="s">
        <v>74</v>
      </c>
      <c r="F515" t="s">
        <v>9734</v>
      </c>
      <c r="G515" t="s">
        <v>74</v>
      </c>
      <c r="H515" t="s">
        <v>74</v>
      </c>
      <c r="I515" t="s">
        <v>9735</v>
      </c>
      <c r="J515" t="s">
        <v>9713</v>
      </c>
      <c r="K515" t="s">
        <v>74</v>
      </c>
      <c r="L515" t="s">
        <v>74</v>
      </c>
      <c r="M515" t="s">
        <v>78</v>
      </c>
      <c r="N515" t="s">
        <v>79</v>
      </c>
      <c r="O515" t="s">
        <v>74</v>
      </c>
      <c r="P515" t="s">
        <v>74</v>
      </c>
      <c r="Q515" t="s">
        <v>74</v>
      </c>
      <c r="R515" t="s">
        <v>74</v>
      </c>
      <c r="S515" t="s">
        <v>74</v>
      </c>
      <c r="T515" t="s">
        <v>9736</v>
      </c>
      <c r="U515" t="s">
        <v>9737</v>
      </c>
      <c r="V515" t="s">
        <v>9738</v>
      </c>
      <c r="W515" t="s">
        <v>9739</v>
      </c>
      <c r="X515" t="s">
        <v>9740</v>
      </c>
      <c r="Y515" t="s">
        <v>9741</v>
      </c>
      <c r="Z515" t="s">
        <v>9742</v>
      </c>
      <c r="AA515" t="s">
        <v>74</v>
      </c>
      <c r="AB515" t="s">
        <v>74</v>
      </c>
      <c r="AC515" t="s">
        <v>9743</v>
      </c>
      <c r="AD515" t="s">
        <v>9744</v>
      </c>
      <c r="AE515" t="s">
        <v>9745</v>
      </c>
      <c r="AF515" t="s">
        <v>74</v>
      </c>
      <c r="AG515">
        <v>69</v>
      </c>
      <c r="AH515">
        <v>68</v>
      </c>
      <c r="AI515">
        <v>81</v>
      </c>
      <c r="AJ515">
        <v>2</v>
      </c>
      <c r="AK515">
        <v>140</v>
      </c>
      <c r="AL515" t="s">
        <v>9724</v>
      </c>
      <c r="AM515" t="s">
        <v>296</v>
      </c>
      <c r="AN515" t="s">
        <v>9725</v>
      </c>
      <c r="AO515" t="s">
        <v>9726</v>
      </c>
      <c r="AP515" t="s">
        <v>74</v>
      </c>
      <c r="AQ515" t="s">
        <v>74</v>
      </c>
      <c r="AR515" t="s">
        <v>9727</v>
      </c>
      <c r="AS515" t="s">
        <v>9728</v>
      </c>
      <c r="AT515" t="s">
        <v>5170</v>
      </c>
      <c r="AU515">
        <v>2013</v>
      </c>
      <c r="AV515">
        <v>164</v>
      </c>
      <c r="AW515">
        <v>1</v>
      </c>
      <c r="AX515" t="s">
        <v>74</v>
      </c>
      <c r="AY515" t="s">
        <v>74</v>
      </c>
      <c r="AZ515" t="s">
        <v>74</v>
      </c>
      <c r="BA515" t="s">
        <v>74</v>
      </c>
      <c r="BB515">
        <v>154</v>
      </c>
      <c r="BC515">
        <v>161</v>
      </c>
      <c r="BD515" t="s">
        <v>74</v>
      </c>
      <c r="BE515" t="s">
        <v>9746</v>
      </c>
      <c r="BF515" t="str">
        <f>HYPERLINK("http://dx.doi.org/10.1016/j.cbpa.2012.07.016","http://dx.doi.org/10.1016/j.cbpa.2012.07.016")</f>
        <v>http://dx.doi.org/10.1016/j.cbpa.2012.07.016</v>
      </c>
      <c r="BG515" t="s">
        <v>74</v>
      </c>
      <c r="BH515" t="s">
        <v>74</v>
      </c>
      <c r="BI515">
        <v>8</v>
      </c>
      <c r="BJ515" t="s">
        <v>9730</v>
      </c>
      <c r="BK515" t="s">
        <v>102</v>
      </c>
      <c r="BL515" t="s">
        <v>9730</v>
      </c>
      <c r="BM515" t="s">
        <v>9731</v>
      </c>
      <c r="BN515">
        <v>22884997</v>
      </c>
      <c r="BO515" t="s">
        <v>74</v>
      </c>
      <c r="BP515" t="s">
        <v>74</v>
      </c>
      <c r="BQ515" t="s">
        <v>74</v>
      </c>
      <c r="BR515" t="s">
        <v>105</v>
      </c>
      <c r="BS515" t="s">
        <v>9747</v>
      </c>
      <c r="BT515" t="str">
        <f>HYPERLINK("https%3A%2F%2Fwww.webofscience.com%2Fwos%2Fwoscc%2Ffull-record%2FWOS:000312421400019","View Full Record in Web of Science")</f>
        <v>View Full Record in Web of Science</v>
      </c>
    </row>
    <row r="516" spans="1:72" x14ac:dyDescent="0.15">
      <c r="A516" t="s">
        <v>72</v>
      </c>
      <c r="B516" t="s">
        <v>9748</v>
      </c>
      <c r="C516" t="s">
        <v>74</v>
      </c>
      <c r="D516" t="s">
        <v>74</v>
      </c>
      <c r="E516" t="s">
        <v>74</v>
      </c>
      <c r="F516" t="s">
        <v>9749</v>
      </c>
      <c r="G516" t="s">
        <v>74</v>
      </c>
      <c r="H516" t="s">
        <v>74</v>
      </c>
      <c r="I516" t="s">
        <v>9750</v>
      </c>
      <c r="J516" t="s">
        <v>9751</v>
      </c>
      <c r="K516" t="s">
        <v>74</v>
      </c>
      <c r="L516" t="s">
        <v>74</v>
      </c>
      <c r="M516" t="s">
        <v>78</v>
      </c>
      <c r="N516" t="s">
        <v>79</v>
      </c>
      <c r="O516" t="s">
        <v>74</v>
      </c>
      <c r="P516" t="s">
        <v>74</v>
      </c>
      <c r="Q516" t="s">
        <v>74</v>
      </c>
      <c r="R516" t="s">
        <v>74</v>
      </c>
      <c r="S516" t="s">
        <v>74</v>
      </c>
      <c r="T516" t="s">
        <v>9752</v>
      </c>
      <c r="U516" t="s">
        <v>9753</v>
      </c>
      <c r="V516" t="s">
        <v>9754</v>
      </c>
      <c r="W516" t="s">
        <v>9755</v>
      </c>
      <c r="X516" t="s">
        <v>9756</v>
      </c>
      <c r="Y516" t="s">
        <v>9757</v>
      </c>
      <c r="Z516" t="s">
        <v>9758</v>
      </c>
      <c r="AA516" t="s">
        <v>9759</v>
      </c>
      <c r="AB516" t="s">
        <v>9760</v>
      </c>
      <c r="AC516" t="s">
        <v>9761</v>
      </c>
      <c r="AD516" t="s">
        <v>9761</v>
      </c>
      <c r="AE516" t="s">
        <v>9762</v>
      </c>
      <c r="AF516" t="s">
        <v>74</v>
      </c>
      <c r="AG516">
        <v>40</v>
      </c>
      <c r="AH516">
        <v>17</v>
      </c>
      <c r="AI516">
        <v>18</v>
      </c>
      <c r="AJ516">
        <v>0</v>
      </c>
      <c r="AK516">
        <v>33</v>
      </c>
      <c r="AL516" t="s">
        <v>541</v>
      </c>
      <c r="AM516" t="s">
        <v>542</v>
      </c>
      <c r="AN516" t="s">
        <v>543</v>
      </c>
      <c r="AO516" t="s">
        <v>9763</v>
      </c>
      <c r="AP516" t="s">
        <v>9764</v>
      </c>
      <c r="AQ516" t="s">
        <v>74</v>
      </c>
      <c r="AR516" t="s">
        <v>9765</v>
      </c>
      <c r="AS516" t="s">
        <v>9766</v>
      </c>
      <c r="AT516" t="s">
        <v>5170</v>
      </c>
      <c r="AU516">
        <v>2013</v>
      </c>
      <c r="AV516">
        <v>137</v>
      </c>
      <c r="AW516" t="s">
        <v>74</v>
      </c>
      <c r="AX516" t="s">
        <v>74</v>
      </c>
      <c r="AY516" t="s">
        <v>74</v>
      </c>
      <c r="AZ516" t="s">
        <v>74</v>
      </c>
      <c r="BA516" t="s">
        <v>74</v>
      </c>
      <c r="BB516">
        <v>116</v>
      </c>
      <c r="BC516">
        <v>128</v>
      </c>
      <c r="BD516" t="s">
        <v>74</v>
      </c>
      <c r="BE516" t="s">
        <v>9767</v>
      </c>
      <c r="BF516" t="str">
        <f>HYPERLINK("http://dx.doi.org/10.1016/j.fishres.2012.09.017","http://dx.doi.org/10.1016/j.fishres.2012.09.017")</f>
        <v>http://dx.doi.org/10.1016/j.fishres.2012.09.017</v>
      </c>
      <c r="BG516" t="s">
        <v>74</v>
      </c>
      <c r="BH516" t="s">
        <v>74</v>
      </c>
      <c r="BI516">
        <v>13</v>
      </c>
      <c r="BJ516" t="s">
        <v>5387</v>
      </c>
      <c r="BK516" t="s">
        <v>102</v>
      </c>
      <c r="BL516" t="s">
        <v>5387</v>
      </c>
      <c r="BM516" t="s">
        <v>9768</v>
      </c>
      <c r="BN516" t="s">
        <v>74</v>
      </c>
      <c r="BO516" t="s">
        <v>74</v>
      </c>
      <c r="BP516" t="s">
        <v>74</v>
      </c>
      <c r="BQ516" t="s">
        <v>74</v>
      </c>
      <c r="BR516" t="s">
        <v>105</v>
      </c>
      <c r="BS516" t="s">
        <v>9769</v>
      </c>
      <c r="BT516" t="str">
        <f>HYPERLINK("https%3A%2F%2Fwww.webofscience.com%2Fwos%2Fwoscc%2Ffull-record%2FWOS:000312352700014","View Full Record in Web of Science")</f>
        <v>View Full Record in Web of Science</v>
      </c>
    </row>
    <row r="517" spans="1:72" x14ac:dyDescent="0.15">
      <c r="A517" t="s">
        <v>72</v>
      </c>
      <c r="B517" t="s">
        <v>9770</v>
      </c>
      <c r="C517" t="s">
        <v>74</v>
      </c>
      <c r="D517" t="s">
        <v>74</v>
      </c>
      <c r="E517" t="s">
        <v>74</v>
      </c>
      <c r="F517" t="s">
        <v>9771</v>
      </c>
      <c r="G517" t="s">
        <v>74</v>
      </c>
      <c r="H517" t="s">
        <v>74</v>
      </c>
      <c r="I517" t="s">
        <v>9772</v>
      </c>
      <c r="J517" t="s">
        <v>9773</v>
      </c>
      <c r="K517" t="s">
        <v>74</v>
      </c>
      <c r="L517" t="s">
        <v>74</v>
      </c>
      <c r="M517" t="s">
        <v>78</v>
      </c>
      <c r="N517" t="s">
        <v>79</v>
      </c>
      <c r="O517" t="s">
        <v>74</v>
      </c>
      <c r="P517" t="s">
        <v>74</v>
      </c>
      <c r="Q517" t="s">
        <v>74</v>
      </c>
      <c r="R517" t="s">
        <v>74</v>
      </c>
      <c r="S517" t="s">
        <v>74</v>
      </c>
      <c r="T517" t="s">
        <v>9774</v>
      </c>
      <c r="U517" t="s">
        <v>9775</v>
      </c>
      <c r="V517" t="s">
        <v>9776</v>
      </c>
      <c r="W517" t="s">
        <v>9777</v>
      </c>
      <c r="X517" t="s">
        <v>9778</v>
      </c>
      <c r="Y517" t="s">
        <v>9779</v>
      </c>
      <c r="Z517" t="s">
        <v>9780</v>
      </c>
      <c r="AA517" t="s">
        <v>9781</v>
      </c>
      <c r="AB517" t="s">
        <v>9782</v>
      </c>
      <c r="AC517" t="s">
        <v>9783</v>
      </c>
      <c r="AD517" t="s">
        <v>9784</v>
      </c>
      <c r="AE517" t="s">
        <v>9785</v>
      </c>
      <c r="AF517" t="s">
        <v>74</v>
      </c>
      <c r="AG517">
        <v>35</v>
      </c>
      <c r="AH517">
        <v>23</v>
      </c>
      <c r="AI517">
        <v>24</v>
      </c>
      <c r="AJ517">
        <v>3</v>
      </c>
      <c r="AK517">
        <v>51</v>
      </c>
      <c r="AL517" t="s">
        <v>257</v>
      </c>
      <c r="AM517" t="s">
        <v>215</v>
      </c>
      <c r="AN517" t="s">
        <v>216</v>
      </c>
      <c r="AO517" t="s">
        <v>9786</v>
      </c>
      <c r="AP517" t="s">
        <v>9787</v>
      </c>
      <c r="AQ517" t="s">
        <v>74</v>
      </c>
      <c r="AR517" t="s">
        <v>9788</v>
      </c>
      <c r="AS517" t="s">
        <v>9789</v>
      </c>
      <c r="AT517" t="s">
        <v>5170</v>
      </c>
      <c r="AU517">
        <v>2013</v>
      </c>
      <c r="AV517">
        <v>56</v>
      </c>
      <c r="AW517">
        <v>1</v>
      </c>
      <c r="AX517" t="s">
        <v>74</v>
      </c>
      <c r="AY517" t="s">
        <v>74</v>
      </c>
      <c r="AZ517" t="s">
        <v>74</v>
      </c>
      <c r="BA517" t="s">
        <v>74</v>
      </c>
      <c r="BB517">
        <v>57</v>
      </c>
      <c r="BC517">
        <v>62</v>
      </c>
      <c r="BD517" t="s">
        <v>74</v>
      </c>
      <c r="BE517" t="s">
        <v>9790</v>
      </c>
      <c r="BF517" t="str">
        <f>HYPERLINK("http://dx.doi.org/10.1111/lam.12015","http://dx.doi.org/10.1111/lam.12015")</f>
        <v>http://dx.doi.org/10.1111/lam.12015</v>
      </c>
      <c r="BG517" t="s">
        <v>74</v>
      </c>
      <c r="BH517" t="s">
        <v>74</v>
      </c>
      <c r="BI517">
        <v>6</v>
      </c>
      <c r="BJ517" t="s">
        <v>1079</v>
      </c>
      <c r="BK517" t="s">
        <v>102</v>
      </c>
      <c r="BL517" t="s">
        <v>1079</v>
      </c>
      <c r="BM517" t="s">
        <v>9791</v>
      </c>
      <c r="BN517">
        <v>23083417</v>
      </c>
      <c r="BO517" t="s">
        <v>74</v>
      </c>
      <c r="BP517" t="s">
        <v>74</v>
      </c>
      <c r="BQ517" t="s">
        <v>74</v>
      </c>
      <c r="BR517" t="s">
        <v>105</v>
      </c>
      <c r="BS517" t="s">
        <v>9792</v>
      </c>
      <c r="BT517" t="str">
        <f>HYPERLINK("https%3A%2F%2Fwww.webofscience.com%2Fwos%2Fwoscc%2Ffull-record%2FWOS:000312650200009","View Full Record in Web of Science")</f>
        <v>View Full Record in Web of Science</v>
      </c>
    </row>
    <row r="518" spans="1:72" x14ac:dyDescent="0.15">
      <c r="A518" t="s">
        <v>72</v>
      </c>
      <c r="B518" t="s">
        <v>9793</v>
      </c>
      <c r="C518" t="s">
        <v>74</v>
      </c>
      <c r="D518" t="s">
        <v>74</v>
      </c>
      <c r="E518" t="s">
        <v>74</v>
      </c>
      <c r="F518" t="s">
        <v>9794</v>
      </c>
      <c r="G518" t="s">
        <v>74</v>
      </c>
      <c r="H518" t="s">
        <v>74</v>
      </c>
      <c r="I518" t="s">
        <v>9795</v>
      </c>
      <c r="J518" t="s">
        <v>9796</v>
      </c>
      <c r="K518" t="s">
        <v>74</v>
      </c>
      <c r="L518" t="s">
        <v>74</v>
      </c>
      <c r="M518" t="s">
        <v>78</v>
      </c>
      <c r="N518" t="s">
        <v>79</v>
      </c>
      <c r="O518" t="s">
        <v>74</v>
      </c>
      <c r="P518" t="s">
        <v>74</v>
      </c>
      <c r="Q518" t="s">
        <v>74</v>
      </c>
      <c r="R518" t="s">
        <v>74</v>
      </c>
      <c r="S518" t="s">
        <v>74</v>
      </c>
      <c r="T518" t="s">
        <v>9797</v>
      </c>
      <c r="U518" t="s">
        <v>9798</v>
      </c>
      <c r="V518" t="s">
        <v>9799</v>
      </c>
      <c r="W518" t="s">
        <v>9800</v>
      </c>
      <c r="X518" t="s">
        <v>9608</v>
      </c>
      <c r="Y518" t="s">
        <v>9801</v>
      </c>
      <c r="Z518" t="s">
        <v>9802</v>
      </c>
      <c r="AA518" t="s">
        <v>9803</v>
      </c>
      <c r="AB518" t="s">
        <v>9804</v>
      </c>
      <c r="AC518" t="s">
        <v>9805</v>
      </c>
      <c r="AD518" t="s">
        <v>9806</v>
      </c>
      <c r="AE518" t="s">
        <v>9807</v>
      </c>
      <c r="AF518" t="s">
        <v>74</v>
      </c>
      <c r="AG518">
        <v>40</v>
      </c>
      <c r="AH518">
        <v>13</v>
      </c>
      <c r="AI518">
        <v>14</v>
      </c>
      <c r="AJ518">
        <v>0</v>
      </c>
      <c r="AK518">
        <v>19</v>
      </c>
      <c r="AL518" t="s">
        <v>214</v>
      </c>
      <c r="AM518" t="s">
        <v>215</v>
      </c>
      <c r="AN518" t="s">
        <v>216</v>
      </c>
      <c r="AO518" t="s">
        <v>9808</v>
      </c>
      <c r="AP518" t="s">
        <v>74</v>
      </c>
      <c r="AQ518" t="s">
        <v>74</v>
      </c>
      <c r="AR518" t="s">
        <v>9809</v>
      </c>
      <c r="AS518" t="s">
        <v>9810</v>
      </c>
      <c r="AT518" t="s">
        <v>5170</v>
      </c>
      <c r="AU518">
        <v>2013</v>
      </c>
      <c r="AV518">
        <v>94</v>
      </c>
      <c r="AW518">
        <v>1</v>
      </c>
      <c r="AX518" t="s">
        <v>74</v>
      </c>
      <c r="AY518" t="s">
        <v>74</v>
      </c>
      <c r="AZ518" t="s">
        <v>74</v>
      </c>
      <c r="BA518" t="s">
        <v>74</v>
      </c>
      <c r="BB518">
        <v>66</v>
      </c>
      <c r="BC518">
        <v>73</v>
      </c>
      <c r="BD518" t="s">
        <v>74</v>
      </c>
      <c r="BE518" t="s">
        <v>9811</v>
      </c>
      <c r="BF518" t="str">
        <f>HYPERLINK("http://dx.doi.org/10.1111/j.1463-6395.2011.00531.x","http://dx.doi.org/10.1111/j.1463-6395.2011.00531.x")</f>
        <v>http://dx.doi.org/10.1111/j.1463-6395.2011.00531.x</v>
      </c>
      <c r="BG518" t="s">
        <v>74</v>
      </c>
      <c r="BH518" t="s">
        <v>74</v>
      </c>
      <c r="BI518">
        <v>8</v>
      </c>
      <c r="BJ518" t="s">
        <v>9812</v>
      </c>
      <c r="BK518" t="s">
        <v>102</v>
      </c>
      <c r="BL518" t="s">
        <v>9812</v>
      </c>
      <c r="BM518" t="s">
        <v>9813</v>
      </c>
      <c r="BN518" t="s">
        <v>74</v>
      </c>
      <c r="BO518" t="s">
        <v>74</v>
      </c>
      <c r="BP518" t="s">
        <v>74</v>
      </c>
      <c r="BQ518" t="s">
        <v>74</v>
      </c>
      <c r="BR518" t="s">
        <v>105</v>
      </c>
      <c r="BS518" t="s">
        <v>9814</v>
      </c>
      <c r="BT518" t="str">
        <f>HYPERLINK("https%3A%2F%2Fwww.webofscience.com%2Fwos%2Fwoscc%2Ffull-record%2FWOS:000312341700007","View Full Record in Web of Science")</f>
        <v>View Full Record in Web of Science</v>
      </c>
    </row>
    <row r="519" spans="1:72" x14ac:dyDescent="0.15">
      <c r="A519" t="s">
        <v>72</v>
      </c>
      <c r="B519" t="s">
        <v>9815</v>
      </c>
      <c r="C519" t="s">
        <v>74</v>
      </c>
      <c r="D519" t="s">
        <v>74</v>
      </c>
      <c r="E519" t="s">
        <v>74</v>
      </c>
      <c r="F519" t="s">
        <v>9816</v>
      </c>
      <c r="G519" t="s">
        <v>74</v>
      </c>
      <c r="H519" t="s">
        <v>74</v>
      </c>
      <c r="I519" t="s">
        <v>9817</v>
      </c>
      <c r="J519" t="s">
        <v>9818</v>
      </c>
      <c r="K519" t="s">
        <v>74</v>
      </c>
      <c r="L519" t="s">
        <v>74</v>
      </c>
      <c r="M519" t="s">
        <v>78</v>
      </c>
      <c r="N519" t="s">
        <v>79</v>
      </c>
      <c r="O519" t="s">
        <v>74</v>
      </c>
      <c r="P519" t="s">
        <v>74</v>
      </c>
      <c r="Q519" t="s">
        <v>74</v>
      </c>
      <c r="R519" t="s">
        <v>74</v>
      </c>
      <c r="S519" t="s">
        <v>74</v>
      </c>
      <c r="T519" t="s">
        <v>9819</v>
      </c>
      <c r="U519" t="s">
        <v>9820</v>
      </c>
      <c r="V519" t="s">
        <v>9821</v>
      </c>
      <c r="W519" t="s">
        <v>9822</v>
      </c>
      <c r="X519" t="s">
        <v>9823</v>
      </c>
      <c r="Y519" t="s">
        <v>9824</v>
      </c>
      <c r="Z519" t="s">
        <v>9825</v>
      </c>
      <c r="AA519" t="s">
        <v>9826</v>
      </c>
      <c r="AB519" t="s">
        <v>9827</v>
      </c>
      <c r="AC519" t="s">
        <v>9828</v>
      </c>
      <c r="AD519" t="s">
        <v>9829</v>
      </c>
      <c r="AE519" t="s">
        <v>9830</v>
      </c>
      <c r="AF519" t="s">
        <v>74</v>
      </c>
      <c r="AG519">
        <v>24</v>
      </c>
      <c r="AH519">
        <v>30</v>
      </c>
      <c r="AI519">
        <v>32</v>
      </c>
      <c r="AJ519">
        <v>0</v>
      </c>
      <c r="AK519">
        <v>30</v>
      </c>
      <c r="AL519" t="s">
        <v>500</v>
      </c>
      <c r="AM519" t="s">
        <v>950</v>
      </c>
      <c r="AN519" t="s">
        <v>951</v>
      </c>
      <c r="AO519" t="s">
        <v>9831</v>
      </c>
      <c r="AP519" t="s">
        <v>9832</v>
      </c>
      <c r="AQ519" t="s">
        <v>74</v>
      </c>
      <c r="AR519" t="s">
        <v>9833</v>
      </c>
      <c r="AS519" t="s">
        <v>9834</v>
      </c>
      <c r="AT519" t="s">
        <v>5170</v>
      </c>
      <c r="AU519">
        <v>2013</v>
      </c>
      <c r="AV519">
        <v>29</v>
      </c>
      <c r="AW519">
        <v>1</v>
      </c>
      <c r="AX519" t="s">
        <v>74</v>
      </c>
      <c r="AY519" t="s">
        <v>74</v>
      </c>
      <c r="AZ519" t="s">
        <v>74</v>
      </c>
      <c r="BA519" t="s">
        <v>74</v>
      </c>
      <c r="BB519">
        <v>183</v>
      </c>
      <c r="BC519">
        <v>189</v>
      </c>
      <c r="BD519" t="s">
        <v>74</v>
      </c>
      <c r="BE519" t="s">
        <v>9835</v>
      </c>
      <c r="BF519" t="str">
        <f>HYPERLINK("http://dx.doi.org/10.1007/s11274-012-1159-2","http://dx.doi.org/10.1007/s11274-012-1159-2")</f>
        <v>http://dx.doi.org/10.1007/s11274-012-1159-2</v>
      </c>
      <c r="BG519" t="s">
        <v>74</v>
      </c>
      <c r="BH519" t="s">
        <v>74</v>
      </c>
      <c r="BI519">
        <v>7</v>
      </c>
      <c r="BJ519" t="s">
        <v>2813</v>
      </c>
      <c r="BK519" t="s">
        <v>102</v>
      </c>
      <c r="BL519" t="s">
        <v>2813</v>
      </c>
      <c r="BM519" t="s">
        <v>9836</v>
      </c>
      <c r="BN519">
        <v>22927015</v>
      </c>
      <c r="BO519" t="s">
        <v>74</v>
      </c>
      <c r="BP519" t="s">
        <v>74</v>
      </c>
      <c r="BQ519" t="s">
        <v>74</v>
      </c>
      <c r="BR519" t="s">
        <v>105</v>
      </c>
      <c r="BS519" t="s">
        <v>9837</v>
      </c>
      <c r="BT519" t="str">
        <f>HYPERLINK("https%3A%2F%2Fwww.webofscience.com%2Fwos%2Fwoscc%2Ffull-record%2FWOS:000312075300020","View Full Record in Web of Science")</f>
        <v>View Full Record in Web of Science</v>
      </c>
    </row>
    <row r="520" spans="1:72" x14ac:dyDescent="0.15">
      <c r="A520" t="s">
        <v>72</v>
      </c>
      <c r="B520" t="s">
        <v>9838</v>
      </c>
      <c r="C520" t="s">
        <v>74</v>
      </c>
      <c r="D520" t="s">
        <v>74</v>
      </c>
      <c r="E520" t="s">
        <v>74</v>
      </c>
      <c r="F520" t="s">
        <v>9839</v>
      </c>
      <c r="G520" t="s">
        <v>74</v>
      </c>
      <c r="H520" t="s">
        <v>74</v>
      </c>
      <c r="I520" t="s">
        <v>9840</v>
      </c>
      <c r="J520" t="s">
        <v>9841</v>
      </c>
      <c r="K520" t="s">
        <v>74</v>
      </c>
      <c r="L520" t="s">
        <v>74</v>
      </c>
      <c r="M520" t="s">
        <v>78</v>
      </c>
      <c r="N520" t="s">
        <v>79</v>
      </c>
      <c r="O520" t="s">
        <v>74</v>
      </c>
      <c r="P520" t="s">
        <v>74</v>
      </c>
      <c r="Q520" t="s">
        <v>74</v>
      </c>
      <c r="R520" t="s">
        <v>74</v>
      </c>
      <c r="S520" t="s">
        <v>74</v>
      </c>
      <c r="T520" t="s">
        <v>74</v>
      </c>
      <c r="U520" t="s">
        <v>9842</v>
      </c>
      <c r="V520" t="s">
        <v>9843</v>
      </c>
      <c r="W520" t="s">
        <v>9844</v>
      </c>
      <c r="X520" t="s">
        <v>9845</v>
      </c>
      <c r="Y520" t="s">
        <v>9846</v>
      </c>
      <c r="Z520" t="s">
        <v>9847</v>
      </c>
      <c r="AA520" t="s">
        <v>9848</v>
      </c>
      <c r="AB520" t="s">
        <v>9849</v>
      </c>
      <c r="AC520" t="s">
        <v>9850</v>
      </c>
      <c r="AD520" t="s">
        <v>9851</v>
      </c>
      <c r="AE520" t="s">
        <v>9852</v>
      </c>
      <c r="AF520" t="s">
        <v>74</v>
      </c>
      <c r="AG520">
        <v>60</v>
      </c>
      <c r="AH520">
        <v>28</v>
      </c>
      <c r="AI520">
        <v>28</v>
      </c>
      <c r="AJ520">
        <v>1</v>
      </c>
      <c r="AK520">
        <v>22</v>
      </c>
      <c r="AL520" t="s">
        <v>146</v>
      </c>
      <c r="AM520" t="s">
        <v>147</v>
      </c>
      <c r="AN520" t="s">
        <v>148</v>
      </c>
      <c r="AO520" t="s">
        <v>9853</v>
      </c>
      <c r="AP520" t="s">
        <v>9854</v>
      </c>
      <c r="AQ520" t="s">
        <v>74</v>
      </c>
      <c r="AR520" t="s">
        <v>9855</v>
      </c>
      <c r="AS520" t="s">
        <v>9856</v>
      </c>
      <c r="AT520" t="s">
        <v>7151</v>
      </c>
      <c r="AU520">
        <v>2013</v>
      </c>
      <c r="AV520">
        <v>100</v>
      </c>
      <c r="AW520" t="s">
        <v>74</v>
      </c>
      <c r="AX520" t="s">
        <v>74</v>
      </c>
      <c r="AY520" t="s">
        <v>74</v>
      </c>
      <c r="AZ520" t="s">
        <v>74</v>
      </c>
      <c r="BA520" t="s">
        <v>74</v>
      </c>
      <c r="BB520">
        <v>116</v>
      </c>
      <c r="BC520">
        <v>157</v>
      </c>
      <c r="BD520" t="s">
        <v>74</v>
      </c>
      <c r="BE520" t="s">
        <v>9857</v>
      </c>
      <c r="BF520" t="str">
        <f>HYPERLINK("http://dx.doi.org/10.1016/j.gca.2012.09.052","http://dx.doi.org/10.1016/j.gca.2012.09.052")</f>
        <v>http://dx.doi.org/10.1016/j.gca.2012.09.052</v>
      </c>
      <c r="BG520" t="s">
        <v>74</v>
      </c>
      <c r="BH520" t="s">
        <v>74</v>
      </c>
      <c r="BI520">
        <v>42</v>
      </c>
      <c r="BJ520" t="s">
        <v>263</v>
      </c>
      <c r="BK520" t="s">
        <v>102</v>
      </c>
      <c r="BL520" t="s">
        <v>263</v>
      </c>
      <c r="BM520" t="s">
        <v>9858</v>
      </c>
      <c r="BN520" t="s">
        <v>74</v>
      </c>
      <c r="BO520" t="s">
        <v>74</v>
      </c>
      <c r="BP520" t="s">
        <v>74</v>
      </c>
      <c r="BQ520" t="s">
        <v>74</v>
      </c>
      <c r="BR520" t="s">
        <v>105</v>
      </c>
      <c r="BS520" t="s">
        <v>9859</v>
      </c>
      <c r="BT520" t="str">
        <f>HYPERLINK("https%3A%2F%2Fwww.webofscience.com%2Fwos%2Fwoscc%2Ffull-record%2FWOS:000312102100008","View Full Record in Web of Science")</f>
        <v>View Full Record in Web of Science</v>
      </c>
    </row>
    <row r="521" spans="1:72" x14ac:dyDescent="0.15">
      <c r="A521" t="s">
        <v>3224</v>
      </c>
      <c r="B521" t="s">
        <v>9860</v>
      </c>
      <c r="C521" t="s">
        <v>74</v>
      </c>
      <c r="D521" t="s">
        <v>9861</v>
      </c>
      <c r="E521" t="s">
        <v>74</v>
      </c>
      <c r="F521" t="s">
        <v>9862</v>
      </c>
      <c r="G521" t="s">
        <v>74</v>
      </c>
      <c r="H521" t="s">
        <v>74</v>
      </c>
      <c r="I521" t="s">
        <v>9863</v>
      </c>
      <c r="J521" t="s">
        <v>9864</v>
      </c>
      <c r="K521" t="s">
        <v>9865</v>
      </c>
      <c r="L521" t="s">
        <v>74</v>
      </c>
      <c r="M521" t="s">
        <v>78</v>
      </c>
      <c r="N521" t="s">
        <v>3231</v>
      </c>
      <c r="O521" t="s">
        <v>9866</v>
      </c>
      <c r="P521" t="s">
        <v>9867</v>
      </c>
      <c r="Q521" t="s">
        <v>9868</v>
      </c>
      <c r="R521" t="s">
        <v>74</v>
      </c>
      <c r="S521" t="s">
        <v>74</v>
      </c>
      <c r="T521" t="s">
        <v>74</v>
      </c>
      <c r="U521" t="s">
        <v>74</v>
      </c>
      <c r="V521" t="s">
        <v>74</v>
      </c>
      <c r="W521" t="s">
        <v>9869</v>
      </c>
      <c r="X521" t="s">
        <v>9870</v>
      </c>
      <c r="Y521" t="s">
        <v>9871</v>
      </c>
      <c r="Z521" t="s">
        <v>9872</v>
      </c>
      <c r="AA521" t="s">
        <v>74</v>
      </c>
      <c r="AB521" t="s">
        <v>74</v>
      </c>
      <c r="AC521" t="s">
        <v>74</v>
      </c>
      <c r="AD521" t="s">
        <v>74</v>
      </c>
      <c r="AE521" t="s">
        <v>74</v>
      </c>
      <c r="AF521" t="s">
        <v>74</v>
      </c>
      <c r="AG521">
        <v>2</v>
      </c>
      <c r="AH521">
        <v>0</v>
      </c>
      <c r="AI521">
        <v>0</v>
      </c>
      <c r="AJ521">
        <v>0</v>
      </c>
      <c r="AK521">
        <v>3</v>
      </c>
      <c r="AL521" t="s">
        <v>9873</v>
      </c>
      <c r="AM521" t="s">
        <v>9874</v>
      </c>
      <c r="AN521" t="s">
        <v>9875</v>
      </c>
      <c r="AO521" t="s">
        <v>9876</v>
      </c>
      <c r="AP521" t="s">
        <v>74</v>
      </c>
      <c r="AQ521" t="s">
        <v>9877</v>
      </c>
      <c r="AR521" t="s">
        <v>9878</v>
      </c>
      <c r="AS521" t="s">
        <v>74</v>
      </c>
      <c r="AT521" t="s">
        <v>74</v>
      </c>
      <c r="AU521">
        <v>2013</v>
      </c>
      <c r="AV521" t="s">
        <v>74</v>
      </c>
      <c r="AW521" t="s">
        <v>74</v>
      </c>
      <c r="AX521" t="s">
        <v>74</v>
      </c>
      <c r="AY521" t="s">
        <v>74</v>
      </c>
      <c r="AZ521" t="s">
        <v>74</v>
      </c>
      <c r="BA521" t="s">
        <v>74</v>
      </c>
      <c r="BB521">
        <v>2102</v>
      </c>
      <c r="BC521">
        <v>2104</v>
      </c>
      <c r="BD521" t="s">
        <v>74</v>
      </c>
      <c r="BE521" t="s">
        <v>74</v>
      </c>
      <c r="BF521" t="s">
        <v>74</v>
      </c>
      <c r="BG521" t="s">
        <v>74</v>
      </c>
      <c r="BH521" t="s">
        <v>74</v>
      </c>
      <c r="BI521">
        <v>3</v>
      </c>
      <c r="BJ521" t="s">
        <v>9879</v>
      </c>
      <c r="BK521" t="s">
        <v>4058</v>
      </c>
      <c r="BL521" t="s">
        <v>9879</v>
      </c>
      <c r="BM521" t="s">
        <v>9880</v>
      </c>
      <c r="BN521" t="s">
        <v>74</v>
      </c>
      <c r="BO521" t="s">
        <v>74</v>
      </c>
      <c r="BP521" t="s">
        <v>74</v>
      </c>
      <c r="BQ521" t="s">
        <v>74</v>
      </c>
      <c r="BR521" t="s">
        <v>105</v>
      </c>
      <c r="BS521" t="s">
        <v>9881</v>
      </c>
      <c r="BT521" t="str">
        <f>HYPERLINK("https%3A%2F%2Fwww.webofscience.com%2Fwos%2Fwoscc%2Ffull-record%2FWOS:000353961700222","View Full Record in Web of Science")</f>
        <v>View Full Record in Web of Science</v>
      </c>
    </row>
    <row r="522" spans="1:72" x14ac:dyDescent="0.15">
      <c r="A522" t="s">
        <v>3224</v>
      </c>
      <c r="B522" t="s">
        <v>9882</v>
      </c>
      <c r="C522" t="s">
        <v>74</v>
      </c>
      <c r="D522" t="s">
        <v>74</v>
      </c>
      <c r="E522" t="s">
        <v>3226</v>
      </c>
      <c r="F522" t="s">
        <v>9883</v>
      </c>
      <c r="G522" t="s">
        <v>74</v>
      </c>
      <c r="H522" t="s">
        <v>74</v>
      </c>
      <c r="I522" t="s">
        <v>9884</v>
      </c>
      <c r="J522" t="s">
        <v>9885</v>
      </c>
      <c r="K522" t="s">
        <v>9886</v>
      </c>
      <c r="L522" t="s">
        <v>74</v>
      </c>
      <c r="M522" t="s">
        <v>78</v>
      </c>
      <c r="N522" t="s">
        <v>3231</v>
      </c>
      <c r="O522" t="s">
        <v>9887</v>
      </c>
      <c r="P522" t="s">
        <v>9888</v>
      </c>
      <c r="Q522" t="s">
        <v>9889</v>
      </c>
      <c r="R522" t="s">
        <v>74</v>
      </c>
      <c r="S522" t="s">
        <v>74</v>
      </c>
      <c r="T522" t="s">
        <v>74</v>
      </c>
      <c r="U522" t="s">
        <v>74</v>
      </c>
      <c r="V522" t="s">
        <v>9890</v>
      </c>
      <c r="W522" t="s">
        <v>74</v>
      </c>
      <c r="X522" t="s">
        <v>74</v>
      </c>
      <c r="Y522" t="s">
        <v>74</v>
      </c>
      <c r="Z522" t="s">
        <v>9891</v>
      </c>
      <c r="AA522" t="s">
        <v>74</v>
      </c>
      <c r="AB522" t="s">
        <v>74</v>
      </c>
      <c r="AC522" t="s">
        <v>74</v>
      </c>
      <c r="AD522" t="s">
        <v>74</v>
      </c>
      <c r="AE522" t="s">
        <v>74</v>
      </c>
      <c r="AF522" t="s">
        <v>74</v>
      </c>
      <c r="AG522">
        <v>14</v>
      </c>
      <c r="AH522">
        <v>28</v>
      </c>
      <c r="AI522">
        <v>29</v>
      </c>
      <c r="AJ522">
        <v>0</v>
      </c>
      <c r="AK522">
        <v>3</v>
      </c>
      <c r="AL522" t="s">
        <v>3226</v>
      </c>
      <c r="AM522" t="s">
        <v>296</v>
      </c>
      <c r="AN522" t="s">
        <v>3244</v>
      </c>
      <c r="AO522" t="s">
        <v>9892</v>
      </c>
      <c r="AP522" t="s">
        <v>9893</v>
      </c>
      <c r="AQ522" t="s">
        <v>9894</v>
      </c>
      <c r="AR522" t="s">
        <v>9895</v>
      </c>
      <c r="AS522" t="s">
        <v>74</v>
      </c>
      <c r="AT522" t="s">
        <v>74</v>
      </c>
      <c r="AU522">
        <v>2013</v>
      </c>
      <c r="AV522" t="s">
        <v>74</v>
      </c>
      <c r="AW522" t="s">
        <v>74</v>
      </c>
      <c r="AX522" t="s">
        <v>74</v>
      </c>
      <c r="AY522" t="s">
        <v>74</v>
      </c>
      <c r="AZ522" t="s">
        <v>74</v>
      </c>
      <c r="BA522" t="s">
        <v>74</v>
      </c>
      <c r="BB522">
        <v>1478</v>
      </c>
      <c r="BC522">
        <v>1481</v>
      </c>
      <c r="BD522" t="s">
        <v>74</v>
      </c>
      <c r="BE522" t="s">
        <v>74</v>
      </c>
      <c r="BF522" t="s">
        <v>74</v>
      </c>
      <c r="BG522" t="s">
        <v>74</v>
      </c>
      <c r="BH522" t="s">
        <v>74</v>
      </c>
      <c r="BI522">
        <v>4</v>
      </c>
      <c r="BJ522" t="s">
        <v>9896</v>
      </c>
      <c r="BK522" t="s">
        <v>3247</v>
      </c>
      <c r="BL522" t="s">
        <v>9897</v>
      </c>
      <c r="BM522" t="s">
        <v>9898</v>
      </c>
      <c r="BN522" t="s">
        <v>74</v>
      </c>
      <c r="BO522" t="s">
        <v>74</v>
      </c>
      <c r="BP522" t="s">
        <v>74</v>
      </c>
      <c r="BQ522" t="s">
        <v>74</v>
      </c>
      <c r="BR522" t="s">
        <v>105</v>
      </c>
      <c r="BS522" t="s">
        <v>9899</v>
      </c>
      <c r="BT522" t="str">
        <f>HYPERLINK("https%3A%2F%2Fwww.webofscience.com%2Fwos%2Fwoscc%2Ffull-record%2FWOS:000327210201107","View Full Record in Web of Science")</f>
        <v>View Full Record in Web of Science</v>
      </c>
    </row>
    <row r="523" spans="1:72" x14ac:dyDescent="0.15">
      <c r="A523" t="s">
        <v>3224</v>
      </c>
      <c r="B523" t="s">
        <v>9900</v>
      </c>
      <c r="C523" t="s">
        <v>74</v>
      </c>
      <c r="D523" t="s">
        <v>74</v>
      </c>
      <c r="E523" t="s">
        <v>3226</v>
      </c>
      <c r="F523" t="s">
        <v>9901</v>
      </c>
      <c r="G523" t="s">
        <v>74</v>
      </c>
      <c r="H523" t="s">
        <v>74</v>
      </c>
      <c r="I523" t="s">
        <v>9902</v>
      </c>
      <c r="J523" t="s">
        <v>9903</v>
      </c>
      <c r="K523" t="s">
        <v>74</v>
      </c>
      <c r="L523" t="s">
        <v>74</v>
      </c>
      <c r="M523" t="s">
        <v>78</v>
      </c>
      <c r="N523" t="s">
        <v>3231</v>
      </c>
      <c r="O523" t="s">
        <v>9904</v>
      </c>
      <c r="P523" t="s">
        <v>9905</v>
      </c>
      <c r="Q523" t="s">
        <v>9906</v>
      </c>
      <c r="R523" t="s">
        <v>74</v>
      </c>
      <c r="S523" t="s">
        <v>74</v>
      </c>
      <c r="T523" t="s">
        <v>74</v>
      </c>
      <c r="U523" t="s">
        <v>9907</v>
      </c>
      <c r="V523" t="s">
        <v>9908</v>
      </c>
      <c r="W523" t="s">
        <v>9909</v>
      </c>
      <c r="X523" t="s">
        <v>9910</v>
      </c>
      <c r="Y523" t="s">
        <v>9911</v>
      </c>
      <c r="Z523" t="s">
        <v>9912</v>
      </c>
      <c r="AA523" t="s">
        <v>74</v>
      </c>
      <c r="AB523" t="s">
        <v>74</v>
      </c>
      <c r="AC523" t="s">
        <v>74</v>
      </c>
      <c r="AD523" t="s">
        <v>74</v>
      </c>
      <c r="AE523" t="s">
        <v>74</v>
      </c>
      <c r="AF523" t="s">
        <v>74</v>
      </c>
      <c r="AG523">
        <v>28</v>
      </c>
      <c r="AH523">
        <v>11</v>
      </c>
      <c r="AI523">
        <v>11</v>
      </c>
      <c r="AJ523">
        <v>1</v>
      </c>
      <c r="AK523">
        <v>12</v>
      </c>
      <c r="AL523" t="s">
        <v>3226</v>
      </c>
      <c r="AM523" t="s">
        <v>296</v>
      </c>
      <c r="AN523" t="s">
        <v>3244</v>
      </c>
      <c r="AO523" t="s">
        <v>74</v>
      </c>
      <c r="AP523" t="s">
        <v>74</v>
      </c>
      <c r="AQ523" t="s">
        <v>74</v>
      </c>
      <c r="AR523" t="s">
        <v>74</v>
      </c>
      <c r="AS523" t="s">
        <v>74</v>
      </c>
      <c r="AT523" t="s">
        <v>74</v>
      </c>
      <c r="AU523">
        <v>2013</v>
      </c>
      <c r="AV523" t="s">
        <v>74</v>
      </c>
      <c r="AW523" t="s">
        <v>74</v>
      </c>
      <c r="AX523" t="s">
        <v>74</v>
      </c>
      <c r="AY523" t="s">
        <v>74</v>
      </c>
      <c r="AZ523" t="s">
        <v>74</v>
      </c>
      <c r="BA523" t="s">
        <v>74</v>
      </c>
      <c r="BB523">
        <v>44</v>
      </c>
      <c r="BC523">
        <v>49</v>
      </c>
      <c r="BD523" t="s">
        <v>74</v>
      </c>
      <c r="BE523" t="s">
        <v>74</v>
      </c>
      <c r="BF523" t="s">
        <v>74</v>
      </c>
      <c r="BG523" t="s">
        <v>74</v>
      </c>
      <c r="BH523" t="s">
        <v>74</v>
      </c>
      <c r="BI523">
        <v>6</v>
      </c>
      <c r="BJ523" t="s">
        <v>9913</v>
      </c>
      <c r="BK523" t="s">
        <v>3247</v>
      </c>
      <c r="BL523" t="s">
        <v>9913</v>
      </c>
      <c r="BM523" t="s">
        <v>9914</v>
      </c>
      <c r="BN523" t="s">
        <v>74</v>
      </c>
      <c r="BO523" t="s">
        <v>74</v>
      </c>
      <c r="BP523" t="s">
        <v>74</v>
      </c>
      <c r="BQ523" t="s">
        <v>74</v>
      </c>
      <c r="BR523" t="s">
        <v>105</v>
      </c>
      <c r="BS523" t="s">
        <v>9915</v>
      </c>
      <c r="BT523" t="str">
        <f>HYPERLINK("https%3A%2F%2Fwww.webofscience.com%2Fwos%2Fwoscc%2Ffull-record%2FWOS:000352739000008","View Full Record in Web of Science")</f>
        <v>View Full Record in Web of Science</v>
      </c>
    </row>
    <row r="524" spans="1:72" x14ac:dyDescent="0.15">
      <c r="A524" t="s">
        <v>3224</v>
      </c>
      <c r="B524" t="s">
        <v>9916</v>
      </c>
      <c r="C524" t="s">
        <v>74</v>
      </c>
      <c r="D524" t="s">
        <v>74</v>
      </c>
      <c r="E524" t="s">
        <v>3226</v>
      </c>
      <c r="F524" t="s">
        <v>9917</v>
      </c>
      <c r="G524" t="s">
        <v>74</v>
      </c>
      <c r="H524" t="s">
        <v>74</v>
      </c>
      <c r="I524" t="s">
        <v>9918</v>
      </c>
      <c r="J524" t="s">
        <v>9903</v>
      </c>
      <c r="K524" t="s">
        <v>74</v>
      </c>
      <c r="L524" t="s">
        <v>74</v>
      </c>
      <c r="M524" t="s">
        <v>78</v>
      </c>
      <c r="N524" t="s">
        <v>3231</v>
      </c>
      <c r="O524" t="s">
        <v>9904</v>
      </c>
      <c r="P524" t="s">
        <v>9905</v>
      </c>
      <c r="Q524" t="s">
        <v>9906</v>
      </c>
      <c r="R524" t="s">
        <v>74</v>
      </c>
      <c r="S524" t="s">
        <v>74</v>
      </c>
      <c r="T524" t="s">
        <v>74</v>
      </c>
      <c r="U524" t="s">
        <v>74</v>
      </c>
      <c r="V524" t="s">
        <v>9919</v>
      </c>
      <c r="W524" t="s">
        <v>9920</v>
      </c>
      <c r="X524" t="s">
        <v>9921</v>
      </c>
      <c r="Y524" t="s">
        <v>9922</v>
      </c>
      <c r="Z524" t="s">
        <v>9923</v>
      </c>
      <c r="AA524" t="s">
        <v>74</v>
      </c>
      <c r="AB524" t="s">
        <v>9924</v>
      </c>
      <c r="AC524" t="s">
        <v>74</v>
      </c>
      <c r="AD524" t="s">
        <v>74</v>
      </c>
      <c r="AE524" t="s">
        <v>74</v>
      </c>
      <c r="AF524" t="s">
        <v>74</v>
      </c>
      <c r="AG524">
        <v>14</v>
      </c>
      <c r="AH524">
        <v>6</v>
      </c>
      <c r="AI524">
        <v>6</v>
      </c>
      <c r="AJ524">
        <v>1</v>
      </c>
      <c r="AK524">
        <v>2</v>
      </c>
      <c r="AL524" t="s">
        <v>3226</v>
      </c>
      <c r="AM524" t="s">
        <v>296</v>
      </c>
      <c r="AN524" t="s">
        <v>3244</v>
      </c>
      <c r="AO524" t="s">
        <v>74</v>
      </c>
      <c r="AP524" t="s">
        <v>74</v>
      </c>
      <c r="AQ524" t="s">
        <v>74</v>
      </c>
      <c r="AR524" t="s">
        <v>74</v>
      </c>
      <c r="AS524" t="s">
        <v>74</v>
      </c>
      <c r="AT524" t="s">
        <v>74</v>
      </c>
      <c r="AU524">
        <v>2013</v>
      </c>
      <c r="AV524" t="s">
        <v>74</v>
      </c>
      <c r="AW524" t="s">
        <v>74</v>
      </c>
      <c r="AX524" t="s">
        <v>74</v>
      </c>
      <c r="AY524" t="s">
        <v>74</v>
      </c>
      <c r="AZ524" t="s">
        <v>74</v>
      </c>
      <c r="BA524" t="s">
        <v>74</v>
      </c>
      <c r="BB524">
        <v>2540</v>
      </c>
      <c r="BC524">
        <v>2545</v>
      </c>
      <c r="BD524" t="s">
        <v>74</v>
      </c>
      <c r="BE524" t="s">
        <v>74</v>
      </c>
      <c r="BF524" t="s">
        <v>74</v>
      </c>
      <c r="BG524" t="s">
        <v>74</v>
      </c>
      <c r="BH524" t="s">
        <v>74</v>
      </c>
      <c r="BI524">
        <v>6</v>
      </c>
      <c r="BJ524" t="s">
        <v>9913</v>
      </c>
      <c r="BK524" t="s">
        <v>3247</v>
      </c>
      <c r="BL524" t="s">
        <v>9913</v>
      </c>
      <c r="BM524" t="s">
        <v>9914</v>
      </c>
      <c r="BN524" t="s">
        <v>74</v>
      </c>
      <c r="BO524" t="s">
        <v>74</v>
      </c>
      <c r="BP524" t="s">
        <v>74</v>
      </c>
      <c r="BQ524" t="s">
        <v>74</v>
      </c>
      <c r="BR524" t="s">
        <v>105</v>
      </c>
      <c r="BS524" t="s">
        <v>9925</v>
      </c>
      <c r="BT524" t="str">
        <f>HYPERLINK("https%3A%2F%2Fwww.webofscience.com%2Fwos%2Fwoscc%2Ffull-record%2FWOS:000352739000423","View Full Record in Web of Science")</f>
        <v>View Full Record in Web of Science</v>
      </c>
    </row>
    <row r="525" spans="1:72" x14ac:dyDescent="0.15">
      <c r="A525" t="s">
        <v>3224</v>
      </c>
      <c r="B525" t="s">
        <v>9926</v>
      </c>
      <c r="C525" t="s">
        <v>74</v>
      </c>
      <c r="D525" t="s">
        <v>74</v>
      </c>
      <c r="E525" t="s">
        <v>3226</v>
      </c>
      <c r="F525" t="s">
        <v>9927</v>
      </c>
      <c r="G525" t="s">
        <v>74</v>
      </c>
      <c r="H525" t="s">
        <v>74</v>
      </c>
      <c r="I525" t="s">
        <v>9928</v>
      </c>
      <c r="J525" t="s">
        <v>9929</v>
      </c>
      <c r="K525" t="s">
        <v>9930</v>
      </c>
      <c r="L525" t="s">
        <v>74</v>
      </c>
      <c r="M525" t="s">
        <v>78</v>
      </c>
      <c r="N525" t="s">
        <v>3231</v>
      </c>
      <c r="O525" t="s">
        <v>9931</v>
      </c>
      <c r="P525" t="s">
        <v>9932</v>
      </c>
      <c r="Q525" t="s">
        <v>9933</v>
      </c>
      <c r="R525" t="s">
        <v>74</v>
      </c>
      <c r="S525" t="s">
        <v>74</v>
      </c>
      <c r="T525" t="s">
        <v>9934</v>
      </c>
      <c r="U525" t="s">
        <v>74</v>
      </c>
      <c r="V525" t="s">
        <v>9935</v>
      </c>
      <c r="W525" t="s">
        <v>9936</v>
      </c>
      <c r="X525" t="s">
        <v>9937</v>
      </c>
      <c r="Y525" t="s">
        <v>9938</v>
      </c>
      <c r="Z525" t="s">
        <v>74</v>
      </c>
      <c r="AA525" t="s">
        <v>9939</v>
      </c>
      <c r="AB525" t="s">
        <v>74</v>
      </c>
      <c r="AC525" t="s">
        <v>9940</v>
      </c>
      <c r="AD525" t="s">
        <v>9941</v>
      </c>
      <c r="AE525" t="s">
        <v>9942</v>
      </c>
      <c r="AF525" t="s">
        <v>74</v>
      </c>
      <c r="AG525">
        <v>3</v>
      </c>
      <c r="AH525">
        <v>0</v>
      </c>
      <c r="AI525">
        <v>0</v>
      </c>
      <c r="AJ525">
        <v>0</v>
      </c>
      <c r="AK525">
        <v>2</v>
      </c>
      <c r="AL525" t="s">
        <v>3226</v>
      </c>
      <c r="AM525" t="s">
        <v>296</v>
      </c>
      <c r="AN525" t="s">
        <v>3244</v>
      </c>
      <c r="AO525" t="s">
        <v>9943</v>
      </c>
      <c r="AP525" t="s">
        <v>74</v>
      </c>
      <c r="AQ525" t="s">
        <v>9944</v>
      </c>
      <c r="AR525" t="s">
        <v>9945</v>
      </c>
      <c r="AS525" t="s">
        <v>74</v>
      </c>
      <c r="AT525" t="s">
        <v>74</v>
      </c>
      <c r="AU525">
        <v>2013</v>
      </c>
      <c r="AV525" t="s">
        <v>74</v>
      </c>
      <c r="AW525" t="s">
        <v>74</v>
      </c>
      <c r="AX525" t="s">
        <v>74</v>
      </c>
      <c r="AY525" t="s">
        <v>74</v>
      </c>
      <c r="AZ525" t="s">
        <v>74</v>
      </c>
      <c r="BA525" t="s">
        <v>74</v>
      </c>
      <c r="BB525">
        <v>49</v>
      </c>
      <c r="BC525">
        <v>52</v>
      </c>
      <c r="BD525" t="s">
        <v>74</v>
      </c>
      <c r="BE525" t="s">
        <v>9946</v>
      </c>
      <c r="BF525" t="str">
        <f>HYPERLINK("http://dx.doi.org/10.1109/IGARSS.2013.6721089","http://dx.doi.org/10.1109/IGARSS.2013.6721089")</f>
        <v>http://dx.doi.org/10.1109/IGARSS.2013.6721089</v>
      </c>
      <c r="BG525" t="s">
        <v>74</v>
      </c>
      <c r="BH525" t="s">
        <v>74</v>
      </c>
      <c r="BI525">
        <v>4</v>
      </c>
      <c r="BJ525" t="s">
        <v>9947</v>
      </c>
      <c r="BK525" t="s">
        <v>3247</v>
      </c>
      <c r="BL525" t="s">
        <v>9948</v>
      </c>
      <c r="BM525" t="s">
        <v>9949</v>
      </c>
      <c r="BN525" t="s">
        <v>74</v>
      </c>
      <c r="BO525" t="s">
        <v>74</v>
      </c>
      <c r="BP525" t="s">
        <v>74</v>
      </c>
      <c r="BQ525" t="s">
        <v>74</v>
      </c>
      <c r="BR525" t="s">
        <v>105</v>
      </c>
      <c r="BS525" t="s">
        <v>9950</v>
      </c>
      <c r="BT525" t="str">
        <f>HYPERLINK("https%3A%2F%2Fwww.webofscience.com%2Fwos%2Fwoscc%2Ffull-record%2FWOS:000345638900013","View Full Record in Web of Science")</f>
        <v>View Full Record in Web of Science</v>
      </c>
    </row>
    <row r="526" spans="1:72" x14ac:dyDescent="0.15">
      <c r="A526" t="s">
        <v>3224</v>
      </c>
      <c r="B526" t="s">
        <v>9951</v>
      </c>
      <c r="C526" t="s">
        <v>74</v>
      </c>
      <c r="D526" t="s">
        <v>74</v>
      </c>
      <c r="E526" t="s">
        <v>3226</v>
      </c>
      <c r="F526" t="s">
        <v>9952</v>
      </c>
      <c r="G526" t="s">
        <v>74</v>
      </c>
      <c r="H526" t="s">
        <v>74</v>
      </c>
      <c r="I526" t="s">
        <v>9953</v>
      </c>
      <c r="J526" t="s">
        <v>9929</v>
      </c>
      <c r="K526" t="s">
        <v>9930</v>
      </c>
      <c r="L526" t="s">
        <v>74</v>
      </c>
      <c r="M526" t="s">
        <v>78</v>
      </c>
      <c r="N526" t="s">
        <v>3231</v>
      </c>
      <c r="O526" t="s">
        <v>9931</v>
      </c>
      <c r="P526" t="s">
        <v>9932</v>
      </c>
      <c r="Q526" t="s">
        <v>9933</v>
      </c>
      <c r="R526" t="s">
        <v>74</v>
      </c>
      <c r="S526" t="s">
        <v>74</v>
      </c>
      <c r="T526" t="s">
        <v>9954</v>
      </c>
      <c r="U526" t="s">
        <v>74</v>
      </c>
      <c r="V526" t="s">
        <v>9955</v>
      </c>
      <c r="W526" t="s">
        <v>9956</v>
      </c>
      <c r="X526" t="s">
        <v>9957</v>
      </c>
      <c r="Y526" t="s">
        <v>9958</v>
      </c>
      <c r="Z526" t="s">
        <v>74</v>
      </c>
      <c r="AA526" t="s">
        <v>9959</v>
      </c>
      <c r="AB526" t="s">
        <v>9960</v>
      </c>
      <c r="AC526" t="s">
        <v>9961</v>
      </c>
      <c r="AD526" t="s">
        <v>9962</v>
      </c>
      <c r="AE526" t="s">
        <v>9963</v>
      </c>
      <c r="AF526" t="s">
        <v>74</v>
      </c>
      <c r="AG526">
        <v>13</v>
      </c>
      <c r="AH526">
        <v>1</v>
      </c>
      <c r="AI526">
        <v>1</v>
      </c>
      <c r="AJ526">
        <v>0</v>
      </c>
      <c r="AK526">
        <v>4</v>
      </c>
      <c r="AL526" t="s">
        <v>3226</v>
      </c>
      <c r="AM526" t="s">
        <v>296</v>
      </c>
      <c r="AN526" t="s">
        <v>3244</v>
      </c>
      <c r="AO526" t="s">
        <v>9943</v>
      </c>
      <c r="AP526" t="s">
        <v>74</v>
      </c>
      <c r="AQ526" t="s">
        <v>9944</v>
      </c>
      <c r="AR526" t="s">
        <v>9945</v>
      </c>
      <c r="AS526" t="s">
        <v>74</v>
      </c>
      <c r="AT526" t="s">
        <v>74</v>
      </c>
      <c r="AU526">
        <v>2013</v>
      </c>
      <c r="AV526" t="s">
        <v>74</v>
      </c>
      <c r="AW526" t="s">
        <v>74</v>
      </c>
      <c r="AX526" t="s">
        <v>74</v>
      </c>
      <c r="AY526" t="s">
        <v>74</v>
      </c>
      <c r="AZ526" t="s">
        <v>74</v>
      </c>
      <c r="BA526" t="s">
        <v>74</v>
      </c>
      <c r="BB526">
        <v>232</v>
      </c>
      <c r="BC526">
        <v>235</v>
      </c>
      <c r="BD526" t="s">
        <v>74</v>
      </c>
      <c r="BE526" t="s">
        <v>9964</v>
      </c>
      <c r="BF526" t="str">
        <f>HYPERLINK("http://dx.doi.org/10.1109/IGARSS.2013.6721134","http://dx.doi.org/10.1109/IGARSS.2013.6721134")</f>
        <v>http://dx.doi.org/10.1109/IGARSS.2013.6721134</v>
      </c>
      <c r="BG526" t="s">
        <v>74</v>
      </c>
      <c r="BH526" t="s">
        <v>74</v>
      </c>
      <c r="BI526">
        <v>4</v>
      </c>
      <c r="BJ526" t="s">
        <v>9947</v>
      </c>
      <c r="BK526" t="s">
        <v>3247</v>
      </c>
      <c r="BL526" t="s">
        <v>9948</v>
      </c>
      <c r="BM526" t="s">
        <v>9949</v>
      </c>
      <c r="BN526" t="s">
        <v>74</v>
      </c>
      <c r="BO526" t="s">
        <v>74</v>
      </c>
      <c r="BP526" t="s">
        <v>74</v>
      </c>
      <c r="BQ526" t="s">
        <v>74</v>
      </c>
      <c r="BR526" t="s">
        <v>105</v>
      </c>
      <c r="BS526" t="s">
        <v>9965</v>
      </c>
      <c r="BT526" t="str">
        <f>HYPERLINK("https%3A%2F%2Fwww.webofscience.com%2Fwos%2Fwoscc%2Ffull-record%2FWOS:000345638900056","View Full Record in Web of Science")</f>
        <v>View Full Record in Web of Science</v>
      </c>
    </row>
    <row r="527" spans="1:72" x14ac:dyDescent="0.15">
      <c r="A527" t="s">
        <v>3224</v>
      </c>
      <c r="B527" t="s">
        <v>9966</v>
      </c>
      <c r="C527" t="s">
        <v>74</v>
      </c>
      <c r="D527" t="s">
        <v>74</v>
      </c>
      <c r="E527" t="s">
        <v>3226</v>
      </c>
      <c r="F527" t="s">
        <v>9967</v>
      </c>
      <c r="G527" t="s">
        <v>74</v>
      </c>
      <c r="H527" t="s">
        <v>74</v>
      </c>
      <c r="I527" t="s">
        <v>9968</v>
      </c>
      <c r="J527" t="s">
        <v>9929</v>
      </c>
      <c r="K527" t="s">
        <v>9930</v>
      </c>
      <c r="L527" t="s">
        <v>74</v>
      </c>
      <c r="M527" t="s">
        <v>78</v>
      </c>
      <c r="N527" t="s">
        <v>3231</v>
      </c>
      <c r="O527" t="s">
        <v>9931</v>
      </c>
      <c r="P527" t="s">
        <v>9932</v>
      </c>
      <c r="Q527" t="s">
        <v>9933</v>
      </c>
      <c r="R527" t="s">
        <v>74</v>
      </c>
      <c r="S527" t="s">
        <v>74</v>
      </c>
      <c r="T527" t="s">
        <v>9969</v>
      </c>
      <c r="U527" t="s">
        <v>9970</v>
      </c>
      <c r="V527" t="s">
        <v>9971</v>
      </c>
      <c r="W527" t="s">
        <v>9972</v>
      </c>
      <c r="X527" t="s">
        <v>4580</v>
      </c>
      <c r="Y527" t="s">
        <v>9973</v>
      </c>
      <c r="Z527" t="s">
        <v>9974</v>
      </c>
      <c r="AA527" t="s">
        <v>74</v>
      </c>
      <c r="AB527" t="s">
        <v>9975</v>
      </c>
      <c r="AC527" t="s">
        <v>74</v>
      </c>
      <c r="AD527" t="s">
        <v>74</v>
      </c>
      <c r="AE527" t="s">
        <v>74</v>
      </c>
      <c r="AF527" t="s">
        <v>74</v>
      </c>
      <c r="AG527">
        <v>6</v>
      </c>
      <c r="AH527">
        <v>8</v>
      </c>
      <c r="AI527">
        <v>8</v>
      </c>
      <c r="AJ527">
        <v>0</v>
      </c>
      <c r="AK527">
        <v>2</v>
      </c>
      <c r="AL527" t="s">
        <v>3226</v>
      </c>
      <c r="AM527" t="s">
        <v>296</v>
      </c>
      <c r="AN527" t="s">
        <v>3244</v>
      </c>
      <c r="AO527" t="s">
        <v>9943</v>
      </c>
      <c r="AP527" t="s">
        <v>74</v>
      </c>
      <c r="AQ527" t="s">
        <v>9944</v>
      </c>
      <c r="AR527" t="s">
        <v>9945</v>
      </c>
      <c r="AS527" t="s">
        <v>74</v>
      </c>
      <c r="AT527" t="s">
        <v>74</v>
      </c>
      <c r="AU527">
        <v>2013</v>
      </c>
      <c r="AV527" t="s">
        <v>74</v>
      </c>
      <c r="AW527" t="s">
        <v>74</v>
      </c>
      <c r="AX527" t="s">
        <v>74</v>
      </c>
      <c r="AY527" t="s">
        <v>74</v>
      </c>
      <c r="AZ527" t="s">
        <v>74</v>
      </c>
      <c r="BA527" t="s">
        <v>74</v>
      </c>
      <c r="BB527">
        <v>1900</v>
      </c>
      <c r="BC527">
        <v>1903</v>
      </c>
      <c r="BD527" t="s">
        <v>74</v>
      </c>
      <c r="BE527" t="s">
        <v>9976</v>
      </c>
      <c r="BF527" t="str">
        <f>HYPERLINK("http://dx.doi.org/10.1109/IGARSS.2013.6723175","http://dx.doi.org/10.1109/IGARSS.2013.6723175")</f>
        <v>http://dx.doi.org/10.1109/IGARSS.2013.6723175</v>
      </c>
      <c r="BG527" t="s">
        <v>74</v>
      </c>
      <c r="BH527" t="s">
        <v>74</v>
      </c>
      <c r="BI527">
        <v>4</v>
      </c>
      <c r="BJ527" t="s">
        <v>9947</v>
      </c>
      <c r="BK527" t="s">
        <v>3247</v>
      </c>
      <c r="BL527" t="s">
        <v>9948</v>
      </c>
      <c r="BM527" t="s">
        <v>9949</v>
      </c>
      <c r="BN527" t="s">
        <v>74</v>
      </c>
      <c r="BO527" t="s">
        <v>74</v>
      </c>
      <c r="BP527" t="s">
        <v>74</v>
      </c>
      <c r="BQ527" t="s">
        <v>74</v>
      </c>
      <c r="BR527" t="s">
        <v>105</v>
      </c>
      <c r="BS527" t="s">
        <v>9977</v>
      </c>
      <c r="BT527" t="str">
        <f>HYPERLINK("https%3A%2F%2Fwww.webofscience.com%2Fwos%2Fwoscc%2Ffull-record%2FWOS:000345638901256","View Full Record in Web of Science")</f>
        <v>View Full Record in Web of Science</v>
      </c>
    </row>
    <row r="528" spans="1:72" x14ac:dyDescent="0.15">
      <c r="A528" t="s">
        <v>3224</v>
      </c>
      <c r="B528" t="s">
        <v>9978</v>
      </c>
      <c r="C528" t="s">
        <v>74</v>
      </c>
      <c r="D528" t="s">
        <v>74</v>
      </c>
      <c r="E528" t="s">
        <v>3226</v>
      </c>
      <c r="F528" t="s">
        <v>9979</v>
      </c>
      <c r="G528" t="s">
        <v>74</v>
      </c>
      <c r="H528" t="s">
        <v>74</v>
      </c>
      <c r="I528" t="s">
        <v>9980</v>
      </c>
      <c r="J528" t="s">
        <v>9929</v>
      </c>
      <c r="K528" t="s">
        <v>9930</v>
      </c>
      <c r="L528" t="s">
        <v>74</v>
      </c>
      <c r="M528" t="s">
        <v>78</v>
      </c>
      <c r="N528" t="s">
        <v>3231</v>
      </c>
      <c r="O528" t="s">
        <v>9931</v>
      </c>
      <c r="P528" t="s">
        <v>9932</v>
      </c>
      <c r="Q528" t="s">
        <v>9933</v>
      </c>
      <c r="R528" t="s">
        <v>74</v>
      </c>
      <c r="S528" t="s">
        <v>74</v>
      </c>
      <c r="T528" t="s">
        <v>9981</v>
      </c>
      <c r="U528" t="s">
        <v>74</v>
      </c>
      <c r="V528" t="s">
        <v>9982</v>
      </c>
      <c r="W528" t="s">
        <v>9983</v>
      </c>
      <c r="X528" t="s">
        <v>9984</v>
      </c>
      <c r="Y528" t="s">
        <v>9985</v>
      </c>
      <c r="Z528" t="s">
        <v>74</v>
      </c>
      <c r="AA528" t="s">
        <v>9986</v>
      </c>
      <c r="AB528" t="s">
        <v>9987</v>
      </c>
      <c r="AC528" t="s">
        <v>74</v>
      </c>
      <c r="AD528" t="s">
        <v>74</v>
      </c>
      <c r="AE528" t="s">
        <v>74</v>
      </c>
      <c r="AF528" t="s">
        <v>74</v>
      </c>
      <c r="AG528">
        <v>6</v>
      </c>
      <c r="AH528">
        <v>3</v>
      </c>
      <c r="AI528">
        <v>3</v>
      </c>
      <c r="AJ528">
        <v>0</v>
      </c>
      <c r="AK528">
        <v>2</v>
      </c>
      <c r="AL528" t="s">
        <v>3226</v>
      </c>
      <c r="AM528" t="s">
        <v>296</v>
      </c>
      <c r="AN528" t="s">
        <v>3244</v>
      </c>
      <c r="AO528" t="s">
        <v>9943</v>
      </c>
      <c r="AP528" t="s">
        <v>74</v>
      </c>
      <c r="AQ528" t="s">
        <v>9944</v>
      </c>
      <c r="AR528" t="s">
        <v>9945</v>
      </c>
      <c r="AS528" t="s">
        <v>74</v>
      </c>
      <c r="AT528" t="s">
        <v>74</v>
      </c>
      <c r="AU528">
        <v>2013</v>
      </c>
      <c r="AV528" t="s">
        <v>74</v>
      </c>
      <c r="AW528" t="s">
        <v>74</v>
      </c>
      <c r="AX528" t="s">
        <v>74</v>
      </c>
      <c r="AY528" t="s">
        <v>74</v>
      </c>
      <c r="AZ528" t="s">
        <v>74</v>
      </c>
      <c r="BA528" t="s">
        <v>74</v>
      </c>
      <c r="BB528">
        <v>3427</v>
      </c>
      <c r="BC528">
        <v>3430</v>
      </c>
      <c r="BD528" t="s">
        <v>74</v>
      </c>
      <c r="BE528" t="s">
        <v>9988</v>
      </c>
      <c r="BF528" t="str">
        <f>HYPERLINK("http://dx.doi.org/10.1109/IGARSS.2013.6723565","http://dx.doi.org/10.1109/IGARSS.2013.6723565")</f>
        <v>http://dx.doi.org/10.1109/IGARSS.2013.6723565</v>
      </c>
      <c r="BG528" t="s">
        <v>74</v>
      </c>
      <c r="BH528" t="s">
        <v>74</v>
      </c>
      <c r="BI528">
        <v>4</v>
      </c>
      <c r="BJ528" t="s">
        <v>9947</v>
      </c>
      <c r="BK528" t="s">
        <v>3247</v>
      </c>
      <c r="BL528" t="s">
        <v>9948</v>
      </c>
      <c r="BM528" t="s">
        <v>9949</v>
      </c>
      <c r="BN528" t="s">
        <v>74</v>
      </c>
      <c r="BO528" t="s">
        <v>74</v>
      </c>
      <c r="BP528" t="s">
        <v>74</v>
      </c>
      <c r="BQ528" t="s">
        <v>74</v>
      </c>
      <c r="BR528" t="s">
        <v>105</v>
      </c>
      <c r="BS528" t="s">
        <v>9989</v>
      </c>
      <c r="BT528" t="str">
        <f>HYPERLINK("https%3A%2F%2Fwww.webofscience.com%2Fwos%2Fwoscc%2Ffull-record%2FWOS:000345638903125","View Full Record in Web of Science")</f>
        <v>View Full Record in Web of Science</v>
      </c>
    </row>
    <row r="529" spans="1:72" x14ac:dyDescent="0.15">
      <c r="A529" t="s">
        <v>3224</v>
      </c>
      <c r="B529" t="s">
        <v>9990</v>
      </c>
      <c r="C529" t="s">
        <v>74</v>
      </c>
      <c r="D529" t="s">
        <v>74</v>
      </c>
      <c r="E529" t="s">
        <v>3226</v>
      </c>
      <c r="F529" t="s">
        <v>9991</v>
      </c>
      <c r="G529" t="s">
        <v>74</v>
      </c>
      <c r="H529" t="s">
        <v>74</v>
      </c>
      <c r="I529" t="s">
        <v>9992</v>
      </c>
      <c r="J529" t="s">
        <v>9993</v>
      </c>
      <c r="K529" t="s">
        <v>9994</v>
      </c>
      <c r="L529" t="s">
        <v>74</v>
      </c>
      <c r="M529" t="s">
        <v>78</v>
      </c>
      <c r="N529" t="s">
        <v>3231</v>
      </c>
      <c r="O529" t="s">
        <v>9994</v>
      </c>
      <c r="P529" t="s">
        <v>9995</v>
      </c>
      <c r="Q529" t="s">
        <v>9996</v>
      </c>
      <c r="R529" t="s">
        <v>74</v>
      </c>
      <c r="S529" t="s">
        <v>74</v>
      </c>
      <c r="T529" t="s">
        <v>9997</v>
      </c>
      <c r="U529" t="s">
        <v>9998</v>
      </c>
      <c r="V529" t="s">
        <v>9999</v>
      </c>
      <c r="W529" t="s">
        <v>10000</v>
      </c>
      <c r="X529" t="s">
        <v>695</v>
      </c>
      <c r="Y529" t="s">
        <v>10001</v>
      </c>
      <c r="Z529" t="s">
        <v>10002</v>
      </c>
      <c r="AA529" t="s">
        <v>74</v>
      </c>
      <c r="AB529" t="s">
        <v>699</v>
      </c>
      <c r="AC529" t="s">
        <v>74</v>
      </c>
      <c r="AD529" t="s">
        <v>74</v>
      </c>
      <c r="AE529" t="s">
        <v>74</v>
      </c>
      <c r="AF529" t="s">
        <v>74</v>
      </c>
      <c r="AG529">
        <v>14</v>
      </c>
      <c r="AH529">
        <v>1</v>
      </c>
      <c r="AI529">
        <v>1</v>
      </c>
      <c r="AJ529">
        <v>0</v>
      </c>
      <c r="AK529">
        <v>3</v>
      </c>
      <c r="AL529" t="s">
        <v>3226</v>
      </c>
      <c r="AM529" t="s">
        <v>296</v>
      </c>
      <c r="AN529" t="s">
        <v>3244</v>
      </c>
      <c r="AO529" t="s">
        <v>10003</v>
      </c>
      <c r="AP529" t="s">
        <v>74</v>
      </c>
      <c r="AQ529" t="s">
        <v>74</v>
      </c>
      <c r="AR529" t="s">
        <v>10004</v>
      </c>
      <c r="AS529" t="s">
        <v>74</v>
      </c>
      <c r="AT529" t="s">
        <v>74</v>
      </c>
      <c r="AU529">
        <v>2013</v>
      </c>
      <c r="AV529" t="s">
        <v>74</v>
      </c>
      <c r="AW529" t="s">
        <v>74</v>
      </c>
      <c r="AX529" t="s">
        <v>74</v>
      </c>
      <c r="AY529" t="s">
        <v>74</v>
      </c>
      <c r="AZ529" t="s">
        <v>74</v>
      </c>
      <c r="BA529" t="s">
        <v>74</v>
      </c>
      <c r="BB529" t="s">
        <v>74</v>
      </c>
      <c r="BC529" t="s">
        <v>74</v>
      </c>
      <c r="BD529" t="s">
        <v>74</v>
      </c>
      <c r="BE529" t="s">
        <v>74</v>
      </c>
      <c r="BF529" t="s">
        <v>74</v>
      </c>
      <c r="BG529" t="s">
        <v>74</v>
      </c>
      <c r="BH529" t="s">
        <v>74</v>
      </c>
      <c r="BI529">
        <v>4</v>
      </c>
      <c r="BJ529" t="s">
        <v>10005</v>
      </c>
      <c r="BK529" t="s">
        <v>3247</v>
      </c>
      <c r="BL529" t="s">
        <v>10006</v>
      </c>
      <c r="BM529" t="s">
        <v>10007</v>
      </c>
      <c r="BN529" t="s">
        <v>74</v>
      </c>
      <c r="BO529" t="s">
        <v>74</v>
      </c>
      <c r="BP529" t="s">
        <v>74</v>
      </c>
      <c r="BQ529" t="s">
        <v>74</v>
      </c>
      <c r="BR529" t="s">
        <v>105</v>
      </c>
      <c r="BS529" t="s">
        <v>10008</v>
      </c>
      <c r="BT529" t="str">
        <f>HYPERLINK("https%3A%2F%2Fwww.webofscience.com%2Fwos%2Fwoscc%2Ffull-record%2FWOS:000352852100051","View Full Record in Web of Science")</f>
        <v>View Full Record in Web of Science</v>
      </c>
    </row>
    <row r="530" spans="1:72" x14ac:dyDescent="0.15">
      <c r="A530" t="s">
        <v>3224</v>
      </c>
      <c r="B530" t="s">
        <v>10009</v>
      </c>
      <c r="C530" t="s">
        <v>74</v>
      </c>
      <c r="D530" t="s">
        <v>74</v>
      </c>
      <c r="E530" t="s">
        <v>3226</v>
      </c>
      <c r="F530" t="s">
        <v>10010</v>
      </c>
      <c r="G530" t="s">
        <v>74</v>
      </c>
      <c r="H530" t="s">
        <v>74</v>
      </c>
      <c r="I530" t="s">
        <v>10011</v>
      </c>
      <c r="J530" t="s">
        <v>10012</v>
      </c>
      <c r="K530" t="s">
        <v>10013</v>
      </c>
      <c r="L530" t="s">
        <v>74</v>
      </c>
      <c r="M530" t="s">
        <v>78</v>
      </c>
      <c r="N530" t="s">
        <v>3231</v>
      </c>
      <c r="O530" t="s">
        <v>10014</v>
      </c>
      <c r="P530" t="s">
        <v>10015</v>
      </c>
      <c r="Q530" t="s">
        <v>6192</v>
      </c>
      <c r="R530" t="s">
        <v>74</v>
      </c>
      <c r="S530" t="s">
        <v>74</v>
      </c>
      <c r="T530" t="s">
        <v>74</v>
      </c>
      <c r="U530" t="s">
        <v>10016</v>
      </c>
      <c r="V530" t="s">
        <v>10017</v>
      </c>
      <c r="W530" t="s">
        <v>10018</v>
      </c>
      <c r="X530" t="s">
        <v>6218</v>
      </c>
      <c r="Y530" t="s">
        <v>10019</v>
      </c>
      <c r="Z530" t="s">
        <v>74</v>
      </c>
      <c r="AA530" t="s">
        <v>10020</v>
      </c>
      <c r="AB530" t="s">
        <v>74</v>
      </c>
      <c r="AC530" t="s">
        <v>74</v>
      </c>
      <c r="AD530" t="s">
        <v>74</v>
      </c>
      <c r="AE530" t="s">
        <v>74</v>
      </c>
      <c r="AF530" t="s">
        <v>74</v>
      </c>
      <c r="AG530">
        <v>7</v>
      </c>
      <c r="AH530">
        <v>0</v>
      </c>
      <c r="AI530">
        <v>0</v>
      </c>
      <c r="AJ530">
        <v>0</v>
      </c>
      <c r="AK530">
        <v>1</v>
      </c>
      <c r="AL530" t="s">
        <v>3226</v>
      </c>
      <c r="AM530" t="s">
        <v>296</v>
      </c>
      <c r="AN530" t="s">
        <v>3244</v>
      </c>
      <c r="AO530" t="s">
        <v>10021</v>
      </c>
      <c r="AP530" t="s">
        <v>74</v>
      </c>
      <c r="AQ530" t="s">
        <v>10022</v>
      </c>
      <c r="AR530" t="s">
        <v>10023</v>
      </c>
      <c r="AS530" t="s">
        <v>74</v>
      </c>
      <c r="AT530" t="s">
        <v>74</v>
      </c>
      <c r="AU530">
        <v>2013</v>
      </c>
      <c r="AV530" t="s">
        <v>74</v>
      </c>
      <c r="AW530" t="s">
        <v>74</v>
      </c>
      <c r="AX530" t="s">
        <v>74</v>
      </c>
      <c r="AY530" t="s">
        <v>74</v>
      </c>
      <c r="AZ530" t="s">
        <v>74</v>
      </c>
      <c r="BA530" t="s">
        <v>74</v>
      </c>
      <c r="BB530">
        <v>1402</v>
      </c>
      <c r="BC530">
        <v>1402</v>
      </c>
      <c r="BD530" t="s">
        <v>74</v>
      </c>
      <c r="BE530" t="s">
        <v>74</v>
      </c>
      <c r="BF530" t="s">
        <v>74</v>
      </c>
      <c r="BG530" t="s">
        <v>74</v>
      </c>
      <c r="BH530" t="s">
        <v>74</v>
      </c>
      <c r="BI530">
        <v>1</v>
      </c>
      <c r="BJ530" t="s">
        <v>10024</v>
      </c>
      <c r="BK530" t="s">
        <v>3247</v>
      </c>
      <c r="BL530" t="s">
        <v>10025</v>
      </c>
      <c r="BM530" t="s">
        <v>10026</v>
      </c>
      <c r="BN530" t="s">
        <v>74</v>
      </c>
      <c r="BO530" t="s">
        <v>74</v>
      </c>
      <c r="BP530" t="s">
        <v>74</v>
      </c>
      <c r="BQ530" t="s">
        <v>74</v>
      </c>
      <c r="BR530" t="s">
        <v>105</v>
      </c>
      <c r="BS530" t="s">
        <v>10027</v>
      </c>
      <c r="BT530" t="str">
        <f>HYPERLINK("https%3A%2F%2Fwww.webofscience.com%2Fwos%2Fwoscc%2Ffull-record%2FWOS:000379846100339","View Full Record in Web of Science")</f>
        <v>View Full Record in Web of Science</v>
      </c>
    </row>
    <row r="531" spans="1:72" x14ac:dyDescent="0.15">
      <c r="A531" t="s">
        <v>3224</v>
      </c>
      <c r="B531" t="s">
        <v>10028</v>
      </c>
      <c r="C531" t="s">
        <v>74</v>
      </c>
      <c r="D531" t="s">
        <v>74</v>
      </c>
      <c r="E531" t="s">
        <v>3226</v>
      </c>
      <c r="F531" t="s">
        <v>10029</v>
      </c>
      <c r="G531" t="s">
        <v>74</v>
      </c>
      <c r="H531" t="s">
        <v>74</v>
      </c>
      <c r="I531" t="s">
        <v>10030</v>
      </c>
      <c r="J531" t="s">
        <v>4011</v>
      </c>
      <c r="K531" t="s">
        <v>4012</v>
      </c>
      <c r="L531" t="s">
        <v>74</v>
      </c>
      <c r="M531" t="s">
        <v>78</v>
      </c>
      <c r="N531" t="s">
        <v>3231</v>
      </c>
      <c r="O531" t="s">
        <v>4013</v>
      </c>
      <c r="P531" t="s">
        <v>4014</v>
      </c>
      <c r="Q531" t="s">
        <v>4015</v>
      </c>
      <c r="R531" t="s">
        <v>74</v>
      </c>
      <c r="S531" t="s">
        <v>74</v>
      </c>
      <c r="T531" t="s">
        <v>10031</v>
      </c>
      <c r="U531" t="s">
        <v>10032</v>
      </c>
      <c r="V531" t="s">
        <v>10033</v>
      </c>
      <c r="W531" t="s">
        <v>10034</v>
      </c>
      <c r="X531" t="s">
        <v>10035</v>
      </c>
      <c r="Y531" t="s">
        <v>10036</v>
      </c>
      <c r="Z531" t="s">
        <v>74</v>
      </c>
      <c r="AA531" t="s">
        <v>10037</v>
      </c>
      <c r="AB531" t="s">
        <v>10038</v>
      </c>
      <c r="AC531" t="s">
        <v>74</v>
      </c>
      <c r="AD531" t="s">
        <v>74</v>
      </c>
      <c r="AE531" t="s">
        <v>74</v>
      </c>
      <c r="AF531" t="s">
        <v>74</v>
      </c>
      <c r="AG531">
        <v>34</v>
      </c>
      <c r="AH531">
        <v>13</v>
      </c>
      <c r="AI531">
        <v>13</v>
      </c>
      <c r="AJ531">
        <v>0</v>
      </c>
      <c r="AK531">
        <v>2</v>
      </c>
      <c r="AL531" t="s">
        <v>3226</v>
      </c>
      <c r="AM531" t="s">
        <v>296</v>
      </c>
      <c r="AN531" t="s">
        <v>3244</v>
      </c>
      <c r="AO531" t="s">
        <v>4025</v>
      </c>
      <c r="AP531" t="s">
        <v>74</v>
      </c>
      <c r="AQ531" t="s">
        <v>4026</v>
      </c>
      <c r="AR531" t="s">
        <v>4012</v>
      </c>
      <c r="AS531" t="s">
        <v>74</v>
      </c>
      <c r="AT531" t="s">
        <v>74</v>
      </c>
      <c r="AU531">
        <v>2013</v>
      </c>
      <c r="AV531" t="s">
        <v>74</v>
      </c>
      <c r="AW531" t="s">
        <v>74</v>
      </c>
      <c r="AX531" t="s">
        <v>74</v>
      </c>
      <c r="AY531" t="s">
        <v>74</v>
      </c>
      <c r="AZ531" t="s">
        <v>74</v>
      </c>
      <c r="BA531" t="s">
        <v>74</v>
      </c>
      <c r="BB531" t="s">
        <v>74</v>
      </c>
      <c r="BC531" t="s">
        <v>74</v>
      </c>
      <c r="BD531" t="s">
        <v>74</v>
      </c>
      <c r="BE531" t="s">
        <v>74</v>
      </c>
      <c r="BF531" t="s">
        <v>74</v>
      </c>
      <c r="BG531" t="s">
        <v>74</v>
      </c>
      <c r="BH531" t="s">
        <v>74</v>
      </c>
      <c r="BI531">
        <v>7</v>
      </c>
      <c r="BJ531" t="s">
        <v>4027</v>
      </c>
      <c r="BK531" t="s">
        <v>3247</v>
      </c>
      <c r="BL531" t="s">
        <v>4028</v>
      </c>
      <c r="BM531" t="s">
        <v>4029</v>
      </c>
      <c r="BN531" t="s">
        <v>74</v>
      </c>
      <c r="BO531" t="s">
        <v>74</v>
      </c>
      <c r="BP531" t="s">
        <v>74</v>
      </c>
      <c r="BQ531" t="s">
        <v>74</v>
      </c>
      <c r="BR531" t="s">
        <v>105</v>
      </c>
      <c r="BS531" t="s">
        <v>10039</v>
      </c>
      <c r="BT531" t="str">
        <f>HYPERLINK("https%3A%2F%2Fwww.webofscience.com%2Fwos%2Fwoscc%2Ffull-record%2FWOS:000335313100067","View Full Record in Web of Science")</f>
        <v>View Full Record in Web of Science</v>
      </c>
    </row>
    <row r="532" spans="1:72" x14ac:dyDescent="0.15">
      <c r="A532" t="s">
        <v>3224</v>
      </c>
      <c r="B532" t="s">
        <v>10040</v>
      </c>
      <c r="C532" t="s">
        <v>74</v>
      </c>
      <c r="D532" t="s">
        <v>74</v>
      </c>
      <c r="E532" t="s">
        <v>10041</v>
      </c>
      <c r="F532" t="s">
        <v>10042</v>
      </c>
      <c r="G532" t="s">
        <v>74</v>
      </c>
      <c r="H532" t="s">
        <v>74</v>
      </c>
      <c r="I532" t="s">
        <v>10043</v>
      </c>
      <c r="J532" t="s">
        <v>10044</v>
      </c>
      <c r="K532" t="s">
        <v>10045</v>
      </c>
      <c r="L532" t="s">
        <v>74</v>
      </c>
      <c r="M532" t="s">
        <v>78</v>
      </c>
      <c r="N532" t="s">
        <v>3231</v>
      </c>
      <c r="O532" t="s">
        <v>10046</v>
      </c>
      <c r="P532" t="s">
        <v>10047</v>
      </c>
      <c r="Q532" t="s">
        <v>10048</v>
      </c>
      <c r="R532" t="s">
        <v>74</v>
      </c>
      <c r="S532" t="s">
        <v>10049</v>
      </c>
      <c r="T532" t="s">
        <v>74</v>
      </c>
      <c r="U532" t="s">
        <v>74</v>
      </c>
      <c r="V532" t="s">
        <v>10050</v>
      </c>
      <c r="W532" t="s">
        <v>10051</v>
      </c>
      <c r="X532" t="s">
        <v>10052</v>
      </c>
      <c r="Y532" t="s">
        <v>10053</v>
      </c>
      <c r="Z532" t="s">
        <v>10054</v>
      </c>
      <c r="AA532" t="s">
        <v>10055</v>
      </c>
      <c r="AB532" t="s">
        <v>10056</v>
      </c>
      <c r="AC532" t="s">
        <v>74</v>
      </c>
      <c r="AD532" t="s">
        <v>74</v>
      </c>
      <c r="AE532" t="s">
        <v>74</v>
      </c>
      <c r="AF532" t="s">
        <v>74</v>
      </c>
      <c r="AG532">
        <v>7</v>
      </c>
      <c r="AH532">
        <v>8</v>
      </c>
      <c r="AI532">
        <v>8</v>
      </c>
      <c r="AJ532">
        <v>0</v>
      </c>
      <c r="AK532">
        <v>2</v>
      </c>
      <c r="AL532" t="s">
        <v>10057</v>
      </c>
      <c r="AM532" t="s">
        <v>10058</v>
      </c>
      <c r="AN532" t="s">
        <v>10059</v>
      </c>
      <c r="AO532" t="s">
        <v>10060</v>
      </c>
      <c r="AP532" t="s">
        <v>10061</v>
      </c>
      <c r="AQ532" t="s">
        <v>74</v>
      </c>
      <c r="AR532" t="s">
        <v>10062</v>
      </c>
      <c r="AS532" t="s">
        <v>74</v>
      </c>
      <c r="AT532" t="s">
        <v>74</v>
      </c>
      <c r="AU532">
        <v>2013</v>
      </c>
      <c r="AV532">
        <v>409</v>
      </c>
      <c r="AW532" t="s">
        <v>74</v>
      </c>
      <c r="AX532" t="s">
        <v>74</v>
      </c>
      <c r="AY532" t="s">
        <v>74</v>
      </c>
      <c r="AZ532" t="s">
        <v>74</v>
      </c>
      <c r="BA532" t="s">
        <v>74</v>
      </c>
      <c r="BB532" t="s">
        <v>74</v>
      </c>
      <c r="BC532" t="s">
        <v>74</v>
      </c>
      <c r="BD532">
        <v>12237</v>
      </c>
      <c r="BE532" t="s">
        <v>10063</v>
      </c>
      <c r="BF532" t="str">
        <f>HYPERLINK("http://dx.doi.org/10.1088/1742-6596/409/1/012237","http://dx.doi.org/10.1088/1742-6596/409/1/012237")</f>
        <v>http://dx.doi.org/10.1088/1742-6596/409/1/012237</v>
      </c>
      <c r="BG532" t="s">
        <v>74</v>
      </c>
      <c r="BH532" t="s">
        <v>74</v>
      </c>
      <c r="BI532">
        <v>4</v>
      </c>
      <c r="BJ532" t="s">
        <v>153</v>
      </c>
      <c r="BK532" t="s">
        <v>3247</v>
      </c>
      <c r="BL532" t="s">
        <v>153</v>
      </c>
      <c r="BM532" t="s">
        <v>10064</v>
      </c>
      <c r="BN532" t="s">
        <v>74</v>
      </c>
      <c r="BO532" t="s">
        <v>1719</v>
      </c>
      <c r="BP532" t="s">
        <v>74</v>
      </c>
      <c r="BQ532" t="s">
        <v>74</v>
      </c>
      <c r="BR532" t="s">
        <v>105</v>
      </c>
      <c r="BS532" t="s">
        <v>10065</v>
      </c>
      <c r="BT532" t="str">
        <f>HYPERLINK("https%3A%2F%2Fwww.webofscience.com%2Fwos%2Fwoscc%2Ffull-record%2FWOS:000315408200237","View Full Record in Web of Science")</f>
        <v>View Full Record in Web of Science</v>
      </c>
    </row>
    <row r="533" spans="1:72" x14ac:dyDescent="0.15">
      <c r="A533" t="s">
        <v>3224</v>
      </c>
      <c r="B533" t="s">
        <v>10066</v>
      </c>
      <c r="C533" t="s">
        <v>74</v>
      </c>
      <c r="D533" t="s">
        <v>10067</v>
      </c>
      <c r="E533" t="s">
        <v>74</v>
      </c>
      <c r="F533" t="s">
        <v>10068</v>
      </c>
      <c r="G533" t="s">
        <v>74</v>
      </c>
      <c r="H533" t="s">
        <v>74</v>
      </c>
      <c r="I533" t="s">
        <v>10069</v>
      </c>
      <c r="J533" t="s">
        <v>10070</v>
      </c>
      <c r="K533" t="s">
        <v>4036</v>
      </c>
      <c r="L533" t="s">
        <v>74</v>
      </c>
      <c r="M533" t="s">
        <v>78</v>
      </c>
      <c r="N533" t="s">
        <v>3231</v>
      </c>
      <c r="O533" t="s">
        <v>10071</v>
      </c>
      <c r="P533" t="s">
        <v>10072</v>
      </c>
      <c r="Q533" t="s">
        <v>10073</v>
      </c>
      <c r="R533" t="s">
        <v>74</v>
      </c>
      <c r="S533" t="s">
        <v>10074</v>
      </c>
      <c r="T533" t="s">
        <v>10075</v>
      </c>
      <c r="U533" t="s">
        <v>74</v>
      </c>
      <c r="V533" t="s">
        <v>10076</v>
      </c>
      <c r="W533" t="s">
        <v>10077</v>
      </c>
      <c r="X533" t="s">
        <v>10078</v>
      </c>
      <c r="Y533" t="s">
        <v>74</v>
      </c>
      <c r="Z533" t="s">
        <v>10079</v>
      </c>
      <c r="AA533" t="s">
        <v>74</v>
      </c>
      <c r="AB533" t="s">
        <v>74</v>
      </c>
      <c r="AC533" t="s">
        <v>74</v>
      </c>
      <c r="AD533" t="s">
        <v>74</v>
      </c>
      <c r="AE533" t="s">
        <v>74</v>
      </c>
      <c r="AF533" t="s">
        <v>74</v>
      </c>
      <c r="AG533">
        <v>4</v>
      </c>
      <c r="AH533">
        <v>2</v>
      </c>
      <c r="AI533">
        <v>3</v>
      </c>
      <c r="AJ533">
        <v>2</v>
      </c>
      <c r="AK533">
        <v>5</v>
      </c>
      <c r="AL533" t="s">
        <v>541</v>
      </c>
      <c r="AM533" t="s">
        <v>542</v>
      </c>
      <c r="AN533" t="s">
        <v>4053</v>
      </c>
      <c r="AO533" t="s">
        <v>4054</v>
      </c>
      <c r="AP533" t="s">
        <v>74</v>
      </c>
      <c r="AQ533" t="s">
        <v>74</v>
      </c>
      <c r="AR533" t="s">
        <v>4055</v>
      </c>
      <c r="AS533" t="s">
        <v>74</v>
      </c>
      <c r="AT533" t="s">
        <v>74</v>
      </c>
      <c r="AU533">
        <v>2013</v>
      </c>
      <c r="AV533">
        <v>90</v>
      </c>
      <c r="AW533" t="s">
        <v>74</v>
      </c>
      <c r="AX533" t="s">
        <v>74</v>
      </c>
      <c r="AY533" t="s">
        <v>74</v>
      </c>
      <c r="AZ533" t="s">
        <v>74</v>
      </c>
      <c r="BA533" t="s">
        <v>74</v>
      </c>
      <c r="BB533">
        <v>764</v>
      </c>
      <c r="BC533">
        <v>771</v>
      </c>
      <c r="BD533" t="s">
        <v>74</v>
      </c>
      <c r="BE533" t="s">
        <v>10080</v>
      </c>
      <c r="BF533" t="str">
        <f>HYPERLINK("http://dx.doi.org/10.1016/j.sbspro.2013.07.150","http://dx.doi.org/10.1016/j.sbspro.2013.07.150")</f>
        <v>http://dx.doi.org/10.1016/j.sbspro.2013.07.150</v>
      </c>
      <c r="BG533" t="s">
        <v>74</v>
      </c>
      <c r="BH533" t="s">
        <v>74</v>
      </c>
      <c r="BI533">
        <v>8</v>
      </c>
      <c r="BJ533" t="s">
        <v>10081</v>
      </c>
      <c r="BK533" t="s">
        <v>4058</v>
      </c>
      <c r="BL533" t="s">
        <v>10081</v>
      </c>
      <c r="BM533" t="s">
        <v>10082</v>
      </c>
      <c r="BN533" t="s">
        <v>74</v>
      </c>
      <c r="BO533" t="s">
        <v>1719</v>
      </c>
      <c r="BP533" t="s">
        <v>74</v>
      </c>
      <c r="BQ533" t="s">
        <v>74</v>
      </c>
      <c r="BR533" t="s">
        <v>105</v>
      </c>
      <c r="BS533" t="s">
        <v>10083</v>
      </c>
      <c r="BT533" t="str">
        <f>HYPERLINK("https%3A%2F%2Fwww.webofscience.com%2Fwos%2Fwoscc%2Ffull-record%2FWOS:000347954100092","View Full Record in Web of Science")</f>
        <v>View Full Record in Web of Science</v>
      </c>
    </row>
    <row r="534" spans="1:72" x14ac:dyDescent="0.15">
      <c r="A534" t="s">
        <v>3341</v>
      </c>
      <c r="B534" t="s">
        <v>10084</v>
      </c>
      <c r="C534" t="s">
        <v>74</v>
      </c>
      <c r="D534" t="s">
        <v>10085</v>
      </c>
      <c r="E534" t="s">
        <v>74</v>
      </c>
      <c r="F534" t="s">
        <v>10086</v>
      </c>
      <c r="G534" t="s">
        <v>74</v>
      </c>
      <c r="H534" t="s">
        <v>74</v>
      </c>
      <c r="I534" t="s">
        <v>10087</v>
      </c>
      <c r="J534" t="s">
        <v>10088</v>
      </c>
      <c r="K534" t="s">
        <v>10089</v>
      </c>
      <c r="L534" t="s">
        <v>74</v>
      </c>
      <c r="M534" t="s">
        <v>78</v>
      </c>
      <c r="N534" t="s">
        <v>5114</v>
      </c>
      <c r="O534" t="s">
        <v>74</v>
      </c>
      <c r="P534" t="s">
        <v>74</v>
      </c>
      <c r="Q534" t="s">
        <v>74</v>
      </c>
      <c r="R534" t="s">
        <v>74</v>
      </c>
      <c r="S534" t="s">
        <v>74</v>
      </c>
      <c r="T534" t="s">
        <v>10090</v>
      </c>
      <c r="U534" t="s">
        <v>10091</v>
      </c>
      <c r="V534" t="s">
        <v>10092</v>
      </c>
      <c r="W534" t="s">
        <v>10093</v>
      </c>
      <c r="X534" t="s">
        <v>10094</v>
      </c>
      <c r="Y534" t="s">
        <v>10095</v>
      </c>
      <c r="Z534" t="s">
        <v>10096</v>
      </c>
      <c r="AA534" t="s">
        <v>10097</v>
      </c>
      <c r="AB534" t="s">
        <v>10098</v>
      </c>
      <c r="AC534" t="s">
        <v>74</v>
      </c>
      <c r="AD534" t="s">
        <v>74</v>
      </c>
      <c r="AE534" t="s">
        <v>74</v>
      </c>
      <c r="AF534" t="s">
        <v>74</v>
      </c>
      <c r="AG534">
        <v>266</v>
      </c>
      <c r="AH534">
        <v>52</v>
      </c>
      <c r="AI534">
        <v>56</v>
      </c>
      <c r="AJ534">
        <v>1</v>
      </c>
      <c r="AK534">
        <v>80</v>
      </c>
      <c r="AL534" t="s">
        <v>10099</v>
      </c>
      <c r="AM534" t="s">
        <v>6712</v>
      </c>
      <c r="AN534" t="s">
        <v>10100</v>
      </c>
      <c r="AO534" t="s">
        <v>10101</v>
      </c>
      <c r="AP534" t="s">
        <v>10102</v>
      </c>
      <c r="AQ534" t="s">
        <v>10103</v>
      </c>
      <c r="AR534" t="s">
        <v>10104</v>
      </c>
      <c r="AS534" t="s">
        <v>10105</v>
      </c>
      <c r="AT534" t="s">
        <v>74</v>
      </c>
      <c r="AU534">
        <v>2013</v>
      </c>
      <c r="AV534">
        <v>66</v>
      </c>
      <c r="AW534" t="s">
        <v>74</v>
      </c>
      <c r="AX534" t="s">
        <v>74</v>
      </c>
      <c r="AY534" t="s">
        <v>74</v>
      </c>
      <c r="AZ534" t="s">
        <v>74</v>
      </c>
      <c r="BA534" t="s">
        <v>74</v>
      </c>
      <c r="BB534">
        <v>213</v>
      </c>
      <c r="BC534" t="s">
        <v>99</v>
      </c>
      <c r="BD534" t="s">
        <v>74</v>
      </c>
      <c r="BE534" t="s">
        <v>10106</v>
      </c>
      <c r="BF534" t="str">
        <f>HYPERLINK("http://dx.doi.org/10.1016/B978-0-12-408096-6.00004-3","http://dx.doi.org/10.1016/B978-0-12-408096-6.00004-3")</f>
        <v>http://dx.doi.org/10.1016/B978-0-12-408096-6.00004-3</v>
      </c>
      <c r="BG534" t="s">
        <v>74</v>
      </c>
      <c r="BH534" t="s">
        <v>74</v>
      </c>
      <c r="BI534">
        <v>19</v>
      </c>
      <c r="BJ534" t="s">
        <v>223</v>
      </c>
      <c r="BK534" t="s">
        <v>5132</v>
      </c>
      <c r="BL534" t="s">
        <v>223</v>
      </c>
      <c r="BM534" t="s">
        <v>10107</v>
      </c>
      <c r="BN534">
        <v>24182902</v>
      </c>
      <c r="BO534" t="s">
        <v>74</v>
      </c>
      <c r="BP534" t="s">
        <v>74</v>
      </c>
      <c r="BQ534" t="s">
        <v>74</v>
      </c>
      <c r="BR534" t="s">
        <v>105</v>
      </c>
      <c r="BS534" t="s">
        <v>10108</v>
      </c>
      <c r="BT534" t="str">
        <f>HYPERLINK("https%3A%2F%2Fwww.webofscience.com%2Fwos%2Fwoscc%2Ffull-record%2FWOS:000332424000004","View Full Record in Web of Science")</f>
        <v>View Full Record in Web of Science</v>
      </c>
    </row>
    <row r="535" spans="1:72" x14ac:dyDescent="0.15">
      <c r="A535" t="s">
        <v>3224</v>
      </c>
      <c r="B535" t="s">
        <v>10109</v>
      </c>
      <c r="C535" t="s">
        <v>74</v>
      </c>
      <c r="D535" t="s">
        <v>74</v>
      </c>
      <c r="E535" t="s">
        <v>3226</v>
      </c>
      <c r="F535" t="s">
        <v>10110</v>
      </c>
      <c r="G535" t="s">
        <v>74</v>
      </c>
      <c r="H535" t="s">
        <v>74</v>
      </c>
      <c r="I535" t="s">
        <v>10111</v>
      </c>
      <c r="J535" t="s">
        <v>10112</v>
      </c>
      <c r="K535" t="s">
        <v>10113</v>
      </c>
      <c r="L535" t="s">
        <v>74</v>
      </c>
      <c r="M535" t="s">
        <v>78</v>
      </c>
      <c r="N535" t="s">
        <v>3231</v>
      </c>
      <c r="O535" t="s">
        <v>10114</v>
      </c>
      <c r="P535" t="s">
        <v>10115</v>
      </c>
      <c r="Q535" t="s">
        <v>10116</v>
      </c>
      <c r="R535" t="s">
        <v>74</v>
      </c>
      <c r="S535" t="s">
        <v>10117</v>
      </c>
      <c r="T535" t="s">
        <v>10118</v>
      </c>
      <c r="U535" t="s">
        <v>74</v>
      </c>
      <c r="V535" t="s">
        <v>10119</v>
      </c>
      <c r="W535" t="s">
        <v>10120</v>
      </c>
      <c r="X535" t="s">
        <v>10121</v>
      </c>
      <c r="Y535" t="s">
        <v>10122</v>
      </c>
      <c r="Z535" t="s">
        <v>10123</v>
      </c>
      <c r="AA535" t="s">
        <v>10124</v>
      </c>
      <c r="AB535" t="s">
        <v>10125</v>
      </c>
      <c r="AC535" t="s">
        <v>74</v>
      </c>
      <c r="AD535" t="s">
        <v>74</v>
      </c>
      <c r="AE535" t="s">
        <v>74</v>
      </c>
      <c r="AF535" t="s">
        <v>74</v>
      </c>
      <c r="AG535">
        <v>6</v>
      </c>
      <c r="AH535">
        <v>0</v>
      </c>
      <c r="AI535">
        <v>0</v>
      </c>
      <c r="AJ535">
        <v>0</v>
      </c>
      <c r="AK535">
        <v>2</v>
      </c>
      <c r="AL535" t="s">
        <v>3226</v>
      </c>
      <c r="AM535" t="s">
        <v>296</v>
      </c>
      <c r="AN535" t="s">
        <v>3244</v>
      </c>
      <c r="AO535" t="s">
        <v>10126</v>
      </c>
      <c r="AP535" t="s">
        <v>74</v>
      </c>
      <c r="AQ535" t="s">
        <v>10127</v>
      </c>
      <c r="AR535" t="s">
        <v>10128</v>
      </c>
      <c r="AS535" t="s">
        <v>74</v>
      </c>
      <c r="AT535" t="s">
        <v>74</v>
      </c>
      <c r="AU535">
        <v>2013</v>
      </c>
      <c r="AV535" t="s">
        <v>74</v>
      </c>
      <c r="AW535" t="s">
        <v>74</v>
      </c>
      <c r="AX535" t="s">
        <v>74</v>
      </c>
      <c r="AY535" t="s">
        <v>74</v>
      </c>
      <c r="AZ535" t="s">
        <v>74</v>
      </c>
      <c r="BA535" t="s">
        <v>74</v>
      </c>
      <c r="BB535">
        <v>314</v>
      </c>
      <c r="BC535">
        <v>317</v>
      </c>
      <c r="BD535" t="s">
        <v>74</v>
      </c>
      <c r="BE535" t="s">
        <v>74</v>
      </c>
      <c r="BF535" t="s">
        <v>74</v>
      </c>
      <c r="BG535" t="s">
        <v>74</v>
      </c>
      <c r="BH535" t="s">
        <v>74</v>
      </c>
      <c r="BI535">
        <v>4</v>
      </c>
      <c r="BJ535" t="s">
        <v>3246</v>
      </c>
      <c r="BK535" t="s">
        <v>3247</v>
      </c>
      <c r="BL535" t="s">
        <v>3248</v>
      </c>
      <c r="BM535" t="s">
        <v>10129</v>
      </c>
      <c r="BN535" t="s">
        <v>74</v>
      </c>
      <c r="BO535" t="s">
        <v>74</v>
      </c>
      <c r="BP535" t="s">
        <v>74</v>
      </c>
      <c r="BQ535" t="s">
        <v>74</v>
      </c>
      <c r="BR535" t="s">
        <v>105</v>
      </c>
      <c r="BS535" t="s">
        <v>10130</v>
      </c>
      <c r="BT535" t="str">
        <f>HYPERLINK("https%3A%2F%2Fwww.webofscience.com%2Fwos%2Fwoscc%2Ffull-record%2FWOS:000352082700094","View Full Record in Web of Science")</f>
        <v>View Full Record in Web of Science</v>
      </c>
    </row>
    <row r="536" spans="1:72" x14ac:dyDescent="0.15">
      <c r="A536" t="s">
        <v>72</v>
      </c>
      <c r="B536" t="s">
        <v>10131</v>
      </c>
      <c r="C536" t="s">
        <v>74</v>
      </c>
      <c r="D536" t="s">
        <v>74</v>
      </c>
      <c r="E536" t="s">
        <v>74</v>
      </c>
      <c r="F536" t="s">
        <v>10132</v>
      </c>
      <c r="G536" t="s">
        <v>74</v>
      </c>
      <c r="H536" t="s">
        <v>74</v>
      </c>
      <c r="I536" t="s">
        <v>10133</v>
      </c>
      <c r="J536" t="s">
        <v>10134</v>
      </c>
      <c r="K536" t="s">
        <v>74</v>
      </c>
      <c r="L536" t="s">
        <v>74</v>
      </c>
      <c r="M536" t="s">
        <v>78</v>
      </c>
      <c r="N536" t="s">
        <v>79</v>
      </c>
      <c r="O536" t="s">
        <v>74</v>
      </c>
      <c r="P536" t="s">
        <v>74</v>
      </c>
      <c r="Q536" t="s">
        <v>74</v>
      </c>
      <c r="R536" t="s">
        <v>74</v>
      </c>
      <c r="S536" t="s">
        <v>74</v>
      </c>
      <c r="T536" t="s">
        <v>10135</v>
      </c>
      <c r="U536" t="s">
        <v>10136</v>
      </c>
      <c r="V536" t="s">
        <v>10137</v>
      </c>
      <c r="W536" t="s">
        <v>10138</v>
      </c>
      <c r="X536" t="s">
        <v>10139</v>
      </c>
      <c r="Y536" t="s">
        <v>10140</v>
      </c>
      <c r="Z536" t="s">
        <v>10141</v>
      </c>
      <c r="AA536" t="s">
        <v>10142</v>
      </c>
      <c r="AB536" t="s">
        <v>10143</v>
      </c>
      <c r="AC536" t="s">
        <v>74</v>
      </c>
      <c r="AD536" t="s">
        <v>74</v>
      </c>
      <c r="AE536" t="s">
        <v>74</v>
      </c>
      <c r="AF536" t="s">
        <v>74</v>
      </c>
      <c r="AG536">
        <v>57</v>
      </c>
      <c r="AH536">
        <v>66</v>
      </c>
      <c r="AI536">
        <v>79</v>
      </c>
      <c r="AJ536">
        <v>2</v>
      </c>
      <c r="AK536">
        <v>56</v>
      </c>
      <c r="AL536" t="s">
        <v>4671</v>
      </c>
      <c r="AM536" t="s">
        <v>474</v>
      </c>
      <c r="AN536" t="s">
        <v>4672</v>
      </c>
      <c r="AO536" t="s">
        <v>10144</v>
      </c>
      <c r="AP536" t="s">
        <v>74</v>
      </c>
      <c r="AQ536" t="s">
        <v>74</v>
      </c>
      <c r="AR536" t="s">
        <v>10134</v>
      </c>
      <c r="AS536" t="s">
        <v>10145</v>
      </c>
      <c r="AT536" t="s">
        <v>74</v>
      </c>
      <c r="AU536">
        <v>2013</v>
      </c>
      <c r="AV536">
        <v>3</v>
      </c>
      <c r="AW536" t="s">
        <v>74</v>
      </c>
      <c r="AX536" t="s">
        <v>74</v>
      </c>
      <c r="AY536" t="s">
        <v>74</v>
      </c>
      <c r="AZ536" t="s">
        <v>74</v>
      </c>
      <c r="BA536" t="s">
        <v>74</v>
      </c>
      <c r="BB536" t="s">
        <v>74</v>
      </c>
      <c r="BC536" t="s">
        <v>74</v>
      </c>
      <c r="BD536">
        <v>26</v>
      </c>
      <c r="BE536" t="s">
        <v>10146</v>
      </c>
      <c r="BF536" t="str">
        <f>HYPERLINK("http://dx.doi.org/10.1186/2191-0855-3-26","http://dx.doi.org/10.1186/2191-0855-3-26")</f>
        <v>http://dx.doi.org/10.1186/2191-0855-3-26</v>
      </c>
      <c r="BG536" t="s">
        <v>74</v>
      </c>
      <c r="BH536" t="s">
        <v>74</v>
      </c>
      <c r="BI536">
        <v>9</v>
      </c>
      <c r="BJ536" t="s">
        <v>2813</v>
      </c>
      <c r="BK536" t="s">
        <v>102</v>
      </c>
      <c r="BL536" t="s">
        <v>2813</v>
      </c>
      <c r="BM536" t="s">
        <v>10147</v>
      </c>
      <c r="BN536">
        <v>23673135</v>
      </c>
      <c r="BO536" t="s">
        <v>2629</v>
      </c>
      <c r="BP536" t="s">
        <v>74</v>
      </c>
      <c r="BQ536" t="s">
        <v>74</v>
      </c>
      <c r="BR536" t="s">
        <v>105</v>
      </c>
      <c r="BS536" t="s">
        <v>10148</v>
      </c>
      <c r="BT536" t="str">
        <f>HYPERLINK("https%3A%2F%2Fwww.webofscience.com%2Fwos%2Fwoscc%2Ffull-record%2FWOS:000209443100026","View Full Record in Web of Science")</f>
        <v>View Full Record in Web of Science</v>
      </c>
    </row>
    <row r="537" spans="1:72" x14ac:dyDescent="0.15">
      <c r="A537" t="s">
        <v>3224</v>
      </c>
      <c r="B537" t="s">
        <v>10149</v>
      </c>
      <c r="C537" t="s">
        <v>74</v>
      </c>
      <c r="D537" t="s">
        <v>4032</v>
      </c>
      <c r="E537" t="s">
        <v>74</v>
      </c>
      <c r="F537" t="s">
        <v>10150</v>
      </c>
      <c r="G537" t="s">
        <v>74</v>
      </c>
      <c r="H537" t="s">
        <v>74</v>
      </c>
      <c r="I537" t="s">
        <v>10151</v>
      </c>
      <c r="J537" t="s">
        <v>10152</v>
      </c>
      <c r="K537" t="s">
        <v>4036</v>
      </c>
      <c r="L537" t="s">
        <v>74</v>
      </c>
      <c r="M537" t="s">
        <v>78</v>
      </c>
      <c r="N537" t="s">
        <v>3231</v>
      </c>
      <c r="O537" t="s">
        <v>10153</v>
      </c>
      <c r="P537" t="s">
        <v>10154</v>
      </c>
      <c r="Q537" t="s">
        <v>10155</v>
      </c>
      <c r="R537" t="s">
        <v>74</v>
      </c>
      <c r="S537" t="s">
        <v>74</v>
      </c>
      <c r="T537" t="s">
        <v>10156</v>
      </c>
      <c r="U537" t="s">
        <v>74</v>
      </c>
      <c r="V537" t="s">
        <v>10157</v>
      </c>
      <c r="W537" t="s">
        <v>10158</v>
      </c>
      <c r="X537" t="s">
        <v>10159</v>
      </c>
      <c r="Y537" t="s">
        <v>10160</v>
      </c>
      <c r="Z537" t="s">
        <v>10161</v>
      </c>
      <c r="AA537" t="s">
        <v>74</v>
      </c>
      <c r="AB537" t="s">
        <v>74</v>
      </c>
      <c r="AC537" t="s">
        <v>74</v>
      </c>
      <c r="AD537" t="s">
        <v>74</v>
      </c>
      <c r="AE537" t="s">
        <v>74</v>
      </c>
      <c r="AF537" t="s">
        <v>74</v>
      </c>
      <c r="AG537">
        <v>17</v>
      </c>
      <c r="AH537">
        <v>7</v>
      </c>
      <c r="AI537">
        <v>7</v>
      </c>
      <c r="AJ537">
        <v>0</v>
      </c>
      <c r="AK537">
        <v>3</v>
      </c>
      <c r="AL537" t="s">
        <v>541</v>
      </c>
      <c r="AM537" t="s">
        <v>542</v>
      </c>
      <c r="AN537" t="s">
        <v>4053</v>
      </c>
      <c r="AO537" t="s">
        <v>4054</v>
      </c>
      <c r="AP537" t="s">
        <v>74</v>
      </c>
      <c r="AQ537" t="s">
        <v>74</v>
      </c>
      <c r="AR537" t="s">
        <v>4055</v>
      </c>
      <c r="AS537" t="s">
        <v>74</v>
      </c>
      <c r="AT537" t="s">
        <v>74</v>
      </c>
      <c r="AU537">
        <v>2013</v>
      </c>
      <c r="AV537">
        <v>101</v>
      </c>
      <c r="AW537" t="s">
        <v>74</v>
      </c>
      <c r="AX537" t="s">
        <v>74</v>
      </c>
      <c r="AY537" t="s">
        <v>74</v>
      </c>
      <c r="AZ537" t="s">
        <v>74</v>
      </c>
      <c r="BA537" t="s">
        <v>74</v>
      </c>
      <c r="BB537">
        <v>284</v>
      </c>
      <c r="BC537">
        <v>291</v>
      </c>
      <c r="BD537" t="s">
        <v>74</v>
      </c>
      <c r="BE537" t="s">
        <v>10162</v>
      </c>
      <c r="BF537" t="str">
        <f>HYPERLINK("http://dx.doi.org/10.1016/j.sbspro.2013.07.202","http://dx.doi.org/10.1016/j.sbspro.2013.07.202")</f>
        <v>http://dx.doi.org/10.1016/j.sbspro.2013.07.202</v>
      </c>
      <c r="BG537" t="s">
        <v>74</v>
      </c>
      <c r="BH537" t="s">
        <v>74</v>
      </c>
      <c r="BI537">
        <v>8</v>
      </c>
      <c r="BJ537" t="s">
        <v>10163</v>
      </c>
      <c r="BK537" t="s">
        <v>4058</v>
      </c>
      <c r="BL537" t="s">
        <v>10164</v>
      </c>
      <c r="BM537" t="s">
        <v>10165</v>
      </c>
      <c r="BN537" t="s">
        <v>74</v>
      </c>
      <c r="BO537" t="s">
        <v>1719</v>
      </c>
      <c r="BP537" t="s">
        <v>74</v>
      </c>
      <c r="BQ537" t="s">
        <v>74</v>
      </c>
      <c r="BR537" t="s">
        <v>105</v>
      </c>
      <c r="BS537" t="s">
        <v>10166</v>
      </c>
      <c r="BT537" t="str">
        <f>HYPERLINK("https%3A%2F%2Fwww.webofscience.com%2Fwos%2Fwoscc%2Ffull-record%2FWOS:000361239600030","View Full Record in Web of Science")</f>
        <v>View Full Record in Web of Science</v>
      </c>
    </row>
    <row r="538" spans="1:72" x14ac:dyDescent="0.15">
      <c r="A538" t="s">
        <v>3224</v>
      </c>
      <c r="B538" t="s">
        <v>10167</v>
      </c>
      <c r="C538" t="s">
        <v>74</v>
      </c>
      <c r="D538" t="s">
        <v>4032</v>
      </c>
      <c r="E538" t="s">
        <v>74</v>
      </c>
      <c r="F538" t="s">
        <v>10168</v>
      </c>
      <c r="G538" t="s">
        <v>74</v>
      </c>
      <c r="H538" t="s">
        <v>74</v>
      </c>
      <c r="I538" t="s">
        <v>10169</v>
      </c>
      <c r="J538" t="s">
        <v>10152</v>
      </c>
      <c r="K538" t="s">
        <v>4036</v>
      </c>
      <c r="L538" t="s">
        <v>74</v>
      </c>
      <c r="M538" t="s">
        <v>78</v>
      </c>
      <c r="N538" t="s">
        <v>3231</v>
      </c>
      <c r="O538" t="s">
        <v>10153</v>
      </c>
      <c r="P538" t="s">
        <v>10154</v>
      </c>
      <c r="Q538" t="s">
        <v>10155</v>
      </c>
      <c r="R538" t="s">
        <v>74</v>
      </c>
      <c r="S538" t="s">
        <v>74</v>
      </c>
      <c r="T538" t="s">
        <v>10170</v>
      </c>
      <c r="U538" t="s">
        <v>74</v>
      </c>
      <c r="V538" t="s">
        <v>10171</v>
      </c>
      <c r="W538" t="s">
        <v>10172</v>
      </c>
      <c r="X538" t="s">
        <v>4045</v>
      </c>
      <c r="Y538" t="s">
        <v>10173</v>
      </c>
      <c r="Z538" t="s">
        <v>10161</v>
      </c>
      <c r="AA538" t="s">
        <v>74</v>
      </c>
      <c r="AB538" t="s">
        <v>74</v>
      </c>
      <c r="AC538" t="s">
        <v>74</v>
      </c>
      <c r="AD538" t="s">
        <v>74</v>
      </c>
      <c r="AE538" t="s">
        <v>74</v>
      </c>
      <c r="AF538" t="s">
        <v>74</v>
      </c>
      <c r="AG538">
        <v>20</v>
      </c>
      <c r="AH538">
        <v>1</v>
      </c>
      <c r="AI538">
        <v>1</v>
      </c>
      <c r="AJ538">
        <v>3</v>
      </c>
      <c r="AK538">
        <v>5</v>
      </c>
      <c r="AL538" t="s">
        <v>541</v>
      </c>
      <c r="AM538" t="s">
        <v>542</v>
      </c>
      <c r="AN538" t="s">
        <v>4053</v>
      </c>
      <c r="AO538" t="s">
        <v>4054</v>
      </c>
      <c r="AP538" t="s">
        <v>74</v>
      </c>
      <c r="AQ538" t="s">
        <v>74</v>
      </c>
      <c r="AR538" t="s">
        <v>4055</v>
      </c>
      <c r="AS538" t="s">
        <v>74</v>
      </c>
      <c r="AT538" t="s">
        <v>74</v>
      </c>
      <c r="AU538">
        <v>2013</v>
      </c>
      <c r="AV538">
        <v>101</v>
      </c>
      <c r="AW538" t="s">
        <v>74</v>
      </c>
      <c r="AX538" t="s">
        <v>74</v>
      </c>
      <c r="AY538" t="s">
        <v>74</v>
      </c>
      <c r="AZ538" t="s">
        <v>74</v>
      </c>
      <c r="BA538" t="s">
        <v>74</v>
      </c>
      <c r="BB538">
        <v>292</v>
      </c>
      <c r="BC538">
        <v>298</v>
      </c>
      <c r="BD538" t="s">
        <v>74</v>
      </c>
      <c r="BE538" t="s">
        <v>10174</v>
      </c>
      <c r="BF538" t="str">
        <f>HYPERLINK("http://dx.doi.org/10.1016/j.sbspro.2013.07.203","http://dx.doi.org/10.1016/j.sbspro.2013.07.203")</f>
        <v>http://dx.doi.org/10.1016/j.sbspro.2013.07.203</v>
      </c>
      <c r="BG538" t="s">
        <v>74</v>
      </c>
      <c r="BH538" t="s">
        <v>74</v>
      </c>
      <c r="BI538">
        <v>7</v>
      </c>
      <c r="BJ538" t="s">
        <v>10163</v>
      </c>
      <c r="BK538" t="s">
        <v>4058</v>
      </c>
      <c r="BL538" t="s">
        <v>10164</v>
      </c>
      <c r="BM538" t="s">
        <v>10165</v>
      </c>
      <c r="BN538" t="s">
        <v>74</v>
      </c>
      <c r="BO538" t="s">
        <v>1719</v>
      </c>
      <c r="BP538" t="s">
        <v>74</v>
      </c>
      <c r="BQ538" t="s">
        <v>74</v>
      </c>
      <c r="BR538" t="s">
        <v>105</v>
      </c>
      <c r="BS538" t="s">
        <v>10175</v>
      </c>
      <c r="BT538" t="str">
        <f>HYPERLINK("https%3A%2F%2Fwww.webofscience.com%2Fwos%2Fwoscc%2Ffull-record%2FWOS:000361239600031","View Full Record in Web of Science")</f>
        <v>View Full Record in Web of Science</v>
      </c>
    </row>
    <row r="539" spans="1:72" x14ac:dyDescent="0.15">
      <c r="A539" t="s">
        <v>72</v>
      </c>
      <c r="B539" t="s">
        <v>10176</v>
      </c>
      <c r="C539" t="s">
        <v>74</v>
      </c>
      <c r="D539" t="s">
        <v>74</v>
      </c>
      <c r="E539" t="s">
        <v>74</v>
      </c>
      <c r="F539" t="s">
        <v>10177</v>
      </c>
      <c r="G539" t="s">
        <v>74</v>
      </c>
      <c r="H539" t="s">
        <v>74</v>
      </c>
      <c r="I539" t="s">
        <v>10178</v>
      </c>
      <c r="J539" t="s">
        <v>10179</v>
      </c>
      <c r="K539" t="s">
        <v>74</v>
      </c>
      <c r="L539" t="s">
        <v>74</v>
      </c>
      <c r="M539" t="s">
        <v>78</v>
      </c>
      <c r="N539" t="s">
        <v>79</v>
      </c>
      <c r="O539" t="s">
        <v>74</v>
      </c>
      <c r="P539" t="s">
        <v>74</v>
      </c>
      <c r="Q539" t="s">
        <v>74</v>
      </c>
      <c r="R539" t="s">
        <v>74</v>
      </c>
      <c r="S539" t="s">
        <v>74</v>
      </c>
      <c r="T539" t="s">
        <v>10180</v>
      </c>
      <c r="U539" t="s">
        <v>10181</v>
      </c>
      <c r="V539" t="s">
        <v>10182</v>
      </c>
      <c r="W539" t="s">
        <v>10183</v>
      </c>
      <c r="X539" t="s">
        <v>10184</v>
      </c>
      <c r="Y539" t="s">
        <v>10185</v>
      </c>
      <c r="Z539" t="s">
        <v>10186</v>
      </c>
      <c r="AA539" t="s">
        <v>10187</v>
      </c>
      <c r="AB539" t="s">
        <v>10188</v>
      </c>
      <c r="AC539" t="s">
        <v>10189</v>
      </c>
      <c r="AD539" t="s">
        <v>10190</v>
      </c>
      <c r="AE539" t="s">
        <v>10191</v>
      </c>
      <c r="AF539" t="s">
        <v>74</v>
      </c>
      <c r="AG539">
        <v>44</v>
      </c>
      <c r="AH539">
        <v>18</v>
      </c>
      <c r="AI539">
        <v>18</v>
      </c>
      <c r="AJ539">
        <v>4</v>
      </c>
      <c r="AK539">
        <v>101</v>
      </c>
      <c r="AL539" t="s">
        <v>397</v>
      </c>
      <c r="AM539" t="s">
        <v>398</v>
      </c>
      <c r="AN539" t="s">
        <v>399</v>
      </c>
      <c r="AO539" t="s">
        <v>10192</v>
      </c>
      <c r="AP539" t="s">
        <v>10193</v>
      </c>
      <c r="AQ539" t="s">
        <v>74</v>
      </c>
      <c r="AR539" t="s">
        <v>10194</v>
      </c>
      <c r="AS539" t="s">
        <v>10195</v>
      </c>
      <c r="AT539" t="s">
        <v>5170</v>
      </c>
      <c r="AU539">
        <v>2013</v>
      </c>
      <c r="AV539">
        <v>405</v>
      </c>
      <c r="AW539" t="s">
        <v>5664</v>
      </c>
      <c r="AX539" t="s">
        <v>74</v>
      </c>
      <c r="AY539" t="s">
        <v>74</v>
      </c>
      <c r="AZ539" t="s">
        <v>74</v>
      </c>
      <c r="BA539" t="s">
        <v>74</v>
      </c>
      <c r="BB539">
        <v>647</v>
      </c>
      <c r="BC539">
        <v>654</v>
      </c>
      <c r="BD539" t="s">
        <v>74</v>
      </c>
      <c r="BE539" t="s">
        <v>10196</v>
      </c>
      <c r="BF539" t="str">
        <f>HYPERLINK("http://dx.doi.org/10.1007/s00216-012-5806-0","http://dx.doi.org/10.1007/s00216-012-5806-0")</f>
        <v>http://dx.doi.org/10.1007/s00216-012-5806-0</v>
      </c>
      <c r="BG539" t="s">
        <v>74</v>
      </c>
      <c r="BH539" t="s">
        <v>74</v>
      </c>
      <c r="BI539">
        <v>8</v>
      </c>
      <c r="BJ539" t="s">
        <v>10197</v>
      </c>
      <c r="BK539" t="s">
        <v>102</v>
      </c>
      <c r="BL539" t="s">
        <v>10198</v>
      </c>
      <c r="BM539" t="s">
        <v>10199</v>
      </c>
      <c r="BN539">
        <v>22349340</v>
      </c>
      <c r="BO539" t="s">
        <v>155</v>
      </c>
      <c r="BP539" t="s">
        <v>74</v>
      </c>
      <c r="BQ539" t="s">
        <v>74</v>
      </c>
      <c r="BR539" t="s">
        <v>105</v>
      </c>
      <c r="BS539" t="s">
        <v>10200</v>
      </c>
      <c r="BT539" t="str">
        <f>HYPERLINK("https%3A%2F%2Fwww.webofscience.com%2Fwos%2Fwoscc%2Ffull-record%2FWOS:000313650800016","View Full Record in Web of Science")</f>
        <v>View Full Record in Web of Science</v>
      </c>
    </row>
    <row r="540" spans="1:72" x14ac:dyDescent="0.15">
      <c r="A540" t="s">
        <v>72</v>
      </c>
      <c r="B540" t="s">
        <v>10201</v>
      </c>
      <c r="C540" t="s">
        <v>74</v>
      </c>
      <c r="D540" t="s">
        <v>74</v>
      </c>
      <c r="E540" t="s">
        <v>74</v>
      </c>
      <c r="F540" t="s">
        <v>10202</v>
      </c>
      <c r="G540" t="s">
        <v>74</v>
      </c>
      <c r="H540" t="s">
        <v>74</v>
      </c>
      <c r="I540" t="s">
        <v>10203</v>
      </c>
      <c r="J540" t="s">
        <v>10179</v>
      </c>
      <c r="K540" t="s">
        <v>74</v>
      </c>
      <c r="L540" t="s">
        <v>74</v>
      </c>
      <c r="M540" t="s">
        <v>78</v>
      </c>
      <c r="N540" t="s">
        <v>79</v>
      </c>
      <c r="O540" t="s">
        <v>74</v>
      </c>
      <c r="P540" t="s">
        <v>74</v>
      </c>
      <c r="Q540" t="s">
        <v>74</v>
      </c>
      <c r="R540" t="s">
        <v>74</v>
      </c>
      <c r="S540" t="s">
        <v>74</v>
      </c>
      <c r="T540" t="s">
        <v>10204</v>
      </c>
      <c r="U540" t="s">
        <v>10205</v>
      </c>
      <c r="V540" t="s">
        <v>10206</v>
      </c>
      <c r="W540" t="s">
        <v>10207</v>
      </c>
      <c r="X540" t="s">
        <v>10208</v>
      </c>
      <c r="Y540" t="s">
        <v>10209</v>
      </c>
      <c r="Z540" t="s">
        <v>10186</v>
      </c>
      <c r="AA540" t="s">
        <v>10210</v>
      </c>
      <c r="AB540" t="s">
        <v>10211</v>
      </c>
      <c r="AC540" t="s">
        <v>10212</v>
      </c>
      <c r="AD540" t="s">
        <v>10213</v>
      </c>
      <c r="AE540" t="s">
        <v>10214</v>
      </c>
      <c r="AF540" t="s">
        <v>74</v>
      </c>
      <c r="AG540">
        <v>41</v>
      </c>
      <c r="AH540">
        <v>9</v>
      </c>
      <c r="AI540">
        <v>10</v>
      </c>
      <c r="AJ540">
        <v>0</v>
      </c>
      <c r="AK540">
        <v>46</v>
      </c>
      <c r="AL540" t="s">
        <v>397</v>
      </c>
      <c r="AM540" t="s">
        <v>398</v>
      </c>
      <c r="AN540" t="s">
        <v>399</v>
      </c>
      <c r="AO540" t="s">
        <v>10192</v>
      </c>
      <c r="AP540" t="s">
        <v>10193</v>
      </c>
      <c r="AQ540" t="s">
        <v>74</v>
      </c>
      <c r="AR540" t="s">
        <v>10194</v>
      </c>
      <c r="AS540" t="s">
        <v>10195</v>
      </c>
      <c r="AT540" t="s">
        <v>5170</v>
      </c>
      <c r="AU540">
        <v>2013</v>
      </c>
      <c r="AV540">
        <v>405</v>
      </c>
      <c r="AW540" t="s">
        <v>5664</v>
      </c>
      <c r="AX540" t="s">
        <v>74</v>
      </c>
      <c r="AY540" t="s">
        <v>74</v>
      </c>
      <c r="AZ540" t="s">
        <v>74</v>
      </c>
      <c r="BA540" t="s">
        <v>74</v>
      </c>
      <c r="BB540">
        <v>767</v>
      </c>
      <c r="BC540">
        <v>774</v>
      </c>
      <c r="BD540" t="s">
        <v>74</v>
      </c>
      <c r="BE540" t="s">
        <v>10215</v>
      </c>
      <c r="BF540" t="str">
        <f>HYPERLINK("http://dx.doi.org/10.1007/s00216-012-6166-5","http://dx.doi.org/10.1007/s00216-012-6166-5")</f>
        <v>http://dx.doi.org/10.1007/s00216-012-6166-5</v>
      </c>
      <c r="BG540" t="s">
        <v>74</v>
      </c>
      <c r="BH540" t="s">
        <v>74</v>
      </c>
      <c r="BI540">
        <v>8</v>
      </c>
      <c r="BJ540" t="s">
        <v>10197</v>
      </c>
      <c r="BK540" t="s">
        <v>102</v>
      </c>
      <c r="BL540" t="s">
        <v>10198</v>
      </c>
      <c r="BM540" t="s">
        <v>10199</v>
      </c>
      <c r="BN540">
        <v>22692592</v>
      </c>
      <c r="BO540" t="s">
        <v>155</v>
      </c>
      <c r="BP540" t="s">
        <v>74</v>
      </c>
      <c r="BQ540" t="s">
        <v>74</v>
      </c>
      <c r="BR540" t="s">
        <v>105</v>
      </c>
      <c r="BS540" t="s">
        <v>10216</v>
      </c>
      <c r="BT540" t="str">
        <f>HYPERLINK("https%3A%2F%2Fwww.webofscience.com%2Fwos%2Fwoscc%2Ffull-record%2FWOS:000313650800027","View Full Record in Web of Science")</f>
        <v>View Full Record in Web of Science</v>
      </c>
    </row>
    <row r="541" spans="1:72" x14ac:dyDescent="0.15">
      <c r="A541" t="s">
        <v>72</v>
      </c>
      <c r="B541" t="s">
        <v>10217</v>
      </c>
      <c r="C541" t="s">
        <v>74</v>
      </c>
      <c r="D541" t="s">
        <v>74</v>
      </c>
      <c r="E541" t="s">
        <v>74</v>
      </c>
      <c r="F541" t="s">
        <v>10218</v>
      </c>
      <c r="G541" t="s">
        <v>74</v>
      </c>
      <c r="H541" t="s">
        <v>74</v>
      </c>
      <c r="I541" t="s">
        <v>10219</v>
      </c>
      <c r="J541" t="s">
        <v>10179</v>
      </c>
      <c r="K541" t="s">
        <v>74</v>
      </c>
      <c r="L541" t="s">
        <v>74</v>
      </c>
      <c r="M541" t="s">
        <v>78</v>
      </c>
      <c r="N541" t="s">
        <v>79</v>
      </c>
      <c r="O541" t="s">
        <v>74</v>
      </c>
      <c r="P541" t="s">
        <v>74</v>
      </c>
      <c r="Q541" t="s">
        <v>74</v>
      </c>
      <c r="R541" t="s">
        <v>74</v>
      </c>
      <c r="S541" t="s">
        <v>74</v>
      </c>
      <c r="T541" t="s">
        <v>10220</v>
      </c>
      <c r="U541" t="s">
        <v>10221</v>
      </c>
      <c r="V541" t="s">
        <v>10222</v>
      </c>
      <c r="W541" t="s">
        <v>10223</v>
      </c>
      <c r="X541" t="s">
        <v>10224</v>
      </c>
      <c r="Y541" t="s">
        <v>10225</v>
      </c>
      <c r="Z541" t="s">
        <v>10226</v>
      </c>
      <c r="AA541" t="s">
        <v>10227</v>
      </c>
      <c r="AB541" t="s">
        <v>10228</v>
      </c>
      <c r="AC541" t="s">
        <v>10229</v>
      </c>
      <c r="AD541" t="s">
        <v>10229</v>
      </c>
      <c r="AE541" t="s">
        <v>10230</v>
      </c>
      <c r="AF541" t="s">
        <v>74</v>
      </c>
      <c r="AG541">
        <v>46</v>
      </c>
      <c r="AH541">
        <v>66</v>
      </c>
      <c r="AI541">
        <v>71</v>
      </c>
      <c r="AJ541">
        <v>2</v>
      </c>
      <c r="AK541">
        <v>204</v>
      </c>
      <c r="AL541" t="s">
        <v>397</v>
      </c>
      <c r="AM541" t="s">
        <v>398</v>
      </c>
      <c r="AN541" t="s">
        <v>399</v>
      </c>
      <c r="AO541" t="s">
        <v>10192</v>
      </c>
      <c r="AP541" t="s">
        <v>10193</v>
      </c>
      <c r="AQ541" t="s">
        <v>74</v>
      </c>
      <c r="AR541" t="s">
        <v>10194</v>
      </c>
      <c r="AS541" t="s">
        <v>10195</v>
      </c>
      <c r="AT541" t="s">
        <v>5170</v>
      </c>
      <c r="AU541">
        <v>2013</v>
      </c>
      <c r="AV541">
        <v>405</v>
      </c>
      <c r="AW541" t="s">
        <v>5664</v>
      </c>
      <c r="AX541" t="s">
        <v>74</v>
      </c>
      <c r="AY541" t="s">
        <v>74</v>
      </c>
      <c r="AZ541" t="s">
        <v>74</v>
      </c>
      <c r="BA541" t="s">
        <v>74</v>
      </c>
      <c r="BB541">
        <v>917</v>
      </c>
      <c r="BC541">
        <v>932</v>
      </c>
      <c r="BD541" t="s">
        <v>74</v>
      </c>
      <c r="BE541" t="s">
        <v>10231</v>
      </c>
      <c r="BF541" t="str">
        <f>HYPERLINK("http://dx.doi.org/10.1007/s00216-012-6464-y","http://dx.doi.org/10.1007/s00216-012-6464-y")</f>
        <v>http://dx.doi.org/10.1007/s00216-012-6464-y</v>
      </c>
      <c r="BG541" t="s">
        <v>74</v>
      </c>
      <c r="BH541" t="s">
        <v>74</v>
      </c>
      <c r="BI541">
        <v>16</v>
      </c>
      <c r="BJ541" t="s">
        <v>10197</v>
      </c>
      <c r="BK541" t="s">
        <v>102</v>
      </c>
      <c r="BL541" t="s">
        <v>10198</v>
      </c>
      <c r="BM541" t="s">
        <v>10199</v>
      </c>
      <c r="BN541">
        <v>23073699</v>
      </c>
      <c r="BO541" t="s">
        <v>74</v>
      </c>
      <c r="BP541" t="s">
        <v>74</v>
      </c>
      <c r="BQ541" t="s">
        <v>74</v>
      </c>
      <c r="BR541" t="s">
        <v>105</v>
      </c>
      <c r="BS541" t="s">
        <v>10232</v>
      </c>
      <c r="BT541" t="str">
        <f>HYPERLINK("https%3A%2F%2Fwww.webofscience.com%2Fwos%2Fwoscc%2Ffull-record%2FWOS:000313650800040","View Full Record in Web of Science")</f>
        <v>View Full Record in Web of Science</v>
      </c>
    </row>
    <row r="542" spans="1:72" x14ac:dyDescent="0.15">
      <c r="A542" t="s">
        <v>72</v>
      </c>
      <c r="B542" t="s">
        <v>10233</v>
      </c>
      <c r="C542" t="s">
        <v>74</v>
      </c>
      <c r="D542" t="s">
        <v>74</v>
      </c>
      <c r="E542" t="s">
        <v>74</v>
      </c>
      <c r="F542" t="s">
        <v>10234</v>
      </c>
      <c r="G542" t="s">
        <v>74</v>
      </c>
      <c r="H542" t="s">
        <v>74</v>
      </c>
      <c r="I542" t="s">
        <v>10235</v>
      </c>
      <c r="J542" t="s">
        <v>10236</v>
      </c>
      <c r="K542" t="s">
        <v>74</v>
      </c>
      <c r="L542" t="s">
        <v>74</v>
      </c>
      <c r="M542" t="s">
        <v>78</v>
      </c>
      <c r="N542" t="s">
        <v>79</v>
      </c>
      <c r="O542" t="s">
        <v>74</v>
      </c>
      <c r="P542" t="s">
        <v>74</v>
      </c>
      <c r="Q542" t="s">
        <v>74</v>
      </c>
      <c r="R542" t="s">
        <v>74</v>
      </c>
      <c r="S542" t="s">
        <v>74</v>
      </c>
      <c r="T542" t="s">
        <v>10237</v>
      </c>
      <c r="U542" t="s">
        <v>10238</v>
      </c>
      <c r="V542" t="s">
        <v>10239</v>
      </c>
      <c r="W542" t="s">
        <v>10240</v>
      </c>
      <c r="X542" t="s">
        <v>10241</v>
      </c>
      <c r="Y542" t="s">
        <v>10242</v>
      </c>
      <c r="Z542" t="s">
        <v>10243</v>
      </c>
      <c r="AA542" t="s">
        <v>74</v>
      </c>
      <c r="AB542" t="s">
        <v>10244</v>
      </c>
      <c r="AC542" t="s">
        <v>10245</v>
      </c>
      <c r="AD542" t="s">
        <v>10246</v>
      </c>
      <c r="AE542" t="s">
        <v>10247</v>
      </c>
      <c r="AF542" t="s">
        <v>74</v>
      </c>
      <c r="AG542">
        <v>161</v>
      </c>
      <c r="AH542">
        <v>32</v>
      </c>
      <c r="AI542">
        <v>36</v>
      </c>
      <c r="AJ542">
        <v>0</v>
      </c>
      <c r="AK542">
        <v>21</v>
      </c>
      <c r="AL542" t="s">
        <v>10248</v>
      </c>
      <c r="AM542" t="s">
        <v>10249</v>
      </c>
      <c r="AN542" t="s">
        <v>10250</v>
      </c>
      <c r="AO542" t="s">
        <v>10251</v>
      </c>
      <c r="AP542" t="s">
        <v>74</v>
      </c>
      <c r="AQ542" t="s">
        <v>74</v>
      </c>
      <c r="AR542" t="s">
        <v>10252</v>
      </c>
      <c r="AS542" t="s">
        <v>10253</v>
      </c>
      <c r="AT542" t="s">
        <v>74</v>
      </c>
      <c r="AU542">
        <v>2013</v>
      </c>
      <c r="AV542">
        <v>40</v>
      </c>
      <c r="AW542">
        <v>1</v>
      </c>
      <c r="AX542" t="s">
        <v>74</v>
      </c>
      <c r="AY542" t="s">
        <v>74</v>
      </c>
      <c r="AZ542" t="s">
        <v>74</v>
      </c>
      <c r="BA542" t="s">
        <v>74</v>
      </c>
      <c r="BB542">
        <v>1</v>
      </c>
      <c r="BC542">
        <v>40</v>
      </c>
      <c r="BD542" t="s">
        <v>74</v>
      </c>
      <c r="BE542" t="s">
        <v>10254</v>
      </c>
      <c r="BF542" t="str">
        <f>HYPERLINK("http://dx.doi.org/10.5027/andgeoV40n1-a01","http://dx.doi.org/10.5027/andgeoV40n1-a01")</f>
        <v>http://dx.doi.org/10.5027/andgeoV40n1-a01</v>
      </c>
      <c r="BG542" t="s">
        <v>74</v>
      </c>
      <c r="BH542" t="s">
        <v>74</v>
      </c>
      <c r="BI542">
        <v>40</v>
      </c>
      <c r="BJ542" t="s">
        <v>1605</v>
      </c>
      <c r="BK542" t="s">
        <v>102</v>
      </c>
      <c r="BL542" t="s">
        <v>1605</v>
      </c>
      <c r="BM542" t="s">
        <v>10255</v>
      </c>
      <c r="BN542" t="s">
        <v>74</v>
      </c>
      <c r="BO542" t="s">
        <v>4132</v>
      </c>
      <c r="BP542" t="s">
        <v>74</v>
      </c>
      <c r="BQ542" t="s">
        <v>74</v>
      </c>
      <c r="BR542" t="s">
        <v>105</v>
      </c>
      <c r="BS542" t="s">
        <v>10256</v>
      </c>
      <c r="BT542" t="str">
        <f>HYPERLINK("https%3A%2F%2Fwww.webofscience.com%2Fwos%2Fwoscc%2Ffull-record%2FWOS:000319975200001","View Full Record in Web of Science")</f>
        <v>View Full Record in Web of Science</v>
      </c>
    </row>
    <row r="543" spans="1:72" x14ac:dyDescent="0.15">
      <c r="A543" t="s">
        <v>72</v>
      </c>
      <c r="B543" t="s">
        <v>10257</v>
      </c>
      <c r="C543" t="s">
        <v>74</v>
      </c>
      <c r="D543" t="s">
        <v>74</v>
      </c>
      <c r="E543" t="s">
        <v>74</v>
      </c>
      <c r="F543" t="s">
        <v>10258</v>
      </c>
      <c r="G543" t="s">
        <v>74</v>
      </c>
      <c r="H543" t="s">
        <v>74</v>
      </c>
      <c r="I543" t="s">
        <v>10259</v>
      </c>
      <c r="J543" t="s">
        <v>5486</v>
      </c>
      <c r="K543" t="s">
        <v>74</v>
      </c>
      <c r="L543" t="s">
        <v>74</v>
      </c>
      <c r="M543" t="s">
        <v>78</v>
      </c>
      <c r="N543" t="s">
        <v>79</v>
      </c>
      <c r="O543" t="s">
        <v>74</v>
      </c>
      <c r="P543" t="s">
        <v>74</v>
      </c>
      <c r="Q543" t="s">
        <v>74</v>
      </c>
      <c r="R543" t="s">
        <v>74</v>
      </c>
      <c r="S543" t="s">
        <v>74</v>
      </c>
      <c r="T543" t="s">
        <v>10260</v>
      </c>
      <c r="U543" t="s">
        <v>10261</v>
      </c>
      <c r="V543" t="s">
        <v>10262</v>
      </c>
      <c r="W543" t="s">
        <v>10263</v>
      </c>
      <c r="X543" t="s">
        <v>10264</v>
      </c>
      <c r="Y543" t="s">
        <v>10265</v>
      </c>
      <c r="Z543" t="s">
        <v>10266</v>
      </c>
      <c r="AA543" t="s">
        <v>74</v>
      </c>
      <c r="AB543" t="s">
        <v>10267</v>
      </c>
      <c r="AC543" t="s">
        <v>10268</v>
      </c>
      <c r="AD543" t="s">
        <v>10269</v>
      </c>
      <c r="AE543" t="s">
        <v>10270</v>
      </c>
      <c r="AF543" t="s">
        <v>74</v>
      </c>
      <c r="AG543">
        <v>42</v>
      </c>
      <c r="AH543">
        <v>5</v>
      </c>
      <c r="AI543">
        <v>5</v>
      </c>
      <c r="AJ543">
        <v>1</v>
      </c>
      <c r="AK543">
        <v>17</v>
      </c>
      <c r="AL543" t="s">
        <v>4248</v>
      </c>
      <c r="AM543" t="s">
        <v>4249</v>
      </c>
      <c r="AN543" t="s">
        <v>4250</v>
      </c>
      <c r="AO543" t="s">
        <v>5499</v>
      </c>
      <c r="AP543" t="s">
        <v>5500</v>
      </c>
      <c r="AQ543" t="s">
        <v>74</v>
      </c>
      <c r="AR543" t="s">
        <v>5501</v>
      </c>
      <c r="AS543" t="s">
        <v>4129</v>
      </c>
      <c r="AT543" t="s">
        <v>74</v>
      </c>
      <c r="AU543">
        <v>2013</v>
      </c>
      <c r="AV543">
        <v>31</v>
      </c>
      <c r="AW543">
        <v>6</v>
      </c>
      <c r="AX543" t="s">
        <v>74</v>
      </c>
      <c r="AY543" t="s">
        <v>74</v>
      </c>
      <c r="AZ543" t="s">
        <v>74</v>
      </c>
      <c r="BA543" t="s">
        <v>74</v>
      </c>
      <c r="BB543">
        <v>995</v>
      </c>
      <c r="BC543">
        <v>1004</v>
      </c>
      <c r="BD543" t="s">
        <v>74</v>
      </c>
      <c r="BE543" t="s">
        <v>10271</v>
      </c>
      <c r="BF543" t="str">
        <f>HYPERLINK("http://dx.doi.org/10.5194/angeo-31-995-2013","http://dx.doi.org/10.5194/angeo-31-995-2013")</f>
        <v>http://dx.doi.org/10.5194/angeo-31-995-2013</v>
      </c>
      <c r="BG543" t="s">
        <v>74</v>
      </c>
      <c r="BH543" t="s">
        <v>74</v>
      </c>
      <c r="BI543">
        <v>10</v>
      </c>
      <c r="BJ543" t="s">
        <v>5503</v>
      </c>
      <c r="BK543" t="s">
        <v>102</v>
      </c>
      <c r="BL543" t="s">
        <v>5504</v>
      </c>
      <c r="BM543" t="s">
        <v>10272</v>
      </c>
      <c r="BN543" t="s">
        <v>74</v>
      </c>
      <c r="BO543" t="s">
        <v>5838</v>
      </c>
      <c r="BP543" t="s">
        <v>74</v>
      </c>
      <c r="BQ543" t="s">
        <v>74</v>
      </c>
      <c r="BR543" t="s">
        <v>105</v>
      </c>
      <c r="BS543" t="s">
        <v>10273</v>
      </c>
      <c r="BT543" t="str">
        <f>HYPERLINK("https%3A%2F%2Fwww.webofscience.com%2Fwos%2Fwoscc%2Ffull-record%2FWOS:000322290400001","View Full Record in Web of Science")</f>
        <v>View Full Record in Web of Science</v>
      </c>
    </row>
    <row r="544" spans="1:72" x14ac:dyDescent="0.15">
      <c r="A544" t="s">
        <v>72</v>
      </c>
      <c r="B544" t="s">
        <v>10274</v>
      </c>
      <c r="C544" t="s">
        <v>74</v>
      </c>
      <c r="D544" t="s">
        <v>74</v>
      </c>
      <c r="E544" t="s">
        <v>74</v>
      </c>
      <c r="F544" t="s">
        <v>10275</v>
      </c>
      <c r="G544" t="s">
        <v>74</v>
      </c>
      <c r="H544" t="s">
        <v>74</v>
      </c>
      <c r="I544" t="s">
        <v>10276</v>
      </c>
      <c r="J544" t="s">
        <v>5486</v>
      </c>
      <c r="K544" t="s">
        <v>74</v>
      </c>
      <c r="L544" t="s">
        <v>74</v>
      </c>
      <c r="M544" t="s">
        <v>78</v>
      </c>
      <c r="N544" t="s">
        <v>79</v>
      </c>
      <c r="O544" t="s">
        <v>74</v>
      </c>
      <c r="P544" t="s">
        <v>74</v>
      </c>
      <c r="Q544" t="s">
        <v>74</v>
      </c>
      <c r="R544" t="s">
        <v>74</v>
      </c>
      <c r="S544" t="s">
        <v>74</v>
      </c>
      <c r="T544" t="s">
        <v>10277</v>
      </c>
      <c r="U544" t="s">
        <v>10278</v>
      </c>
      <c r="V544" t="s">
        <v>10279</v>
      </c>
      <c r="W544" t="s">
        <v>10280</v>
      </c>
      <c r="X544" t="s">
        <v>10281</v>
      </c>
      <c r="Y544" t="s">
        <v>10282</v>
      </c>
      <c r="Z544" t="s">
        <v>10283</v>
      </c>
      <c r="AA544" t="s">
        <v>10284</v>
      </c>
      <c r="AB544" t="s">
        <v>10285</v>
      </c>
      <c r="AC544" t="s">
        <v>10286</v>
      </c>
      <c r="AD544" t="s">
        <v>10287</v>
      </c>
      <c r="AE544" t="s">
        <v>10288</v>
      </c>
      <c r="AF544" t="s">
        <v>74</v>
      </c>
      <c r="AG544">
        <v>55</v>
      </c>
      <c r="AH544">
        <v>24</v>
      </c>
      <c r="AI544">
        <v>25</v>
      </c>
      <c r="AJ544">
        <v>0</v>
      </c>
      <c r="AK544">
        <v>7</v>
      </c>
      <c r="AL544" t="s">
        <v>4248</v>
      </c>
      <c r="AM544" t="s">
        <v>4249</v>
      </c>
      <c r="AN544" t="s">
        <v>4250</v>
      </c>
      <c r="AO544" t="s">
        <v>5499</v>
      </c>
      <c r="AP544" t="s">
        <v>5500</v>
      </c>
      <c r="AQ544" t="s">
        <v>74</v>
      </c>
      <c r="AR544" t="s">
        <v>5501</v>
      </c>
      <c r="AS544" t="s">
        <v>4129</v>
      </c>
      <c r="AT544" t="s">
        <v>74</v>
      </c>
      <c r="AU544">
        <v>2013</v>
      </c>
      <c r="AV544">
        <v>31</v>
      </c>
      <c r="AW544">
        <v>10</v>
      </c>
      <c r="AX544" t="s">
        <v>74</v>
      </c>
      <c r="AY544" t="s">
        <v>74</v>
      </c>
      <c r="AZ544" t="s">
        <v>74</v>
      </c>
      <c r="BA544" t="s">
        <v>74</v>
      </c>
      <c r="BB544">
        <v>1619</v>
      </c>
      <c r="BC544">
        <v>1630</v>
      </c>
      <c r="BD544" t="s">
        <v>74</v>
      </c>
      <c r="BE544" t="s">
        <v>10289</v>
      </c>
      <c r="BF544" t="str">
        <f>HYPERLINK("http://dx.doi.org/10.5194/angeo-31-1619-2013","http://dx.doi.org/10.5194/angeo-31-1619-2013")</f>
        <v>http://dx.doi.org/10.5194/angeo-31-1619-2013</v>
      </c>
      <c r="BG544" t="s">
        <v>74</v>
      </c>
      <c r="BH544" t="s">
        <v>74</v>
      </c>
      <c r="BI544">
        <v>12</v>
      </c>
      <c r="BJ544" t="s">
        <v>5503</v>
      </c>
      <c r="BK544" t="s">
        <v>102</v>
      </c>
      <c r="BL544" t="s">
        <v>5504</v>
      </c>
      <c r="BM544" t="s">
        <v>5505</v>
      </c>
      <c r="BN544" t="s">
        <v>74</v>
      </c>
      <c r="BO544" t="s">
        <v>5838</v>
      </c>
      <c r="BP544" t="s">
        <v>74</v>
      </c>
      <c r="BQ544" t="s">
        <v>74</v>
      </c>
      <c r="BR544" t="s">
        <v>105</v>
      </c>
      <c r="BS544" t="s">
        <v>10290</v>
      </c>
      <c r="BT544" t="str">
        <f>HYPERLINK("https%3A%2F%2Fwww.webofscience.com%2Fwos%2Fwoscc%2Ffull-record%2FWOS:000326548600001","View Full Record in Web of Science")</f>
        <v>View Full Record in Web of Science</v>
      </c>
    </row>
    <row r="545" spans="1:72" x14ac:dyDescent="0.15">
      <c r="A545" t="s">
        <v>72</v>
      </c>
      <c r="B545" t="s">
        <v>10291</v>
      </c>
      <c r="C545" t="s">
        <v>74</v>
      </c>
      <c r="D545" t="s">
        <v>74</v>
      </c>
      <c r="E545" t="s">
        <v>74</v>
      </c>
      <c r="F545" t="s">
        <v>10292</v>
      </c>
      <c r="G545" t="s">
        <v>74</v>
      </c>
      <c r="H545" t="s">
        <v>74</v>
      </c>
      <c r="I545" t="s">
        <v>10293</v>
      </c>
      <c r="J545" t="s">
        <v>5486</v>
      </c>
      <c r="K545" t="s">
        <v>74</v>
      </c>
      <c r="L545" t="s">
        <v>74</v>
      </c>
      <c r="M545" t="s">
        <v>78</v>
      </c>
      <c r="N545" t="s">
        <v>79</v>
      </c>
      <c r="O545" t="s">
        <v>74</v>
      </c>
      <c r="P545" t="s">
        <v>74</v>
      </c>
      <c r="Q545" t="s">
        <v>74</v>
      </c>
      <c r="R545" t="s">
        <v>74</v>
      </c>
      <c r="S545" t="s">
        <v>74</v>
      </c>
      <c r="T545" t="s">
        <v>10294</v>
      </c>
      <c r="U545" t="s">
        <v>10295</v>
      </c>
      <c r="V545" t="s">
        <v>10296</v>
      </c>
      <c r="W545" t="s">
        <v>10297</v>
      </c>
      <c r="X545" t="s">
        <v>10298</v>
      </c>
      <c r="Y545" t="s">
        <v>10299</v>
      </c>
      <c r="Z545" t="s">
        <v>10300</v>
      </c>
      <c r="AA545" t="s">
        <v>10301</v>
      </c>
      <c r="AB545" t="s">
        <v>10302</v>
      </c>
      <c r="AC545" t="s">
        <v>10303</v>
      </c>
      <c r="AD545" t="s">
        <v>10304</v>
      </c>
      <c r="AE545" t="s">
        <v>10305</v>
      </c>
      <c r="AF545" t="s">
        <v>74</v>
      </c>
      <c r="AG545">
        <v>55</v>
      </c>
      <c r="AH545">
        <v>4</v>
      </c>
      <c r="AI545">
        <v>4</v>
      </c>
      <c r="AJ545">
        <v>0</v>
      </c>
      <c r="AK545">
        <v>15</v>
      </c>
      <c r="AL545" t="s">
        <v>4248</v>
      </c>
      <c r="AM545" t="s">
        <v>4249</v>
      </c>
      <c r="AN545" t="s">
        <v>4250</v>
      </c>
      <c r="AO545" t="s">
        <v>5499</v>
      </c>
      <c r="AP545" t="s">
        <v>5500</v>
      </c>
      <c r="AQ545" t="s">
        <v>74</v>
      </c>
      <c r="AR545" t="s">
        <v>5501</v>
      </c>
      <c r="AS545" t="s">
        <v>4129</v>
      </c>
      <c r="AT545" t="s">
        <v>74</v>
      </c>
      <c r="AU545">
        <v>2013</v>
      </c>
      <c r="AV545">
        <v>31</v>
      </c>
      <c r="AW545">
        <v>10</v>
      </c>
      <c r="AX545" t="s">
        <v>74</v>
      </c>
      <c r="AY545" t="s">
        <v>74</v>
      </c>
      <c r="AZ545" t="s">
        <v>74</v>
      </c>
      <c r="BA545" t="s">
        <v>74</v>
      </c>
      <c r="BB545">
        <v>1793</v>
      </c>
      <c r="BC545">
        <v>1803</v>
      </c>
      <c r="BD545" t="s">
        <v>74</v>
      </c>
      <c r="BE545" t="s">
        <v>10306</v>
      </c>
      <c r="BF545" t="str">
        <f>HYPERLINK("http://dx.doi.org/10.5194/angeo-31-1793-2013","http://dx.doi.org/10.5194/angeo-31-1793-2013")</f>
        <v>http://dx.doi.org/10.5194/angeo-31-1793-2013</v>
      </c>
      <c r="BG545" t="s">
        <v>74</v>
      </c>
      <c r="BH545" t="s">
        <v>74</v>
      </c>
      <c r="BI545">
        <v>11</v>
      </c>
      <c r="BJ545" t="s">
        <v>5503</v>
      </c>
      <c r="BK545" t="s">
        <v>102</v>
      </c>
      <c r="BL545" t="s">
        <v>5504</v>
      </c>
      <c r="BM545" t="s">
        <v>5505</v>
      </c>
      <c r="BN545" t="s">
        <v>74</v>
      </c>
      <c r="BO545" t="s">
        <v>4621</v>
      </c>
      <c r="BP545" t="s">
        <v>74</v>
      </c>
      <c r="BQ545" t="s">
        <v>74</v>
      </c>
      <c r="BR545" t="s">
        <v>105</v>
      </c>
      <c r="BS545" t="s">
        <v>10307</v>
      </c>
      <c r="BT545" t="str">
        <f>HYPERLINK("https%3A%2F%2Fwww.webofscience.com%2Fwos%2Fwoscc%2Ffull-record%2FWOS:000326548600016","View Full Record in Web of Science")</f>
        <v>View Full Record in Web of Science</v>
      </c>
    </row>
    <row r="546" spans="1:72" x14ac:dyDescent="0.15">
      <c r="A546" t="s">
        <v>72</v>
      </c>
      <c r="B546" t="s">
        <v>10308</v>
      </c>
      <c r="C546" t="s">
        <v>74</v>
      </c>
      <c r="D546" t="s">
        <v>74</v>
      </c>
      <c r="E546" t="s">
        <v>74</v>
      </c>
      <c r="F546" t="s">
        <v>10309</v>
      </c>
      <c r="G546" t="s">
        <v>74</v>
      </c>
      <c r="H546" t="s">
        <v>74</v>
      </c>
      <c r="I546" t="s">
        <v>10310</v>
      </c>
      <c r="J546" t="s">
        <v>4112</v>
      </c>
      <c r="K546" t="s">
        <v>74</v>
      </c>
      <c r="L546" t="s">
        <v>74</v>
      </c>
      <c r="M546" t="s">
        <v>78</v>
      </c>
      <c r="N546" t="s">
        <v>79</v>
      </c>
      <c r="O546" t="s">
        <v>74</v>
      </c>
      <c r="P546" t="s">
        <v>74</v>
      </c>
      <c r="Q546" t="s">
        <v>74</v>
      </c>
      <c r="R546" t="s">
        <v>74</v>
      </c>
      <c r="S546" t="s">
        <v>74</v>
      </c>
      <c r="T546" t="s">
        <v>74</v>
      </c>
      <c r="U546" t="s">
        <v>10311</v>
      </c>
      <c r="V546" t="s">
        <v>10312</v>
      </c>
      <c r="W546" t="s">
        <v>10313</v>
      </c>
      <c r="X546" t="s">
        <v>10314</v>
      </c>
      <c r="Y546" t="s">
        <v>10315</v>
      </c>
      <c r="Z546" t="s">
        <v>10316</v>
      </c>
      <c r="AA546" t="s">
        <v>10317</v>
      </c>
      <c r="AB546" t="s">
        <v>10318</v>
      </c>
      <c r="AC546" t="s">
        <v>10319</v>
      </c>
      <c r="AD546" t="s">
        <v>10320</v>
      </c>
      <c r="AE546" t="s">
        <v>10321</v>
      </c>
      <c r="AF546" t="s">
        <v>74</v>
      </c>
      <c r="AG546">
        <v>35</v>
      </c>
      <c r="AH546">
        <v>14</v>
      </c>
      <c r="AI546">
        <v>15</v>
      </c>
      <c r="AJ546">
        <v>1</v>
      </c>
      <c r="AK546">
        <v>28</v>
      </c>
      <c r="AL546" t="s">
        <v>4123</v>
      </c>
      <c r="AM546" t="s">
        <v>4124</v>
      </c>
      <c r="AN546" t="s">
        <v>4125</v>
      </c>
      <c r="AO546" t="s">
        <v>4126</v>
      </c>
      <c r="AP546" t="s">
        <v>4127</v>
      </c>
      <c r="AQ546" t="s">
        <v>74</v>
      </c>
      <c r="AR546" t="s">
        <v>4128</v>
      </c>
      <c r="AS546" t="s">
        <v>4129</v>
      </c>
      <c r="AT546" t="s">
        <v>74</v>
      </c>
      <c r="AU546">
        <v>2013</v>
      </c>
      <c r="AV546">
        <v>56</v>
      </c>
      <c r="AW546">
        <v>2</v>
      </c>
      <c r="AX546" t="s">
        <v>74</v>
      </c>
      <c r="AY546" t="s">
        <v>74</v>
      </c>
      <c r="AZ546" t="s">
        <v>221</v>
      </c>
      <c r="BA546" t="s">
        <v>74</v>
      </c>
      <c r="BB546" t="s">
        <v>74</v>
      </c>
      <c r="BC546" t="s">
        <v>74</v>
      </c>
      <c r="BD546" t="s">
        <v>10322</v>
      </c>
      <c r="BE546" t="s">
        <v>10323</v>
      </c>
      <c r="BF546" t="str">
        <f>HYPERLINK("http://dx.doi.org/10.4401/ag-6227","http://dx.doi.org/10.4401/ag-6227")</f>
        <v>http://dx.doi.org/10.4401/ag-6227</v>
      </c>
      <c r="BG546" t="s">
        <v>74</v>
      </c>
      <c r="BH546" t="s">
        <v>74</v>
      </c>
      <c r="BI546">
        <v>15</v>
      </c>
      <c r="BJ546" t="s">
        <v>263</v>
      </c>
      <c r="BK546" t="s">
        <v>102</v>
      </c>
      <c r="BL546" t="s">
        <v>263</v>
      </c>
      <c r="BM546" t="s">
        <v>4907</v>
      </c>
      <c r="BN546" t="s">
        <v>74</v>
      </c>
      <c r="BO546" t="s">
        <v>2629</v>
      </c>
      <c r="BP546" t="s">
        <v>74</v>
      </c>
      <c r="BQ546" t="s">
        <v>74</v>
      </c>
      <c r="BR546" t="s">
        <v>105</v>
      </c>
      <c r="BS546" t="s">
        <v>10324</v>
      </c>
      <c r="BT546" t="str">
        <f>HYPERLINK("https%3A%2F%2Fwww.webofscience.com%2Fwos%2Fwoscc%2Ffull-record%2FWOS:000328252900002","View Full Record in Web of Science")</f>
        <v>View Full Record in Web of Science</v>
      </c>
    </row>
    <row r="547" spans="1:72" x14ac:dyDescent="0.15">
      <c r="A547" t="s">
        <v>72</v>
      </c>
      <c r="B547" t="s">
        <v>10325</v>
      </c>
      <c r="C547" t="s">
        <v>74</v>
      </c>
      <c r="D547" t="s">
        <v>74</v>
      </c>
      <c r="E547" t="s">
        <v>74</v>
      </c>
      <c r="F547" t="s">
        <v>10326</v>
      </c>
      <c r="G547" t="s">
        <v>74</v>
      </c>
      <c r="H547" t="s">
        <v>74</v>
      </c>
      <c r="I547" t="s">
        <v>10327</v>
      </c>
      <c r="J547" t="s">
        <v>5781</v>
      </c>
      <c r="K547" t="s">
        <v>74</v>
      </c>
      <c r="L547" t="s">
        <v>74</v>
      </c>
      <c r="M547" t="s">
        <v>78</v>
      </c>
      <c r="N547" t="s">
        <v>79</v>
      </c>
      <c r="O547" t="s">
        <v>74</v>
      </c>
      <c r="P547" t="s">
        <v>74</v>
      </c>
      <c r="Q547" t="s">
        <v>74</v>
      </c>
      <c r="R547" t="s">
        <v>74</v>
      </c>
      <c r="S547" t="s">
        <v>74</v>
      </c>
      <c r="T547" t="s">
        <v>74</v>
      </c>
      <c r="U547" t="s">
        <v>10328</v>
      </c>
      <c r="V547" t="s">
        <v>10329</v>
      </c>
      <c r="W547" t="s">
        <v>10330</v>
      </c>
      <c r="X547" t="s">
        <v>1249</v>
      </c>
      <c r="Y547" t="s">
        <v>10331</v>
      </c>
      <c r="Z547" t="s">
        <v>10332</v>
      </c>
      <c r="AA547" t="s">
        <v>10333</v>
      </c>
      <c r="AB547" t="s">
        <v>10334</v>
      </c>
      <c r="AC547" t="s">
        <v>10335</v>
      </c>
      <c r="AD547" t="s">
        <v>1550</v>
      </c>
      <c r="AE547" t="s">
        <v>74</v>
      </c>
      <c r="AF547" t="s">
        <v>74</v>
      </c>
      <c r="AG547">
        <v>26</v>
      </c>
      <c r="AH547">
        <v>21</v>
      </c>
      <c r="AI547">
        <v>23</v>
      </c>
      <c r="AJ547">
        <v>0</v>
      </c>
      <c r="AK547">
        <v>7</v>
      </c>
      <c r="AL547" t="s">
        <v>816</v>
      </c>
      <c r="AM547" t="s">
        <v>2038</v>
      </c>
      <c r="AN547" t="s">
        <v>4484</v>
      </c>
      <c r="AO547" t="s">
        <v>5793</v>
      </c>
      <c r="AP547" t="s">
        <v>5794</v>
      </c>
      <c r="AQ547" t="s">
        <v>74</v>
      </c>
      <c r="AR547" t="s">
        <v>5795</v>
      </c>
      <c r="AS547" t="s">
        <v>5796</v>
      </c>
      <c r="AT547" t="s">
        <v>74</v>
      </c>
      <c r="AU547">
        <v>2013</v>
      </c>
      <c r="AV547">
        <v>54</v>
      </c>
      <c r="AW547">
        <v>63</v>
      </c>
      <c r="AX547">
        <v>1</v>
      </c>
      <c r="AY547" t="s">
        <v>74</v>
      </c>
      <c r="AZ547" t="s">
        <v>74</v>
      </c>
      <c r="BA547" t="s">
        <v>74</v>
      </c>
      <c r="BB547">
        <v>18</v>
      </c>
      <c r="BC547">
        <v>24</v>
      </c>
      <c r="BD547" t="s">
        <v>74</v>
      </c>
      <c r="BE547" t="s">
        <v>10336</v>
      </c>
      <c r="BF547" t="str">
        <f>HYPERLINK("http://dx.doi.org/10.3189/2013AoG63A603","http://dx.doi.org/10.3189/2013AoG63A603")</f>
        <v>http://dx.doi.org/10.3189/2013AoG63A603</v>
      </c>
      <c r="BG547" t="s">
        <v>74</v>
      </c>
      <c r="BH547" t="s">
        <v>74</v>
      </c>
      <c r="BI547">
        <v>7</v>
      </c>
      <c r="BJ547" t="s">
        <v>2261</v>
      </c>
      <c r="BK547" t="s">
        <v>102</v>
      </c>
      <c r="BL547" t="s">
        <v>2262</v>
      </c>
      <c r="BM547" t="s">
        <v>6571</v>
      </c>
      <c r="BN547" t="s">
        <v>74</v>
      </c>
      <c r="BO547" t="s">
        <v>196</v>
      </c>
      <c r="BP547" t="s">
        <v>74</v>
      </c>
      <c r="BQ547" t="s">
        <v>74</v>
      </c>
      <c r="BR547" t="s">
        <v>105</v>
      </c>
      <c r="BS547" t="s">
        <v>10337</v>
      </c>
      <c r="BT547" t="str">
        <f>HYPERLINK("https%3A%2F%2Fwww.webofscience.com%2Fwos%2Fwoscc%2Ffull-record%2FWOS:000321685500004","View Full Record in Web of Science")</f>
        <v>View Full Record in Web of Science</v>
      </c>
    </row>
    <row r="548" spans="1:72" x14ac:dyDescent="0.15">
      <c r="A548" t="s">
        <v>72</v>
      </c>
      <c r="B548" t="s">
        <v>10338</v>
      </c>
      <c r="C548" t="s">
        <v>74</v>
      </c>
      <c r="D548" t="s">
        <v>74</v>
      </c>
      <c r="E548" t="s">
        <v>74</v>
      </c>
      <c r="F548" t="s">
        <v>10339</v>
      </c>
      <c r="G548" t="s">
        <v>74</v>
      </c>
      <c r="H548" t="s">
        <v>74</v>
      </c>
      <c r="I548" t="s">
        <v>10340</v>
      </c>
      <c r="J548" t="s">
        <v>5781</v>
      </c>
      <c r="K548" t="s">
        <v>74</v>
      </c>
      <c r="L548" t="s">
        <v>74</v>
      </c>
      <c r="M548" t="s">
        <v>78</v>
      </c>
      <c r="N548" t="s">
        <v>79</v>
      </c>
      <c r="O548" t="s">
        <v>74</v>
      </c>
      <c r="P548" t="s">
        <v>74</v>
      </c>
      <c r="Q548" t="s">
        <v>74</v>
      </c>
      <c r="R548" t="s">
        <v>74</v>
      </c>
      <c r="S548" t="s">
        <v>74</v>
      </c>
      <c r="T548" t="s">
        <v>74</v>
      </c>
      <c r="U548" t="s">
        <v>10341</v>
      </c>
      <c r="V548" t="s">
        <v>10342</v>
      </c>
      <c r="W548" t="s">
        <v>10343</v>
      </c>
      <c r="X548" t="s">
        <v>10344</v>
      </c>
      <c r="Y548" t="s">
        <v>10345</v>
      </c>
      <c r="Z548" t="s">
        <v>10346</v>
      </c>
      <c r="AA548" t="s">
        <v>10347</v>
      </c>
      <c r="AB548" t="s">
        <v>10348</v>
      </c>
      <c r="AC548" t="s">
        <v>10349</v>
      </c>
      <c r="AD548" t="s">
        <v>10350</v>
      </c>
      <c r="AE548" t="s">
        <v>10351</v>
      </c>
      <c r="AF548" t="s">
        <v>74</v>
      </c>
      <c r="AG548">
        <v>21</v>
      </c>
      <c r="AH548">
        <v>3</v>
      </c>
      <c r="AI548">
        <v>3</v>
      </c>
      <c r="AJ548">
        <v>0</v>
      </c>
      <c r="AK548">
        <v>5</v>
      </c>
      <c r="AL548" t="s">
        <v>816</v>
      </c>
      <c r="AM548" t="s">
        <v>2038</v>
      </c>
      <c r="AN548" t="s">
        <v>4484</v>
      </c>
      <c r="AO548" t="s">
        <v>5793</v>
      </c>
      <c r="AP548" t="s">
        <v>5794</v>
      </c>
      <c r="AQ548" t="s">
        <v>74</v>
      </c>
      <c r="AR548" t="s">
        <v>5795</v>
      </c>
      <c r="AS548" t="s">
        <v>5796</v>
      </c>
      <c r="AT548" t="s">
        <v>74</v>
      </c>
      <c r="AU548">
        <v>2013</v>
      </c>
      <c r="AV548">
        <v>54</v>
      </c>
      <c r="AW548">
        <v>64</v>
      </c>
      <c r="AX548" t="s">
        <v>74</v>
      </c>
      <c r="AY548" t="s">
        <v>74</v>
      </c>
      <c r="AZ548" t="s">
        <v>74</v>
      </c>
      <c r="BA548" t="s">
        <v>74</v>
      </c>
      <c r="BB548">
        <v>90</v>
      </c>
      <c r="BC548">
        <v>96</v>
      </c>
      <c r="BD548" t="s">
        <v>74</v>
      </c>
      <c r="BE548" t="s">
        <v>10352</v>
      </c>
      <c r="BF548" t="str">
        <f>HYPERLINK("http://dx.doi.org/10.3189/2013AoG64A202","http://dx.doi.org/10.3189/2013AoG64A202")</f>
        <v>http://dx.doi.org/10.3189/2013AoG64A202</v>
      </c>
      <c r="BG548" t="s">
        <v>74</v>
      </c>
      <c r="BH548" t="s">
        <v>74</v>
      </c>
      <c r="BI548">
        <v>7</v>
      </c>
      <c r="BJ548" t="s">
        <v>2261</v>
      </c>
      <c r="BK548" t="s">
        <v>102</v>
      </c>
      <c r="BL548" t="s">
        <v>2262</v>
      </c>
      <c r="BM548" t="s">
        <v>5798</v>
      </c>
      <c r="BN548" t="s">
        <v>74</v>
      </c>
      <c r="BO548" t="s">
        <v>196</v>
      </c>
      <c r="BP548" t="s">
        <v>74</v>
      </c>
      <c r="BQ548" t="s">
        <v>74</v>
      </c>
      <c r="BR548" t="s">
        <v>105</v>
      </c>
      <c r="BS548" t="s">
        <v>10353</v>
      </c>
      <c r="BT548" t="str">
        <f>HYPERLINK("https%3A%2F%2Fwww.webofscience.com%2Fwos%2Fwoscc%2Ffull-record%2FWOS:000324720300012","View Full Record in Web of Science")</f>
        <v>View Full Record in Web of Science</v>
      </c>
    </row>
    <row r="549" spans="1:72" x14ac:dyDescent="0.15">
      <c r="A549" t="s">
        <v>72</v>
      </c>
      <c r="B549" t="s">
        <v>10354</v>
      </c>
      <c r="C549" t="s">
        <v>74</v>
      </c>
      <c r="D549" t="s">
        <v>74</v>
      </c>
      <c r="E549" t="s">
        <v>74</v>
      </c>
      <c r="F549" t="s">
        <v>10355</v>
      </c>
      <c r="G549" t="s">
        <v>74</v>
      </c>
      <c r="H549" t="s">
        <v>74</v>
      </c>
      <c r="I549" t="s">
        <v>10356</v>
      </c>
      <c r="J549" t="s">
        <v>5781</v>
      </c>
      <c r="K549" t="s">
        <v>74</v>
      </c>
      <c r="L549" t="s">
        <v>74</v>
      </c>
      <c r="M549" t="s">
        <v>78</v>
      </c>
      <c r="N549" t="s">
        <v>79</v>
      </c>
      <c r="O549" t="s">
        <v>74</v>
      </c>
      <c r="P549" t="s">
        <v>74</v>
      </c>
      <c r="Q549" t="s">
        <v>74</v>
      </c>
      <c r="R549" t="s">
        <v>74</v>
      </c>
      <c r="S549" t="s">
        <v>74</v>
      </c>
      <c r="T549" t="s">
        <v>74</v>
      </c>
      <c r="U549" t="s">
        <v>10357</v>
      </c>
      <c r="V549" t="s">
        <v>10358</v>
      </c>
      <c r="W549" t="s">
        <v>10359</v>
      </c>
      <c r="X549" t="s">
        <v>10360</v>
      </c>
      <c r="Y549" t="s">
        <v>10361</v>
      </c>
      <c r="Z549" t="s">
        <v>10362</v>
      </c>
      <c r="AA549" t="s">
        <v>10363</v>
      </c>
      <c r="AB549" t="s">
        <v>10364</v>
      </c>
      <c r="AC549" t="s">
        <v>10365</v>
      </c>
      <c r="AD549" t="s">
        <v>10366</v>
      </c>
      <c r="AE549" t="s">
        <v>10367</v>
      </c>
      <c r="AF549" t="s">
        <v>74</v>
      </c>
      <c r="AG549">
        <v>48</v>
      </c>
      <c r="AH549">
        <v>23</v>
      </c>
      <c r="AI549">
        <v>24</v>
      </c>
      <c r="AJ549">
        <v>0</v>
      </c>
      <c r="AK549">
        <v>15</v>
      </c>
      <c r="AL549" t="s">
        <v>816</v>
      </c>
      <c r="AM549" t="s">
        <v>2038</v>
      </c>
      <c r="AN549" t="s">
        <v>4484</v>
      </c>
      <c r="AO549" t="s">
        <v>5793</v>
      </c>
      <c r="AP549" t="s">
        <v>5794</v>
      </c>
      <c r="AQ549" t="s">
        <v>74</v>
      </c>
      <c r="AR549" t="s">
        <v>5795</v>
      </c>
      <c r="AS549" t="s">
        <v>5796</v>
      </c>
      <c r="AT549" t="s">
        <v>74</v>
      </c>
      <c r="AU549">
        <v>2013</v>
      </c>
      <c r="AV549">
        <v>54</v>
      </c>
      <c r="AW549">
        <v>64</v>
      </c>
      <c r="AX549" t="s">
        <v>74</v>
      </c>
      <c r="AY549" t="s">
        <v>74</v>
      </c>
      <c r="AZ549" t="s">
        <v>74</v>
      </c>
      <c r="BA549" t="s">
        <v>74</v>
      </c>
      <c r="BB549">
        <v>105</v>
      </c>
      <c r="BC549">
        <v>114</v>
      </c>
      <c r="BD549" t="s">
        <v>74</v>
      </c>
      <c r="BE549" t="s">
        <v>10368</v>
      </c>
      <c r="BF549" t="str">
        <f>HYPERLINK("http://dx.doi.org/10.3189/2013AoG64A033","http://dx.doi.org/10.3189/2013AoG64A033")</f>
        <v>http://dx.doi.org/10.3189/2013AoG64A033</v>
      </c>
      <c r="BG549" t="s">
        <v>74</v>
      </c>
      <c r="BH549" t="s">
        <v>74</v>
      </c>
      <c r="BI549">
        <v>10</v>
      </c>
      <c r="BJ549" t="s">
        <v>2261</v>
      </c>
      <c r="BK549" t="s">
        <v>102</v>
      </c>
      <c r="BL549" t="s">
        <v>2262</v>
      </c>
      <c r="BM549" t="s">
        <v>5798</v>
      </c>
      <c r="BN549" t="s">
        <v>74</v>
      </c>
      <c r="BO549" t="s">
        <v>10369</v>
      </c>
      <c r="BP549" t="s">
        <v>74</v>
      </c>
      <c r="BQ549" t="s">
        <v>74</v>
      </c>
      <c r="BR549" t="s">
        <v>105</v>
      </c>
      <c r="BS549" t="s">
        <v>10370</v>
      </c>
      <c r="BT549" t="str">
        <f>HYPERLINK("https%3A%2F%2Fwww.webofscience.com%2Fwos%2Fwoscc%2Ffull-record%2FWOS:000324720300014","View Full Record in Web of Science")</f>
        <v>View Full Record in Web of Science</v>
      </c>
    </row>
    <row r="550" spans="1:72" x14ac:dyDescent="0.15">
      <c r="A550" t="s">
        <v>72</v>
      </c>
      <c r="B550" t="s">
        <v>10371</v>
      </c>
      <c r="C550" t="s">
        <v>74</v>
      </c>
      <c r="D550" t="s">
        <v>74</v>
      </c>
      <c r="E550" t="s">
        <v>74</v>
      </c>
      <c r="F550" t="s">
        <v>10372</v>
      </c>
      <c r="G550" t="s">
        <v>74</v>
      </c>
      <c r="H550" t="s">
        <v>74</v>
      </c>
      <c r="I550" t="s">
        <v>10373</v>
      </c>
      <c r="J550" t="s">
        <v>5781</v>
      </c>
      <c r="K550" t="s">
        <v>74</v>
      </c>
      <c r="L550" t="s">
        <v>74</v>
      </c>
      <c r="M550" t="s">
        <v>78</v>
      </c>
      <c r="N550" t="s">
        <v>79</v>
      </c>
      <c r="O550" t="s">
        <v>74</v>
      </c>
      <c r="P550" t="s">
        <v>74</v>
      </c>
      <c r="Q550" t="s">
        <v>74</v>
      </c>
      <c r="R550" t="s">
        <v>74</v>
      </c>
      <c r="S550" t="s">
        <v>74</v>
      </c>
      <c r="T550" t="s">
        <v>74</v>
      </c>
      <c r="U550" t="s">
        <v>10374</v>
      </c>
      <c r="V550" t="s">
        <v>10375</v>
      </c>
      <c r="W550" t="s">
        <v>10376</v>
      </c>
      <c r="X550" t="s">
        <v>10377</v>
      </c>
      <c r="Y550" t="s">
        <v>10378</v>
      </c>
      <c r="Z550" t="s">
        <v>10379</v>
      </c>
      <c r="AA550" t="s">
        <v>10380</v>
      </c>
      <c r="AB550" t="s">
        <v>10381</v>
      </c>
      <c r="AC550" t="s">
        <v>10382</v>
      </c>
      <c r="AD550" t="s">
        <v>10383</v>
      </c>
      <c r="AE550" t="s">
        <v>74</v>
      </c>
      <c r="AF550" t="s">
        <v>74</v>
      </c>
      <c r="AG550">
        <v>40</v>
      </c>
      <c r="AH550">
        <v>4</v>
      </c>
      <c r="AI550">
        <v>4</v>
      </c>
      <c r="AJ550">
        <v>0</v>
      </c>
      <c r="AK550">
        <v>5</v>
      </c>
      <c r="AL550" t="s">
        <v>816</v>
      </c>
      <c r="AM550" t="s">
        <v>2038</v>
      </c>
      <c r="AN550" t="s">
        <v>4484</v>
      </c>
      <c r="AO550" t="s">
        <v>5793</v>
      </c>
      <c r="AP550" t="s">
        <v>5794</v>
      </c>
      <c r="AQ550" t="s">
        <v>74</v>
      </c>
      <c r="AR550" t="s">
        <v>5795</v>
      </c>
      <c r="AS550" t="s">
        <v>5796</v>
      </c>
      <c r="AT550" t="s">
        <v>74</v>
      </c>
      <c r="AU550">
        <v>2013</v>
      </c>
      <c r="AV550">
        <v>54</v>
      </c>
      <c r="AW550">
        <v>64</v>
      </c>
      <c r="AX550" t="s">
        <v>74</v>
      </c>
      <c r="AY550" t="s">
        <v>74</v>
      </c>
      <c r="AZ550" t="s">
        <v>74</v>
      </c>
      <c r="BA550" t="s">
        <v>74</v>
      </c>
      <c r="BB550">
        <v>124</v>
      </c>
      <c r="BC550">
        <v>134</v>
      </c>
      <c r="BD550" t="s">
        <v>74</v>
      </c>
      <c r="BE550" t="s">
        <v>10384</v>
      </c>
      <c r="BF550" t="str">
        <f>HYPERLINK("http://dx.doi.org/10.3189/2013AoG64A022","http://dx.doi.org/10.3189/2013AoG64A022")</f>
        <v>http://dx.doi.org/10.3189/2013AoG64A022</v>
      </c>
      <c r="BG550" t="s">
        <v>74</v>
      </c>
      <c r="BH550" t="s">
        <v>74</v>
      </c>
      <c r="BI550">
        <v>11</v>
      </c>
      <c r="BJ550" t="s">
        <v>2261</v>
      </c>
      <c r="BK550" t="s">
        <v>102</v>
      </c>
      <c r="BL550" t="s">
        <v>2262</v>
      </c>
      <c r="BM550" t="s">
        <v>5798</v>
      </c>
      <c r="BN550" t="s">
        <v>74</v>
      </c>
      <c r="BO550" t="s">
        <v>10385</v>
      </c>
      <c r="BP550" t="s">
        <v>74</v>
      </c>
      <c r="BQ550" t="s">
        <v>74</v>
      </c>
      <c r="BR550" t="s">
        <v>105</v>
      </c>
      <c r="BS550" t="s">
        <v>10386</v>
      </c>
      <c r="BT550" t="str">
        <f>HYPERLINK("https%3A%2F%2Fwww.webofscience.com%2Fwos%2Fwoscc%2Ffull-record%2FWOS:000324720300016","View Full Record in Web of Science")</f>
        <v>View Full Record in Web of Science</v>
      </c>
    </row>
    <row r="551" spans="1:72" x14ac:dyDescent="0.15">
      <c r="A551" t="s">
        <v>72</v>
      </c>
      <c r="B551" t="s">
        <v>10387</v>
      </c>
      <c r="C551" t="s">
        <v>74</v>
      </c>
      <c r="D551" t="s">
        <v>74</v>
      </c>
      <c r="E551" t="s">
        <v>74</v>
      </c>
      <c r="F551" t="s">
        <v>10388</v>
      </c>
      <c r="G551" t="s">
        <v>74</v>
      </c>
      <c r="H551" t="s">
        <v>74</v>
      </c>
      <c r="I551" t="s">
        <v>10389</v>
      </c>
      <c r="J551" t="s">
        <v>5781</v>
      </c>
      <c r="K551" t="s">
        <v>74</v>
      </c>
      <c r="L551" t="s">
        <v>74</v>
      </c>
      <c r="M551" t="s">
        <v>78</v>
      </c>
      <c r="N551" t="s">
        <v>79</v>
      </c>
      <c r="O551" t="s">
        <v>74</v>
      </c>
      <c r="P551" t="s">
        <v>74</v>
      </c>
      <c r="Q551" t="s">
        <v>74</v>
      </c>
      <c r="R551" t="s">
        <v>74</v>
      </c>
      <c r="S551" t="s">
        <v>74</v>
      </c>
      <c r="T551" t="s">
        <v>74</v>
      </c>
      <c r="U551" t="s">
        <v>10390</v>
      </c>
      <c r="V551" t="s">
        <v>10391</v>
      </c>
      <c r="W551" t="s">
        <v>10392</v>
      </c>
      <c r="X551" t="s">
        <v>10393</v>
      </c>
      <c r="Y551" t="s">
        <v>10394</v>
      </c>
      <c r="Z551" t="s">
        <v>10395</v>
      </c>
      <c r="AA551" t="s">
        <v>10396</v>
      </c>
      <c r="AB551" t="s">
        <v>74</v>
      </c>
      <c r="AC551" t="s">
        <v>10397</v>
      </c>
      <c r="AD551" t="s">
        <v>10398</v>
      </c>
      <c r="AE551" t="s">
        <v>10399</v>
      </c>
      <c r="AF551" t="s">
        <v>74</v>
      </c>
      <c r="AG551">
        <v>39</v>
      </c>
      <c r="AH551">
        <v>41</v>
      </c>
      <c r="AI551">
        <v>44</v>
      </c>
      <c r="AJ551">
        <v>0</v>
      </c>
      <c r="AK551">
        <v>21</v>
      </c>
      <c r="AL551" t="s">
        <v>816</v>
      </c>
      <c r="AM551" t="s">
        <v>2038</v>
      </c>
      <c r="AN551" t="s">
        <v>4484</v>
      </c>
      <c r="AO551" t="s">
        <v>5793</v>
      </c>
      <c r="AP551" t="s">
        <v>5794</v>
      </c>
      <c r="AQ551" t="s">
        <v>74</v>
      </c>
      <c r="AR551" t="s">
        <v>5795</v>
      </c>
      <c r="AS551" t="s">
        <v>5796</v>
      </c>
      <c r="AT551" t="s">
        <v>74</v>
      </c>
      <c r="AU551">
        <v>2013</v>
      </c>
      <c r="AV551">
        <v>54</v>
      </c>
      <c r="AW551">
        <v>63</v>
      </c>
      <c r="AX551">
        <v>1</v>
      </c>
      <c r="AY551" t="s">
        <v>74</v>
      </c>
      <c r="AZ551" t="s">
        <v>74</v>
      </c>
      <c r="BA551" t="s">
        <v>74</v>
      </c>
      <c r="BB551">
        <v>131</v>
      </c>
      <c r="BC551">
        <v>138</v>
      </c>
      <c r="BD551" t="s">
        <v>74</v>
      </c>
      <c r="BE551" t="s">
        <v>10400</v>
      </c>
      <c r="BF551" t="str">
        <f>HYPERLINK("http://dx.doi.org/10.3189/2013AoG63A236","http://dx.doi.org/10.3189/2013AoG63A236")</f>
        <v>http://dx.doi.org/10.3189/2013AoG63A236</v>
      </c>
      <c r="BG551" t="s">
        <v>74</v>
      </c>
      <c r="BH551" t="s">
        <v>74</v>
      </c>
      <c r="BI551">
        <v>8</v>
      </c>
      <c r="BJ551" t="s">
        <v>2261</v>
      </c>
      <c r="BK551" t="s">
        <v>102</v>
      </c>
      <c r="BL551" t="s">
        <v>2262</v>
      </c>
      <c r="BM551" t="s">
        <v>6571</v>
      </c>
      <c r="BN551" t="s">
        <v>74</v>
      </c>
      <c r="BO551" t="s">
        <v>2097</v>
      </c>
      <c r="BP551" t="s">
        <v>74</v>
      </c>
      <c r="BQ551" t="s">
        <v>74</v>
      </c>
      <c r="BR551" t="s">
        <v>105</v>
      </c>
      <c r="BS551" t="s">
        <v>10401</v>
      </c>
      <c r="BT551" t="str">
        <f>HYPERLINK("https%3A%2F%2Fwww.webofscience.com%2Fwos%2Fwoscc%2Ffull-record%2FWOS:000321685500016","View Full Record in Web of Science")</f>
        <v>View Full Record in Web of Science</v>
      </c>
    </row>
    <row r="552" spans="1:72" x14ac:dyDescent="0.15">
      <c r="A552" t="s">
        <v>72</v>
      </c>
      <c r="B552" t="s">
        <v>10402</v>
      </c>
      <c r="C552" t="s">
        <v>74</v>
      </c>
      <c r="D552" t="s">
        <v>74</v>
      </c>
      <c r="E552" t="s">
        <v>74</v>
      </c>
      <c r="F552" t="s">
        <v>10403</v>
      </c>
      <c r="G552" t="s">
        <v>74</v>
      </c>
      <c r="H552" t="s">
        <v>74</v>
      </c>
      <c r="I552" t="s">
        <v>10404</v>
      </c>
      <c r="J552" t="s">
        <v>5781</v>
      </c>
      <c r="K552" t="s">
        <v>74</v>
      </c>
      <c r="L552" t="s">
        <v>74</v>
      </c>
      <c r="M552" t="s">
        <v>78</v>
      </c>
      <c r="N552" t="s">
        <v>79</v>
      </c>
      <c r="O552" t="s">
        <v>74</v>
      </c>
      <c r="P552" t="s">
        <v>74</v>
      </c>
      <c r="Q552" t="s">
        <v>74</v>
      </c>
      <c r="R552" t="s">
        <v>74</v>
      </c>
      <c r="S552" t="s">
        <v>74</v>
      </c>
      <c r="T552" t="s">
        <v>74</v>
      </c>
      <c r="U552" t="s">
        <v>10405</v>
      </c>
      <c r="V552" t="s">
        <v>10406</v>
      </c>
      <c r="W552" t="s">
        <v>10407</v>
      </c>
      <c r="X552" t="s">
        <v>10408</v>
      </c>
      <c r="Y552" t="s">
        <v>10409</v>
      </c>
      <c r="Z552" t="s">
        <v>10410</v>
      </c>
      <c r="AA552" t="s">
        <v>10411</v>
      </c>
      <c r="AB552" t="s">
        <v>10412</v>
      </c>
      <c r="AC552" t="s">
        <v>10413</v>
      </c>
      <c r="AD552" t="s">
        <v>10414</v>
      </c>
      <c r="AE552" t="s">
        <v>10415</v>
      </c>
      <c r="AF552" t="s">
        <v>74</v>
      </c>
      <c r="AG552">
        <v>28</v>
      </c>
      <c r="AH552">
        <v>47</v>
      </c>
      <c r="AI552">
        <v>50</v>
      </c>
      <c r="AJ552">
        <v>0</v>
      </c>
      <c r="AK552">
        <v>15</v>
      </c>
      <c r="AL552" t="s">
        <v>5814</v>
      </c>
      <c r="AM552" t="s">
        <v>2038</v>
      </c>
      <c r="AN552" t="s">
        <v>5815</v>
      </c>
      <c r="AO552" t="s">
        <v>5793</v>
      </c>
      <c r="AP552" t="s">
        <v>74</v>
      </c>
      <c r="AQ552" t="s">
        <v>74</v>
      </c>
      <c r="AR552" t="s">
        <v>5795</v>
      </c>
      <c r="AS552" t="s">
        <v>5796</v>
      </c>
      <c r="AT552" t="s">
        <v>74</v>
      </c>
      <c r="AU552">
        <v>2013</v>
      </c>
      <c r="AV552">
        <v>54</v>
      </c>
      <c r="AW552">
        <v>64</v>
      </c>
      <c r="AX552" t="s">
        <v>74</v>
      </c>
      <c r="AY552" t="s">
        <v>74</v>
      </c>
      <c r="AZ552" t="s">
        <v>74</v>
      </c>
      <c r="BA552" t="s">
        <v>74</v>
      </c>
      <c r="BB552">
        <v>135</v>
      </c>
      <c r="BC552">
        <v>141</v>
      </c>
      <c r="BD552" t="s">
        <v>74</v>
      </c>
      <c r="BE552" t="s">
        <v>10416</v>
      </c>
      <c r="BF552" t="str">
        <f>HYPERLINK("http://dx.doi.org/10.3189/2013AoG64A032","http://dx.doi.org/10.3189/2013AoG64A032")</f>
        <v>http://dx.doi.org/10.3189/2013AoG64A032</v>
      </c>
      <c r="BG552" t="s">
        <v>74</v>
      </c>
      <c r="BH552" t="s">
        <v>74</v>
      </c>
      <c r="BI552">
        <v>7</v>
      </c>
      <c r="BJ552" t="s">
        <v>2261</v>
      </c>
      <c r="BK552" t="s">
        <v>102</v>
      </c>
      <c r="BL552" t="s">
        <v>2262</v>
      </c>
      <c r="BM552" t="s">
        <v>5798</v>
      </c>
      <c r="BN552" t="s">
        <v>74</v>
      </c>
      <c r="BO552" t="s">
        <v>128</v>
      </c>
      <c r="BP552" t="s">
        <v>74</v>
      </c>
      <c r="BQ552" t="s">
        <v>74</v>
      </c>
      <c r="BR552" t="s">
        <v>105</v>
      </c>
      <c r="BS552" t="s">
        <v>10417</v>
      </c>
      <c r="BT552" t="str">
        <f>HYPERLINK("https%3A%2F%2Fwww.webofscience.com%2Fwos%2Fwoscc%2Ffull-record%2FWOS:000324720300017","View Full Record in Web of Science")</f>
        <v>View Full Record in Web of Science</v>
      </c>
    </row>
    <row r="553" spans="1:72" x14ac:dyDescent="0.15">
      <c r="A553" t="s">
        <v>72</v>
      </c>
      <c r="B553" t="s">
        <v>10418</v>
      </c>
      <c r="C553" t="s">
        <v>74</v>
      </c>
      <c r="D553" t="s">
        <v>74</v>
      </c>
      <c r="E553" t="s">
        <v>74</v>
      </c>
      <c r="F553" t="s">
        <v>10419</v>
      </c>
      <c r="G553" t="s">
        <v>74</v>
      </c>
      <c r="H553" t="s">
        <v>74</v>
      </c>
      <c r="I553" t="s">
        <v>10420</v>
      </c>
      <c r="J553" t="s">
        <v>5781</v>
      </c>
      <c r="K553" t="s">
        <v>74</v>
      </c>
      <c r="L553" t="s">
        <v>74</v>
      </c>
      <c r="M553" t="s">
        <v>78</v>
      </c>
      <c r="N553" t="s">
        <v>79</v>
      </c>
      <c r="O553" t="s">
        <v>74</v>
      </c>
      <c r="P553" t="s">
        <v>74</v>
      </c>
      <c r="Q553" t="s">
        <v>74</v>
      </c>
      <c r="R553" t="s">
        <v>74</v>
      </c>
      <c r="S553" t="s">
        <v>74</v>
      </c>
      <c r="T553" t="s">
        <v>74</v>
      </c>
      <c r="U553" t="s">
        <v>10421</v>
      </c>
      <c r="V553" t="s">
        <v>10422</v>
      </c>
      <c r="W553" t="s">
        <v>10423</v>
      </c>
      <c r="X553" t="s">
        <v>10424</v>
      </c>
      <c r="Y553" t="s">
        <v>10425</v>
      </c>
      <c r="Z553" t="s">
        <v>10426</v>
      </c>
      <c r="AA553" t="s">
        <v>10427</v>
      </c>
      <c r="AB553" t="s">
        <v>10428</v>
      </c>
      <c r="AC553" t="s">
        <v>10429</v>
      </c>
      <c r="AD553" t="s">
        <v>10430</v>
      </c>
      <c r="AE553" t="s">
        <v>10431</v>
      </c>
      <c r="AF553" t="s">
        <v>74</v>
      </c>
      <c r="AG553">
        <v>58</v>
      </c>
      <c r="AH553">
        <v>17</v>
      </c>
      <c r="AI553">
        <v>21</v>
      </c>
      <c r="AJ553">
        <v>3</v>
      </c>
      <c r="AK553">
        <v>13</v>
      </c>
      <c r="AL553" t="s">
        <v>816</v>
      </c>
      <c r="AM553" t="s">
        <v>2038</v>
      </c>
      <c r="AN553" t="s">
        <v>4484</v>
      </c>
      <c r="AO553" t="s">
        <v>5793</v>
      </c>
      <c r="AP553" t="s">
        <v>5794</v>
      </c>
      <c r="AQ553" t="s">
        <v>74</v>
      </c>
      <c r="AR553" t="s">
        <v>5795</v>
      </c>
      <c r="AS553" t="s">
        <v>5796</v>
      </c>
      <c r="AT553" t="s">
        <v>74</v>
      </c>
      <c r="AU553">
        <v>2013</v>
      </c>
      <c r="AV553">
        <v>54</v>
      </c>
      <c r="AW553">
        <v>63</v>
      </c>
      <c r="AX553">
        <v>1</v>
      </c>
      <c r="AY553" t="s">
        <v>74</v>
      </c>
      <c r="AZ553" t="s">
        <v>74</v>
      </c>
      <c r="BA553" t="s">
        <v>74</v>
      </c>
      <c r="BB553">
        <v>147</v>
      </c>
      <c r="BC553">
        <v>157</v>
      </c>
      <c r="BD553" t="s">
        <v>74</v>
      </c>
      <c r="BE553" t="s">
        <v>10432</v>
      </c>
      <c r="BF553" t="str">
        <f>HYPERLINK("http://dx.doi.org/10.3189/2013AoG63A417","http://dx.doi.org/10.3189/2013AoG63A417")</f>
        <v>http://dx.doi.org/10.3189/2013AoG63A417</v>
      </c>
      <c r="BG553" t="s">
        <v>74</v>
      </c>
      <c r="BH553" t="s">
        <v>74</v>
      </c>
      <c r="BI553">
        <v>11</v>
      </c>
      <c r="BJ553" t="s">
        <v>2261</v>
      </c>
      <c r="BK553" t="s">
        <v>102</v>
      </c>
      <c r="BL553" t="s">
        <v>2262</v>
      </c>
      <c r="BM553" t="s">
        <v>6571</v>
      </c>
      <c r="BN553" t="s">
        <v>74</v>
      </c>
      <c r="BO553" t="s">
        <v>1396</v>
      </c>
      <c r="BP553" t="s">
        <v>74</v>
      </c>
      <c r="BQ553" t="s">
        <v>74</v>
      </c>
      <c r="BR553" t="s">
        <v>105</v>
      </c>
      <c r="BS553" t="s">
        <v>10433</v>
      </c>
      <c r="BT553" t="str">
        <f>HYPERLINK("https%3A%2F%2Fwww.webofscience.com%2Fwos%2Fwoscc%2Ffull-record%2FWOS:000321685500018","View Full Record in Web of Science")</f>
        <v>View Full Record in Web of Science</v>
      </c>
    </row>
    <row r="554" spans="1:72" x14ac:dyDescent="0.15">
      <c r="A554" t="s">
        <v>72</v>
      </c>
      <c r="B554" t="s">
        <v>10434</v>
      </c>
      <c r="C554" t="s">
        <v>74</v>
      </c>
      <c r="D554" t="s">
        <v>74</v>
      </c>
      <c r="E554" t="s">
        <v>74</v>
      </c>
      <c r="F554" t="s">
        <v>10435</v>
      </c>
      <c r="G554" t="s">
        <v>74</v>
      </c>
      <c r="H554" t="s">
        <v>74</v>
      </c>
      <c r="I554" t="s">
        <v>10436</v>
      </c>
      <c r="J554" t="s">
        <v>5781</v>
      </c>
      <c r="K554" t="s">
        <v>74</v>
      </c>
      <c r="L554" t="s">
        <v>74</v>
      </c>
      <c r="M554" t="s">
        <v>78</v>
      </c>
      <c r="N554" t="s">
        <v>79</v>
      </c>
      <c r="O554" t="s">
        <v>74</v>
      </c>
      <c r="P554" t="s">
        <v>74</v>
      </c>
      <c r="Q554" t="s">
        <v>74</v>
      </c>
      <c r="R554" t="s">
        <v>74</v>
      </c>
      <c r="S554" t="s">
        <v>74</v>
      </c>
      <c r="T554" t="s">
        <v>74</v>
      </c>
      <c r="U554" t="s">
        <v>10437</v>
      </c>
      <c r="V554" t="s">
        <v>10438</v>
      </c>
      <c r="W554" t="s">
        <v>10439</v>
      </c>
      <c r="X554" t="s">
        <v>10440</v>
      </c>
      <c r="Y554" t="s">
        <v>10441</v>
      </c>
      <c r="Z554" t="s">
        <v>10442</v>
      </c>
      <c r="AA554" t="s">
        <v>10443</v>
      </c>
      <c r="AB554" t="s">
        <v>10444</v>
      </c>
      <c r="AC554" t="s">
        <v>10445</v>
      </c>
      <c r="AD554" t="s">
        <v>10446</v>
      </c>
      <c r="AE554" t="s">
        <v>10447</v>
      </c>
      <c r="AF554" t="s">
        <v>74</v>
      </c>
      <c r="AG554">
        <v>44</v>
      </c>
      <c r="AH554">
        <v>9</v>
      </c>
      <c r="AI554">
        <v>9</v>
      </c>
      <c r="AJ554">
        <v>0</v>
      </c>
      <c r="AK554">
        <v>13</v>
      </c>
      <c r="AL554" t="s">
        <v>816</v>
      </c>
      <c r="AM554" t="s">
        <v>2038</v>
      </c>
      <c r="AN554" t="s">
        <v>4484</v>
      </c>
      <c r="AO554" t="s">
        <v>5793</v>
      </c>
      <c r="AP554" t="s">
        <v>5794</v>
      </c>
      <c r="AQ554" t="s">
        <v>74</v>
      </c>
      <c r="AR554" t="s">
        <v>5795</v>
      </c>
      <c r="AS554" t="s">
        <v>5796</v>
      </c>
      <c r="AT554" t="s">
        <v>74</v>
      </c>
      <c r="AU554">
        <v>2013</v>
      </c>
      <c r="AV554">
        <v>54</v>
      </c>
      <c r="AW554">
        <v>64</v>
      </c>
      <c r="AX554" t="s">
        <v>74</v>
      </c>
      <c r="AY554" t="s">
        <v>74</v>
      </c>
      <c r="AZ554" t="s">
        <v>74</v>
      </c>
      <c r="BA554" t="s">
        <v>74</v>
      </c>
      <c r="BB554">
        <v>149</v>
      </c>
      <c r="BC554">
        <v>156</v>
      </c>
      <c r="BD554" t="s">
        <v>74</v>
      </c>
      <c r="BE554" t="s">
        <v>10448</v>
      </c>
      <c r="BF554" t="str">
        <f>HYPERLINK("http://dx.doi.org/10.3189/2013AoG64A203","http://dx.doi.org/10.3189/2013AoG64A203")</f>
        <v>http://dx.doi.org/10.3189/2013AoG64A203</v>
      </c>
      <c r="BG554" t="s">
        <v>74</v>
      </c>
      <c r="BH554" t="s">
        <v>74</v>
      </c>
      <c r="BI554">
        <v>8</v>
      </c>
      <c r="BJ554" t="s">
        <v>2261</v>
      </c>
      <c r="BK554" t="s">
        <v>102</v>
      </c>
      <c r="BL554" t="s">
        <v>2262</v>
      </c>
      <c r="BM554" t="s">
        <v>5798</v>
      </c>
      <c r="BN554" t="s">
        <v>74</v>
      </c>
      <c r="BO554" t="s">
        <v>10449</v>
      </c>
      <c r="BP554" t="s">
        <v>74</v>
      </c>
      <c r="BQ554" t="s">
        <v>74</v>
      </c>
      <c r="BR554" t="s">
        <v>105</v>
      </c>
      <c r="BS554" t="s">
        <v>10450</v>
      </c>
      <c r="BT554" t="str">
        <f>HYPERLINK("https%3A%2F%2Fwww.webofscience.com%2Fwos%2Fwoscc%2Ffull-record%2FWOS:000324720300019","View Full Record in Web of Science")</f>
        <v>View Full Record in Web of Science</v>
      </c>
    </row>
    <row r="555" spans="1:72" x14ac:dyDescent="0.15">
      <c r="A555" t="s">
        <v>72</v>
      </c>
      <c r="B555" t="s">
        <v>10451</v>
      </c>
      <c r="C555" t="s">
        <v>74</v>
      </c>
      <c r="D555" t="s">
        <v>74</v>
      </c>
      <c r="E555" t="s">
        <v>74</v>
      </c>
      <c r="F555" t="s">
        <v>10452</v>
      </c>
      <c r="G555" t="s">
        <v>74</v>
      </c>
      <c r="H555" t="s">
        <v>74</v>
      </c>
      <c r="I555" t="s">
        <v>10453</v>
      </c>
      <c r="J555" t="s">
        <v>5781</v>
      </c>
      <c r="K555" t="s">
        <v>74</v>
      </c>
      <c r="L555" t="s">
        <v>74</v>
      </c>
      <c r="M555" t="s">
        <v>78</v>
      </c>
      <c r="N555" t="s">
        <v>79</v>
      </c>
      <c r="O555" t="s">
        <v>74</v>
      </c>
      <c r="P555" t="s">
        <v>74</v>
      </c>
      <c r="Q555" t="s">
        <v>74</v>
      </c>
      <c r="R555" t="s">
        <v>74</v>
      </c>
      <c r="S555" t="s">
        <v>74</v>
      </c>
      <c r="T555" t="s">
        <v>74</v>
      </c>
      <c r="U555" t="s">
        <v>10454</v>
      </c>
      <c r="V555" t="s">
        <v>10455</v>
      </c>
      <c r="W555" t="s">
        <v>10456</v>
      </c>
      <c r="X555" t="s">
        <v>10457</v>
      </c>
      <c r="Y555" t="s">
        <v>10458</v>
      </c>
      <c r="Z555" t="s">
        <v>10459</v>
      </c>
      <c r="AA555" t="s">
        <v>10460</v>
      </c>
      <c r="AB555" t="s">
        <v>10461</v>
      </c>
      <c r="AC555" t="s">
        <v>10462</v>
      </c>
      <c r="AD555" t="s">
        <v>10463</v>
      </c>
      <c r="AE555" t="s">
        <v>10464</v>
      </c>
      <c r="AF555" t="s">
        <v>74</v>
      </c>
      <c r="AG555">
        <v>23</v>
      </c>
      <c r="AH555">
        <v>362</v>
      </c>
      <c r="AI555">
        <v>387</v>
      </c>
      <c r="AJ555">
        <v>5</v>
      </c>
      <c r="AK555">
        <v>99</v>
      </c>
      <c r="AL555" t="s">
        <v>816</v>
      </c>
      <c r="AM555" t="s">
        <v>2038</v>
      </c>
      <c r="AN555" t="s">
        <v>4484</v>
      </c>
      <c r="AO555" t="s">
        <v>5793</v>
      </c>
      <c r="AP555" t="s">
        <v>5794</v>
      </c>
      <c r="AQ555" t="s">
        <v>74</v>
      </c>
      <c r="AR555" t="s">
        <v>5795</v>
      </c>
      <c r="AS555" t="s">
        <v>5796</v>
      </c>
      <c r="AT555" t="s">
        <v>74</v>
      </c>
      <c r="AU555">
        <v>2013</v>
      </c>
      <c r="AV555">
        <v>54</v>
      </c>
      <c r="AW555">
        <v>63</v>
      </c>
      <c r="AX555">
        <v>1</v>
      </c>
      <c r="AY555" t="s">
        <v>74</v>
      </c>
      <c r="AZ555" t="s">
        <v>74</v>
      </c>
      <c r="BA555" t="s">
        <v>74</v>
      </c>
      <c r="BB555">
        <v>171</v>
      </c>
      <c r="BC555">
        <v>182</v>
      </c>
      <c r="BD555" t="s">
        <v>74</v>
      </c>
      <c r="BE555" t="s">
        <v>10465</v>
      </c>
      <c r="BF555" t="str">
        <f>HYPERLINK("http://dx.doi.org/10.3189/2013AoG63A296","http://dx.doi.org/10.3189/2013AoG63A296")</f>
        <v>http://dx.doi.org/10.3189/2013AoG63A296</v>
      </c>
      <c r="BG555" t="s">
        <v>74</v>
      </c>
      <c r="BH555" t="s">
        <v>74</v>
      </c>
      <c r="BI555">
        <v>12</v>
      </c>
      <c r="BJ555" t="s">
        <v>2261</v>
      </c>
      <c r="BK555" t="s">
        <v>102</v>
      </c>
      <c r="BL555" t="s">
        <v>2262</v>
      </c>
      <c r="BM555" t="s">
        <v>6571</v>
      </c>
      <c r="BN555" t="s">
        <v>74</v>
      </c>
      <c r="BO555" t="s">
        <v>10466</v>
      </c>
      <c r="BP555" t="s">
        <v>1779</v>
      </c>
      <c r="BQ555" t="s">
        <v>1780</v>
      </c>
      <c r="BR555" t="s">
        <v>105</v>
      </c>
      <c r="BS555" t="s">
        <v>10467</v>
      </c>
      <c r="BT555" t="str">
        <f>HYPERLINK("https%3A%2F%2Fwww.webofscience.com%2Fwos%2Fwoscc%2Ffull-record%2FWOS:000321685500020","View Full Record in Web of Science")</f>
        <v>View Full Record in Web of Science</v>
      </c>
    </row>
    <row r="556" spans="1:72" x14ac:dyDescent="0.15">
      <c r="A556" t="s">
        <v>72</v>
      </c>
      <c r="B556" t="s">
        <v>10468</v>
      </c>
      <c r="C556" t="s">
        <v>74</v>
      </c>
      <c r="D556" t="s">
        <v>74</v>
      </c>
      <c r="E556" t="s">
        <v>74</v>
      </c>
      <c r="F556" t="s">
        <v>10469</v>
      </c>
      <c r="G556" t="s">
        <v>74</v>
      </c>
      <c r="H556" t="s">
        <v>74</v>
      </c>
      <c r="I556" t="s">
        <v>10470</v>
      </c>
      <c r="J556" t="s">
        <v>5781</v>
      </c>
      <c r="K556" t="s">
        <v>74</v>
      </c>
      <c r="L556" t="s">
        <v>74</v>
      </c>
      <c r="M556" t="s">
        <v>78</v>
      </c>
      <c r="N556" t="s">
        <v>79</v>
      </c>
      <c r="O556" t="s">
        <v>74</v>
      </c>
      <c r="P556" t="s">
        <v>74</v>
      </c>
      <c r="Q556" t="s">
        <v>74</v>
      </c>
      <c r="R556" t="s">
        <v>74</v>
      </c>
      <c r="S556" t="s">
        <v>74</v>
      </c>
      <c r="T556" t="s">
        <v>74</v>
      </c>
      <c r="U556" t="s">
        <v>10471</v>
      </c>
      <c r="V556" t="s">
        <v>10472</v>
      </c>
      <c r="W556" t="s">
        <v>10473</v>
      </c>
      <c r="X556" t="s">
        <v>10474</v>
      </c>
      <c r="Y556" t="s">
        <v>10475</v>
      </c>
      <c r="Z556" t="s">
        <v>10476</v>
      </c>
      <c r="AA556" t="s">
        <v>1373</v>
      </c>
      <c r="AB556" t="s">
        <v>10477</v>
      </c>
      <c r="AC556" t="s">
        <v>10478</v>
      </c>
      <c r="AD556" t="s">
        <v>10479</v>
      </c>
      <c r="AE556" t="s">
        <v>10480</v>
      </c>
      <c r="AF556" t="s">
        <v>74</v>
      </c>
      <c r="AG556">
        <v>43</v>
      </c>
      <c r="AH556">
        <v>37</v>
      </c>
      <c r="AI556">
        <v>39</v>
      </c>
      <c r="AJ556">
        <v>0</v>
      </c>
      <c r="AK556">
        <v>22</v>
      </c>
      <c r="AL556" t="s">
        <v>816</v>
      </c>
      <c r="AM556" t="s">
        <v>2038</v>
      </c>
      <c r="AN556" t="s">
        <v>4484</v>
      </c>
      <c r="AO556" t="s">
        <v>5793</v>
      </c>
      <c r="AP556" t="s">
        <v>5794</v>
      </c>
      <c r="AQ556" t="s">
        <v>74</v>
      </c>
      <c r="AR556" t="s">
        <v>5795</v>
      </c>
      <c r="AS556" t="s">
        <v>5796</v>
      </c>
      <c r="AT556" t="s">
        <v>74</v>
      </c>
      <c r="AU556">
        <v>2013</v>
      </c>
      <c r="AV556">
        <v>54</v>
      </c>
      <c r="AW556">
        <v>63</v>
      </c>
      <c r="AX556">
        <v>2</v>
      </c>
      <c r="AY556" t="s">
        <v>74</v>
      </c>
      <c r="AZ556" t="s">
        <v>74</v>
      </c>
      <c r="BA556" t="s">
        <v>74</v>
      </c>
      <c r="BB556">
        <v>191</v>
      </c>
      <c r="BC556">
        <v>199</v>
      </c>
      <c r="BD556" t="s">
        <v>74</v>
      </c>
      <c r="BE556" t="s">
        <v>10481</v>
      </c>
      <c r="BF556" t="str">
        <f>HYPERLINK("http://dx.doi.org/10.3189/2013AoG63A377","http://dx.doi.org/10.3189/2013AoG63A377")</f>
        <v>http://dx.doi.org/10.3189/2013AoG63A377</v>
      </c>
      <c r="BG556" t="s">
        <v>74</v>
      </c>
      <c r="BH556" t="s">
        <v>74</v>
      </c>
      <c r="BI556">
        <v>9</v>
      </c>
      <c r="BJ556" t="s">
        <v>2261</v>
      </c>
      <c r="BK556" t="s">
        <v>102</v>
      </c>
      <c r="BL556" t="s">
        <v>2262</v>
      </c>
      <c r="BM556" t="s">
        <v>6422</v>
      </c>
      <c r="BN556" t="s">
        <v>74</v>
      </c>
      <c r="BO556" t="s">
        <v>128</v>
      </c>
      <c r="BP556" t="s">
        <v>74</v>
      </c>
      <c r="BQ556" t="s">
        <v>74</v>
      </c>
      <c r="BR556" t="s">
        <v>105</v>
      </c>
      <c r="BS556" t="s">
        <v>10482</v>
      </c>
      <c r="BT556" t="str">
        <f>HYPERLINK("https%3A%2F%2Fwww.webofscience.com%2Fwos%2Fwoscc%2Ffull-record%2FWOS:000322047200002","View Full Record in Web of Science")</f>
        <v>View Full Record in Web of Science</v>
      </c>
    </row>
    <row r="557" spans="1:72" x14ac:dyDescent="0.15">
      <c r="A557" t="s">
        <v>3341</v>
      </c>
      <c r="B557" t="s">
        <v>10483</v>
      </c>
      <c r="C557" t="s">
        <v>74</v>
      </c>
      <c r="D557" t="s">
        <v>10484</v>
      </c>
      <c r="E557" t="s">
        <v>74</v>
      </c>
      <c r="F557" t="s">
        <v>10485</v>
      </c>
      <c r="G557" t="s">
        <v>74</v>
      </c>
      <c r="H557" t="s">
        <v>74</v>
      </c>
      <c r="I557" t="s">
        <v>10486</v>
      </c>
      <c r="J557" t="s">
        <v>10487</v>
      </c>
      <c r="K557" t="s">
        <v>10488</v>
      </c>
      <c r="L557" t="s">
        <v>74</v>
      </c>
      <c r="M557" t="s">
        <v>78</v>
      </c>
      <c r="N557" t="s">
        <v>5114</v>
      </c>
      <c r="O557" t="s">
        <v>74</v>
      </c>
      <c r="P557" t="s">
        <v>74</v>
      </c>
      <c r="Q557" t="s">
        <v>74</v>
      </c>
      <c r="R557" t="s">
        <v>74</v>
      </c>
      <c r="S557" t="s">
        <v>74</v>
      </c>
      <c r="T557" t="s">
        <v>10489</v>
      </c>
      <c r="U557" t="s">
        <v>10490</v>
      </c>
      <c r="V557" t="s">
        <v>10491</v>
      </c>
      <c r="W557" t="s">
        <v>10492</v>
      </c>
      <c r="X557" t="s">
        <v>10493</v>
      </c>
      <c r="Y557" t="s">
        <v>10494</v>
      </c>
      <c r="Z557" t="s">
        <v>10495</v>
      </c>
      <c r="AA557" t="s">
        <v>10496</v>
      </c>
      <c r="AB557" t="s">
        <v>10497</v>
      </c>
      <c r="AC557" t="s">
        <v>74</v>
      </c>
      <c r="AD557" t="s">
        <v>74</v>
      </c>
      <c r="AE557" t="s">
        <v>74</v>
      </c>
      <c r="AF557" t="s">
        <v>74</v>
      </c>
      <c r="AG557">
        <v>220</v>
      </c>
      <c r="AH557">
        <v>96</v>
      </c>
      <c r="AI557">
        <v>107</v>
      </c>
      <c r="AJ557">
        <v>5</v>
      </c>
      <c r="AK557">
        <v>202</v>
      </c>
      <c r="AL557" t="s">
        <v>7932</v>
      </c>
      <c r="AM557" t="s">
        <v>7933</v>
      </c>
      <c r="AN557" t="s">
        <v>7934</v>
      </c>
      <c r="AO557" t="s">
        <v>10498</v>
      </c>
      <c r="AP557" t="s">
        <v>10499</v>
      </c>
      <c r="AQ557" t="s">
        <v>10500</v>
      </c>
      <c r="AR557" t="s">
        <v>10501</v>
      </c>
      <c r="AS557" t="s">
        <v>10502</v>
      </c>
      <c r="AT557" t="s">
        <v>74</v>
      </c>
      <c r="AU557">
        <v>2013</v>
      </c>
      <c r="AV557">
        <v>41</v>
      </c>
      <c r="AW557" t="s">
        <v>74</v>
      </c>
      <c r="AX557" t="s">
        <v>74</v>
      </c>
      <c r="AY557" t="s">
        <v>74</v>
      </c>
      <c r="AZ557" t="s">
        <v>74</v>
      </c>
      <c r="BA557" t="s">
        <v>74</v>
      </c>
      <c r="BB557">
        <v>87</v>
      </c>
      <c r="BC557">
        <v>115</v>
      </c>
      <c r="BD557" t="s">
        <v>74</v>
      </c>
      <c r="BE557" t="s">
        <v>10503</v>
      </c>
      <c r="BF557" t="str">
        <f>HYPERLINK("http://dx.doi.org/10.1146/annurev-earth-040610-133514","http://dx.doi.org/10.1146/annurev-earth-040610-133514")</f>
        <v>http://dx.doi.org/10.1146/annurev-earth-040610-133514</v>
      </c>
      <c r="BG557" t="s">
        <v>74</v>
      </c>
      <c r="BH557" t="s">
        <v>74</v>
      </c>
      <c r="BI557">
        <v>29</v>
      </c>
      <c r="BJ557" t="s">
        <v>10504</v>
      </c>
      <c r="BK557" t="s">
        <v>5132</v>
      </c>
      <c r="BL557" t="s">
        <v>10505</v>
      </c>
      <c r="BM557" t="s">
        <v>10506</v>
      </c>
      <c r="BN557" t="s">
        <v>74</v>
      </c>
      <c r="BO557" t="s">
        <v>74</v>
      </c>
      <c r="BP557" t="s">
        <v>74</v>
      </c>
      <c r="BQ557" t="s">
        <v>74</v>
      </c>
      <c r="BR557" t="s">
        <v>105</v>
      </c>
      <c r="BS557" t="s">
        <v>10507</v>
      </c>
      <c r="BT557" t="str">
        <f>HYPERLINK("https%3A%2F%2Fwww.webofscience.com%2Fwos%2Fwoscc%2Ffull-record%2FWOS:000321742600006","View Full Record in Web of Science")</f>
        <v>View Full Record in Web of Science</v>
      </c>
    </row>
    <row r="558" spans="1:72" x14ac:dyDescent="0.15">
      <c r="A558" t="s">
        <v>3341</v>
      </c>
      <c r="B558" t="s">
        <v>10508</v>
      </c>
      <c r="C558" t="s">
        <v>74</v>
      </c>
      <c r="D558" t="s">
        <v>10484</v>
      </c>
      <c r="E558" t="s">
        <v>74</v>
      </c>
      <c r="F558" t="s">
        <v>10509</v>
      </c>
      <c r="G558" t="s">
        <v>74</v>
      </c>
      <c r="H558" t="s">
        <v>74</v>
      </c>
      <c r="I558" t="s">
        <v>10510</v>
      </c>
      <c r="J558" t="s">
        <v>10487</v>
      </c>
      <c r="K558" t="s">
        <v>10488</v>
      </c>
      <c r="L558" t="s">
        <v>74</v>
      </c>
      <c r="M558" t="s">
        <v>78</v>
      </c>
      <c r="N558" t="s">
        <v>5114</v>
      </c>
      <c r="O558" t="s">
        <v>74</v>
      </c>
      <c r="P558" t="s">
        <v>74</v>
      </c>
      <c r="Q558" t="s">
        <v>74</v>
      </c>
      <c r="R558" t="s">
        <v>74</v>
      </c>
      <c r="S558" t="s">
        <v>74</v>
      </c>
      <c r="T558" t="s">
        <v>10511</v>
      </c>
      <c r="U558" t="s">
        <v>10512</v>
      </c>
      <c r="V558" t="s">
        <v>10513</v>
      </c>
      <c r="W558" t="s">
        <v>10514</v>
      </c>
      <c r="X558" t="s">
        <v>10515</v>
      </c>
      <c r="Y558" t="s">
        <v>10516</v>
      </c>
      <c r="Z558" t="s">
        <v>10517</v>
      </c>
      <c r="AA558" t="s">
        <v>10518</v>
      </c>
      <c r="AB558" t="s">
        <v>74</v>
      </c>
      <c r="AC558" t="s">
        <v>74</v>
      </c>
      <c r="AD558" t="s">
        <v>74</v>
      </c>
      <c r="AE558" t="s">
        <v>74</v>
      </c>
      <c r="AF558" t="s">
        <v>74</v>
      </c>
      <c r="AG558">
        <v>135</v>
      </c>
      <c r="AH558">
        <v>133</v>
      </c>
      <c r="AI558">
        <v>142</v>
      </c>
      <c r="AJ558">
        <v>0</v>
      </c>
      <c r="AK558">
        <v>79</v>
      </c>
      <c r="AL558" t="s">
        <v>7932</v>
      </c>
      <c r="AM558" t="s">
        <v>7933</v>
      </c>
      <c r="AN558" t="s">
        <v>7934</v>
      </c>
      <c r="AO558" t="s">
        <v>10498</v>
      </c>
      <c r="AP558" t="s">
        <v>10499</v>
      </c>
      <c r="AQ558" t="s">
        <v>10500</v>
      </c>
      <c r="AR558" t="s">
        <v>10501</v>
      </c>
      <c r="AS558" t="s">
        <v>10502</v>
      </c>
      <c r="AT558" t="s">
        <v>74</v>
      </c>
      <c r="AU558">
        <v>2013</v>
      </c>
      <c r="AV558">
        <v>41</v>
      </c>
      <c r="AW558" t="s">
        <v>74</v>
      </c>
      <c r="AX558" t="s">
        <v>74</v>
      </c>
      <c r="AY558" t="s">
        <v>74</v>
      </c>
      <c r="AZ558" t="s">
        <v>74</v>
      </c>
      <c r="BA558" t="s">
        <v>74</v>
      </c>
      <c r="BB558">
        <v>767</v>
      </c>
      <c r="BC558">
        <v>793</v>
      </c>
      <c r="BD558" t="s">
        <v>74</v>
      </c>
      <c r="BE558" t="s">
        <v>10519</v>
      </c>
      <c r="BF558" t="str">
        <f>HYPERLINK("http://dx.doi.org/10.1146/annurev-earth-050212-124155","http://dx.doi.org/10.1146/annurev-earth-050212-124155")</f>
        <v>http://dx.doi.org/10.1146/annurev-earth-050212-124155</v>
      </c>
      <c r="BG558" t="s">
        <v>74</v>
      </c>
      <c r="BH558" t="s">
        <v>74</v>
      </c>
      <c r="BI558">
        <v>27</v>
      </c>
      <c r="BJ558" t="s">
        <v>10504</v>
      </c>
      <c r="BK558" t="s">
        <v>5132</v>
      </c>
      <c r="BL558" t="s">
        <v>10505</v>
      </c>
      <c r="BM558" t="s">
        <v>10506</v>
      </c>
      <c r="BN558" t="s">
        <v>74</v>
      </c>
      <c r="BO558" t="s">
        <v>74</v>
      </c>
      <c r="BP558" t="s">
        <v>74</v>
      </c>
      <c r="BQ558" t="s">
        <v>74</v>
      </c>
      <c r="BR558" t="s">
        <v>105</v>
      </c>
      <c r="BS558" t="s">
        <v>10520</v>
      </c>
      <c r="BT558" t="str">
        <f>HYPERLINK("https%3A%2F%2Fwww.webofscience.com%2Fwos%2Fwoscc%2Ffull-record%2FWOS:000321742600029","View Full Record in Web of Science")</f>
        <v>View Full Record in Web of Science</v>
      </c>
    </row>
    <row r="559" spans="1:72" x14ac:dyDescent="0.15">
      <c r="A559" t="s">
        <v>3341</v>
      </c>
      <c r="B559" t="s">
        <v>10521</v>
      </c>
      <c r="C559" t="s">
        <v>74</v>
      </c>
      <c r="D559" t="s">
        <v>10522</v>
      </c>
      <c r="E559" t="s">
        <v>74</v>
      </c>
      <c r="F559" t="s">
        <v>10523</v>
      </c>
      <c r="G559" t="s">
        <v>74</v>
      </c>
      <c r="H559" t="s">
        <v>74</v>
      </c>
      <c r="I559" t="s">
        <v>10524</v>
      </c>
      <c r="J559" t="s">
        <v>10525</v>
      </c>
      <c r="K559" t="s">
        <v>10526</v>
      </c>
      <c r="L559" t="s">
        <v>74</v>
      </c>
      <c r="M559" t="s">
        <v>78</v>
      </c>
      <c r="N559" t="s">
        <v>5114</v>
      </c>
      <c r="O559" t="s">
        <v>74</v>
      </c>
      <c r="P559" t="s">
        <v>74</v>
      </c>
      <c r="Q559" t="s">
        <v>74</v>
      </c>
      <c r="R559" t="s">
        <v>74</v>
      </c>
      <c r="S559" t="s">
        <v>74</v>
      </c>
      <c r="T559" t="s">
        <v>10527</v>
      </c>
      <c r="U559" t="s">
        <v>10528</v>
      </c>
      <c r="V559" t="s">
        <v>10529</v>
      </c>
      <c r="W559" t="s">
        <v>10530</v>
      </c>
      <c r="X559" t="s">
        <v>10531</v>
      </c>
      <c r="Y559" t="s">
        <v>10532</v>
      </c>
      <c r="Z559" t="s">
        <v>10533</v>
      </c>
      <c r="AA559" t="s">
        <v>10534</v>
      </c>
      <c r="AB559" t="s">
        <v>10535</v>
      </c>
      <c r="AC559" t="s">
        <v>10536</v>
      </c>
      <c r="AD559" t="s">
        <v>10537</v>
      </c>
      <c r="AE559" t="s">
        <v>74</v>
      </c>
      <c r="AF559" t="s">
        <v>74</v>
      </c>
      <c r="AG559">
        <v>181</v>
      </c>
      <c r="AH559">
        <v>138</v>
      </c>
      <c r="AI559">
        <v>155</v>
      </c>
      <c r="AJ559">
        <v>10</v>
      </c>
      <c r="AK559">
        <v>211</v>
      </c>
      <c r="AL559" t="s">
        <v>7932</v>
      </c>
      <c r="AM559" t="s">
        <v>7933</v>
      </c>
      <c r="AN559" t="s">
        <v>7934</v>
      </c>
      <c r="AO559" t="s">
        <v>10538</v>
      </c>
      <c r="AP559" t="s">
        <v>74</v>
      </c>
      <c r="AQ559" t="s">
        <v>10539</v>
      </c>
      <c r="AR559" t="s">
        <v>10540</v>
      </c>
      <c r="AS559" t="s">
        <v>10541</v>
      </c>
      <c r="AT559" t="s">
        <v>74</v>
      </c>
      <c r="AU559">
        <v>2013</v>
      </c>
      <c r="AV559">
        <v>38</v>
      </c>
      <c r="AW559" t="s">
        <v>74</v>
      </c>
      <c r="AX559" t="s">
        <v>74</v>
      </c>
      <c r="AY559" t="s">
        <v>74</v>
      </c>
      <c r="AZ559" t="s">
        <v>74</v>
      </c>
      <c r="BA559" t="s">
        <v>74</v>
      </c>
      <c r="BB559">
        <v>1</v>
      </c>
      <c r="BC559">
        <v>29</v>
      </c>
      <c r="BD559" t="s">
        <v>74</v>
      </c>
      <c r="BE559" t="s">
        <v>10542</v>
      </c>
      <c r="BF559" t="str">
        <f>HYPERLINK("http://dx.doi.org/10.1146/annurev-environ-102511-084654","http://dx.doi.org/10.1146/annurev-environ-102511-084654")</f>
        <v>http://dx.doi.org/10.1146/annurev-environ-102511-084654</v>
      </c>
      <c r="BG559" t="s">
        <v>74</v>
      </c>
      <c r="BH559" t="s">
        <v>74</v>
      </c>
      <c r="BI559">
        <v>29</v>
      </c>
      <c r="BJ559" t="s">
        <v>10543</v>
      </c>
      <c r="BK559" t="s">
        <v>10544</v>
      </c>
      <c r="BL559" t="s">
        <v>455</v>
      </c>
      <c r="BM559" t="s">
        <v>10545</v>
      </c>
      <c r="BN559" t="s">
        <v>74</v>
      </c>
      <c r="BO559" t="s">
        <v>74</v>
      </c>
      <c r="BP559" t="s">
        <v>74</v>
      </c>
      <c r="BQ559" t="s">
        <v>74</v>
      </c>
      <c r="BR559" t="s">
        <v>105</v>
      </c>
      <c r="BS559" t="s">
        <v>10546</v>
      </c>
      <c r="BT559" t="str">
        <f>HYPERLINK("https%3A%2F%2Fwww.webofscience.com%2Fwos%2Fwoscc%2Ffull-record%2FWOS:000326691100003","View Full Record in Web of Science")</f>
        <v>View Full Record in Web of Science</v>
      </c>
    </row>
    <row r="560" spans="1:72" x14ac:dyDescent="0.15">
      <c r="A560" t="s">
        <v>3341</v>
      </c>
      <c r="B560" t="s">
        <v>10547</v>
      </c>
      <c r="C560" t="s">
        <v>74</v>
      </c>
      <c r="D560" t="s">
        <v>7918</v>
      </c>
      <c r="E560" t="s">
        <v>74</v>
      </c>
      <c r="F560" t="s">
        <v>10548</v>
      </c>
      <c r="G560" t="s">
        <v>74</v>
      </c>
      <c r="H560" t="s">
        <v>74</v>
      </c>
      <c r="I560" t="s">
        <v>10549</v>
      </c>
      <c r="J560" t="s">
        <v>7921</v>
      </c>
      <c r="K560" t="s">
        <v>7922</v>
      </c>
      <c r="L560" t="s">
        <v>74</v>
      </c>
      <c r="M560" t="s">
        <v>78</v>
      </c>
      <c r="N560" t="s">
        <v>5114</v>
      </c>
      <c r="O560" t="s">
        <v>74</v>
      </c>
      <c r="P560" t="s">
        <v>74</v>
      </c>
      <c r="Q560" t="s">
        <v>74</v>
      </c>
      <c r="R560" t="s">
        <v>74</v>
      </c>
      <c r="S560" t="s">
        <v>74</v>
      </c>
      <c r="T560" t="s">
        <v>10550</v>
      </c>
      <c r="U560" t="s">
        <v>10551</v>
      </c>
      <c r="V560" t="s">
        <v>10552</v>
      </c>
      <c r="W560" t="s">
        <v>10553</v>
      </c>
      <c r="X560" t="s">
        <v>10554</v>
      </c>
      <c r="Y560" t="s">
        <v>10555</v>
      </c>
      <c r="Z560" t="s">
        <v>10556</v>
      </c>
      <c r="AA560" t="s">
        <v>74</v>
      </c>
      <c r="AB560" t="s">
        <v>10557</v>
      </c>
      <c r="AC560" t="s">
        <v>10558</v>
      </c>
      <c r="AD560" t="s">
        <v>10559</v>
      </c>
      <c r="AE560" t="s">
        <v>74</v>
      </c>
      <c r="AF560" t="s">
        <v>74</v>
      </c>
      <c r="AG560">
        <v>135</v>
      </c>
      <c r="AH560">
        <v>384</v>
      </c>
      <c r="AI560">
        <v>426</v>
      </c>
      <c r="AJ560">
        <v>20</v>
      </c>
      <c r="AK560">
        <v>387</v>
      </c>
      <c r="AL560" t="s">
        <v>7932</v>
      </c>
      <c r="AM560" t="s">
        <v>7933</v>
      </c>
      <c r="AN560" t="s">
        <v>7934</v>
      </c>
      <c r="AO560" t="s">
        <v>7935</v>
      </c>
      <c r="AP560" t="s">
        <v>74</v>
      </c>
      <c r="AQ560" t="s">
        <v>7936</v>
      </c>
      <c r="AR560" t="s">
        <v>7937</v>
      </c>
      <c r="AS560" t="s">
        <v>7938</v>
      </c>
      <c r="AT560" t="s">
        <v>74</v>
      </c>
      <c r="AU560">
        <v>2013</v>
      </c>
      <c r="AV560">
        <v>5</v>
      </c>
      <c r="AW560" t="s">
        <v>74</v>
      </c>
      <c r="AX560" t="s">
        <v>74</v>
      </c>
      <c r="AY560" t="s">
        <v>74</v>
      </c>
      <c r="AZ560" t="s">
        <v>74</v>
      </c>
      <c r="BA560" t="s">
        <v>74</v>
      </c>
      <c r="BB560">
        <v>191</v>
      </c>
      <c r="BC560">
        <v>215</v>
      </c>
      <c r="BD560" t="s">
        <v>74</v>
      </c>
      <c r="BE560" t="s">
        <v>10560</v>
      </c>
      <c r="BF560" t="str">
        <f>HYPERLINK("http://dx.doi.org/10.1146/annurev-marine-121211-172322","http://dx.doi.org/10.1146/annurev-marine-121211-172322")</f>
        <v>http://dx.doi.org/10.1146/annurev-marine-121211-172322</v>
      </c>
      <c r="BG560" t="s">
        <v>74</v>
      </c>
      <c r="BH560" t="s">
        <v>74</v>
      </c>
      <c r="BI560">
        <v>25</v>
      </c>
      <c r="BJ560" t="s">
        <v>7940</v>
      </c>
      <c r="BK560" t="s">
        <v>5132</v>
      </c>
      <c r="BL560" t="s">
        <v>7940</v>
      </c>
      <c r="BM560" t="s">
        <v>7941</v>
      </c>
      <c r="BN560">
        <v>22809181</v>
      </c>
      <c r="BO560" t="s">
        <v>74</v>
      </c>
      <c r="BP560" t="s">
        <v>1779</v>
      </c>
      <c r="BQ560" t="s">
        <v>1780</v>
      </c>
      <c r="BR560" t="s">
        <v>105</v>
      </c>
      <c r="BS560" t="s">
        <v>10561</v>
      </c>
      <c r="BT560" t="str">
        <f>HYPERLINK("https%3A%2F%2Fwww.webofscience.com%2Fwos%2Fwoscc%2Ffull-record%2FWOS:000316390400010","View Full Record in Web of Science")</f>
        <v>View Full Record in Web of Science</v>
      </c>
    </row>
    <row r="561" spans="1:72" x14ac:dyDescent="0.15">
      <c r="A561" t="s">
        <v>3341</v>
      </c>
      <c r="B561" t="s">
        <v>10562</v>
      </c>
      <c r="C561" t="s">
        <v>74</v>
      </c>
      <c r="D561" t="s">
        <v>3366</v>
      </c>
      <c r="E561" t="s">
        <v>74</v>
      </c>
      <c r="F561" t="s">
        <v>10563</v>
      </c>
      <c r="G561" t="s">
        <v>74</v>
      </c>
      <c r="H561" t="s">
        <v>74</v>
      </c>
      <c r="I561" t="s">
        <v>10564</v>
      </c>
      <c r="J561" t="s">
        <v>3369</v>
      </c>
      <c r="K561" t="s">
        <v>3347</v>
      </c>
      <c r="L561" t="s">
        <v>74</v>
      </c>
      <c r="M561" t="s">
        <v>78</v>
      </c>
      <c r="N561" t="s">
        <v>3258</v>
      </c>
      <c r="O561" t="s">
        <v>74</v>
      </c>
      <c r="P561" t="s">
        <v>74</v>
      </c>
      <c r="Q561" t="s">
        <v>74</v>
      </c>
      <c r="R561" t="s">
        <v>74</v>
      </c>
      <c r="S561" t="s">
        <v>74</v>
      </c>
      <c r="T561" t="s">
        <v>74</v>
      </c>
      <c r="U561" t="s">
        <v>10565</v>
      </c>
      <c r="V561" t="s">
        <v>10566</v>
      </c>
      <c r="W561" t="s">
        <v>10567</v>
      </c>
      <c r="X561" t="s">
        <v>10568</v>
      </c>
      <c r="Y561" t="s">
        <v>10569</v>
      </c>
      <c r="Z561" t="s">
        <v>10570</v>
      </c>
      <c r="AA561" t="s">
        <v>10571</v>
      </c>
      <c r="AB561" t="s">
        <v>10572</v>
      </c>
      <c r="AC561" t="s">
        <v>74</v>
      </c>
      <c r="AD561" t="s">
        <v>74</v>
      </c>
      <c r="AE561" t="s">
        <v>74</v>
      </c>
      <c r="AF561" t="s">
        <v>74</v>
      </c>
      <c r="AG561">
        <v>64</v>
      </c>
      <c r="AH561">
        <v>3</v>
      </c>
      <c r="AI561">
        <v>3</v>
      </c>
      <c r="AJ561">
        <v>0</v>
      </c>
      <c r="AK561">
        <v>3</v>
      </c>
      <c r="AL561" t="s">
        <v>3352</v>
      </c>
      <c r="AM561" t="s">
        <v>3353</v>
      </c>
      <c r="AN561" t="s">
        <v>3354</v>
      </c>
      <c r="AO561" t="s">
        <v>3355</v>
      </c>
      <c r="AP561" t="s">
        <v>74</v>
      </c>
      <c r="AQ561" t="s">
        <v>3376</v>
      </c>
      <c r="AR561" t="s">
        <v>3357</v>
      </c>
      <c r="AS561" t="s">
        <v>3358</v>
      </c>
      <c r="AT561" t="s">
        <v>74</v>
      </c>
      <c r="AU561">
        <v>2013</v>
      </c>
      <c r="AV561">
        <v>381</v>
      </c>
      <c r="AW561" t="s">
        <v>74</v>
      </c>
      <c r="AX561" t="s">
        <v>74</v>
      </c>
      <c r="AY561" t="s">
        <v>74</v>
      </c>
      <c r="AZ561" t="s">
        <v>74</v>
      </c>
      <c r="BA561" t="s">
        <v>74</v>
      </c>
      <c r="BB561">
        <v>45</v>
      </c>
      <c r="BC561">
        <v>65</v>
      </c>
      <c r="BD561" t="s">
        <v>74</v>
      </c>
      <c r="BE561" t="s">
        <v>10573</v>
      </c>
      <c r="BF561" t="str">
        <f>HYPERLINK("http://dx.doi.org/10.1144/SP381.4","http://dx.doi.org/10.1144/SP381.4")</f>
        <v>http://dx.doi.org/10.1144/SP381.4</v>
      </c>
      <c r="BG561" t="s">
        <v>74</v>
      </c>
      <c r="BH561" t="s">
        <v>74</v>
      </c>
      <c r="BI561">
        <v>21</v>
      </c>
      <c r="BJ561" t="s">
        <v>3378</v>
      </c>
      <c r="BK561" t="s">
        <v>3379</v>
      </c>
      <c r="BL561" t="s">
        <v>1605</v>
      </c>
      <c r="BM561" t="s">
        <v>3380</v>
      </c>
      <c r="BN561" t="s">
        <v>74</v>
      </c>
      <c r="BO561" t="s">
        <v>74</v>
      </c>
      <c r="BP561" t="s">
        <v>74</v>
      </c>
      <c r="BQ561" t="s">
        <v>74</v>
      </c>
      <c r="BR561" t="s">
        <v>105</v>
      </c>
      <c r="BS561" t="s">
        <v>10574</v>
      </c>
      <c r="BT561" t="str">
        <f>HYPERLINK("https%3A%2F%2Fwww.webofscience.com%2Fwos%2Fwoscc%2Ffull-record%2FWOS:000343054800005","View Full Record in Web of Science")</f>
        <v>View Full Record in Web of Science</v>
      </c>
    </row>
    <row r="562" spans="1:72" x14ac:dyDescent="0.15">
      <c r="A562" t="s">
        <v>3341</v>
      </c>
      <c r="B562" t="s">
        <v>10575</v>
      </c>
      <c r="C562" t="s">
        <v>74</v>
      </c>
      <c r="D562" t="s">
        <v>3366</v>
      </c>
      <c r="E562" t="s">
        <v>74</v>
      </c>
      <c r="F562" t="s">
        <v>10576</v>
      </c>
      <c r="G562" t="s">
        <v>74</v>
      </c>
      <c r="H562" t="s">
        <v>74</v>
      </c>
      <c r="I562" t="s">
        <v>10577</v>
      </c>
      <c r="J562" t="s">
        <v>3369</v>
      </c>
      <c r="K562" t="s">
        <v>3347</v>
      </c>
      <c r="L562" t="s">
        <v>74</v>
      </c>
      <c r="M562" t="s">
        <v>78</v>
      </c>
      <c r="N562" t="s">
        <v>3258</v>
      </c>
      <c r="O562" t="s">
        <v>74</v>
      </c>
      <c r="P562" t="s">
        <v>74</v>
      </c>
      <c r="Q562" t="s">
        <v>74</v>
      </c>
      <c r="R562" t="s">
        <v>74</v>
      </c>
      <c r="S562" t="s">
        <v>74</v>
      </c>
      <c r="T562" t="s">
        <v>74</v>
      </c>
      <c r="U562" t="s">
        <v>10578</v>
      </c>
      <c r="V562" t="s">
        <v>10579</v>
      </c>
      <c r="W562" t="s">
        <v>10580</v>
      </c>
      <c r="X562" t="s">
        <v>10581</v>
      </c>
      <c r="Y562" t="s">
        <v>10582</v>
      </c>
      <c r="Z562" t="s">
        <v>10583</v>
      </c>
      <c r="AA562" t="s">
        <v>10584</v>
      </c>
      <c r="AB562" t="s">
        <v>10585</v>
      </c>
      <c r="AC562" t="s">
        <v>74</v>
      </c>
      <c r="AD562" t="s">
        <v>74</v>
      </c>
      <c r="AE562" t="s">
        <v>74</v>
      </c>
      <c r="AF562" t="s">
        <v>74</v>
      </c>
      <c r="AG562">
        <v>60</v>
      </c>
      <c r="AH562">
        <v>26</v>
      </c>
      <c r="AI562">
        <v>27</v>
      </c>
      <c r="AJ562">
        <v>0</v>
      </c>
      <c r="AK562">
        <v>5</v>
      </c>
      <c r="AL562" t="s">
        <v>3352</v>
      </c>
      <c r="AM562" t="s">
        <v>3353</v>
      </c>
      <c r="AN562" t="s">
        <v>3354</v>
      </c>
      <c r="AO562" t="s">
        <v>3355</v>
      </c>
      <c r="AP562" t="s">
        <v>74</v>
      </c>
      <c r="AQ562" t="s">
        <v>3376</v>
      </c>
      <c r="AR562" t="s">
        <v>3357</v>
      </c>
      <c r="AS562" t="s">
        <v>3358</v>
      </c>
      <c r="AT562" t="s">
        <v>74</v>
      </c>
      <c r="AU562">
        <v>2013</v>
      </c>
      <c r="AV562">
        <v>381</v>
      </c>
      <c r="AW562" t="s">
        <v>74</v>
      </c>
      <c r="AX562" t="s">
        <v>74</v>
      </c>
      <c r="AY562" t="s">
        <v>74</v>
      </c>
      <c r="AZ562" t="s">
        <v>74</v>
      </c>
      <c r="BA562" t="s">
        <v>74</v>
      </c>
      <c r="BB562">
        <v>397</v>
      </c>
      <c r="BC562">
        <v>410</v>
      </c>
      <c r="BD562" t="s">
        <v>74</v>
      </c>
      <c r="BE562" t="s">
        <v>10586</v>
      </c>
      <c r="BF562" t="str">
        <f>HYPERLINK("http://dx.doi.org/10.1144/SP381.9","http://dx.doi.org/10.1144/SP381.9")</f>
        <v>http://dx.doi.org/10.1144/SP381.9</v>
      </c>
      <c r="BG562" t="s">
        <v>74</v>
      </c>
      <c r="BH562" t="s">
        <v>74</v>
      </c>
      <c r="BI562">
        <v>14</v>
      </c>
      <c r="BJ562" t="s">
        <v>3378</v>
      </c>
      <c r="BK562" t="s">
        <v>3379</v>
      </c>
      <c r="BL562" t="s">
        <v>1605</v>
      </c>
      <c r="BM562" t="s">
        <v>3380</v>
      </c>
      <c r="BN562" t="s">
        <v>74</v>
      </c>
      <c r="BO562" t="s">
        <v>74</v>
      </c>
      <c r="BP562" t="s">
        <v>74</v>
      </c>
      <c r="BQ562" t="s">
        <v>74</v>
      </c>
      <c r="BR562" t="s">
        <v>105</v>
      </c>
      <c r="BS562" t="s">
        <v>10587</v>
      </c>
      <c r="BT562" t="str">
        <f>HYPERLINK("https%3A%2F%2Fwww.webofscience.com%2Fwos%2Fwoscc%2Ffull-record%2FWOS:000343054800023","View Full Record in Web of Science")</f>
        <v>View Full Record in Web of Science</v>
      </c>
    </row>
    <row r="563" spans="1:72" x14ac:dyDescent="0.15">
      <c r="A563" t="s">
        <v>3341</v>
      </c>
      <c r="B563" t="s">
        <v>3702</v>
      </c>
      <c r="C563" t="s">
        <v>74</v>
      </c>
      <c r="D563" t="s">
        <v>3702</v>
      </c>
      <c r="E563" t="s">
        <v>74</v>
      </c>
      <c r="F563" t="s">
        <v>10588</v>
      </c>
      <c r="G563" t="s">
        <v>74</v>
      </c>
      <c r="H563" t="s">
        <v>74</v>
      </c>
      <c r="I563" t="s">
        <v>10589</v>
      </c>
      <c r="J563" t="s">
        <v>3705</v>
      </c>
      <c r="K563" t="s">
        <v>3347</v>
      </c>
      <c r="L563" t="s">
        <v>74</v>
      </c>
      <c r="M563" t="s">
        <v>78</v>
      </c>
      <c r="N563" t="s">
        <v>3258</v>
      </c>
      <c r="O563" t="s">
        <v>74</v>
      </c>
      <c r="P563" t="s">
        <v>74</v>
      </c>
      <c r="Q563" t="s">
        <v>74</v>
      </c>
      <c r="R563" t="s">
        <v>74</v>
      </c>
      <c r="S563" t="s">
        <v>74</v>
      </c>
      <c r="T563" t="s">
        <v>74</v>
      </c>
      <c r="U563" t="s">
        <v>10590</v>
      </c>
      <c r="V563" t="s">
        <v>10591</v>
      </c>
      <c r="W563" t="s">
        <v>10592</v>
      </c>
      <c r="X563" t="s">
        <v>10593</v>
      </c>
      <c r="Y563" t="s">
        <v>10594</v>
      </c>
      <c r="Z563" t="s">
        <v>10595</v>
      </c>
      <c r="AA563" t="s">
        <v>10596</v>
      </c>
      <c r="AB563" t="s">
        <v>10597</v>
      </c>
      <c r="AC563" t="s">
        <v>74</v>
      </c>
      <c r="AD563" t="s">
        <v>74</v>
      </c>
      <c r="AE563" t="s">
        <v>74</v>
      </c>
      <c r="AF563" t="s">
        <v>74</v>
      </c>
      <c r="AG563">
        <v>301</v>
      </c>
      <c r="AH563">
        <v>108</v>
      </c>
      <c r="AI563">
        <v>120</v>
      </c>
      <c r="AJ563">
        <v>0</v>
      </c>
      <c r="AK563">
        <v>12</v>
      </c>
      <c r="AL563" t="s">
        <v>3352</v>
      </c>
      <c r="AM563" t="s">
        <v>3353</v>
      </c>
      <c r="AN563" t="s">
        <v>3354</v>
      </c>
      <c r="AO563" t="s">
        <v>3355</v>
      </c>
      <c r="AP563" t="s">
        <v>74</v>
      </c>
      <c r="AQ563" t="s">
        <v>3715</v>
      </c>
      <c r="AR563" t="s">
        <v>3357</v>
      </c>
      <c r="AS563" t="s">
        <v>3358</v>
      </c>
      <c r="AT563" t="s">
        <v>74</v>
      </c>
      <c r="AU563">
        <v>2013</v>
      </c>
      <c r="AV563">
        <v>383</v>
      </c>
      <c r="AW563" t="s">
        <v>74</v>
      </c>
      <c r="AX563" t="s">
        <v>74</v>
      </c>
      <c r="AY563" t="s">
        <v>74</v>
      </c>
      <c r="AZ563" t="s">
        <v>74</v>
      </c>
      <c r="BA563" t="s">
        <v>74</v>
      </c>
      <c r="BB563">
        <v>1</v>
      </c>
      <c r="BC563">
        <v>34</v>
      </c>
      <c r="BD563" t="s">
        <v>74</v>
      </c>
      <c r="BE563" t="s">
        <v>10598</v>
      </c>
      <c r="BF563" t="str">
        <f>HYPERLINK("http://dx.doi.org/10.1144/SP383.9","http://dx.doi.org/10.1144/SP383.9")</f>
        <v>http://dx.doi.org/10.1144/SP383.9</v>
      </c>
      <c r="BG563" t="s">
        <v>74</v>
      </c>
      <c r="BH563" t="s">
        <v>74</v>
      </c>
      <c r="BI563">
        <v>34</v>
      </c>
      <c r="BJ563" t="s">
        <v>3717</v>
      </c>
      <c r="BK563" t="s">
        <v>3379</v>
      </c>
      <c r="BL563" t="s">
        <v>3717</v>
      </c>
      <c r="BM563" t="s">
        <v>3718</v>
      </c>
      <c r="BN563" t="s">
        <v>74</v>
      </c>
      <c r="BO563" t="s">
        <v>155</v>
      </c>
      <c r="BP563" t="s">
        <v>74</v>
      </c>
      <c r="BQ563" t="s">
        <v>74</v>
      </c>
      <c r="BR563" t="s">
        <v>105</v>
      </c>
      <c r="BS563" t="s">
        <v>10599</v>
      </c>
      <c r="BT563" t="str">
        <f>HYPERLINK("https%3A%2F%2Fwww.webofscience.com%2Fwos%2Fwoscc%2Ffull-record%2FWOS:000342894000001","View Full Record in Web of Science")</f>
        <v>View Full Record in Web of Science</v>
      </c>
    </row>
    <row r="564" spans="1:72" x14ac:dyDescent="0.15">
      <c r="A564" t="s">
        <v>3341</v>
      </c>
      <c r="B564" t="s">
        <v>10600</v>
      </c>
      <c r="C564" t="s">
        <v>74</v>
      </c>
      <c r="D564" t="s">
        <v>3702</v>
      </c>
      <c r="E564" t="s">
        <v>74</v>
      </c>
      <c r="F564" t="s">
        <v>10601</v>
      </c>
      <c r="G564" t="s">
        <v>74</v>
      </c>
      <c r="H564" t="s">
        <v>74</v>
      </c>
      <c r="I564" t="s">
        <v>10602</v>
      </c>
      <c r="J564" t="s">
        <v>3705</v>
      </c>
      <c r="K564" t="s">
        <v>3347</v>
      </c>
      <c r="L564" t="s">
        <v>74</v>
      </c>
      <c r="M564" t="s">
        <v>78</v>
      </c>
      <c r="N564" t="s">
        <v>3258</v>
      </c>
      <c r="O564" t="s">
        <v>74</v>
      </c>
      <c r="P564" t="s">
        <v>74</v>
      </c>
      <c r="Q564" t="s">
        <v>74</v>
      </c>
      <c r="R564" t="s">
        <v>74</v>
      </c>
      <c r="S564" t="s">
        <v>74</v>
      </c>
      <c r="T564" t="s">
        <v>74</v>
      </c>
      <c r="U564" t="s">
        <v>10603</v>
      </c>
      <c r="V564" t="s">
        <v>10604</v>
      </c>
      <c r="W564" t="s">
        <v>10605</v>
      </c>
      <c r="X564" t="s">
        <v>10606</v>
      </c>
      <c r="Y564" t="s">
        <v>10607</v>
      </c>
      <c r="Z564" t="s">
        <v>10608</v>
      </c>
      <c r="AA564" t="s">
        <v>74</v>
      </c>
      <c r="AB564" t="s">
        <v>74</v>
      </c>
      <c r="AC564" t="s">
        <v>74</v>
      </c>
      <c r="AD564" t="s">
        <v>74</v>
      </c>
      <c r="AE564" t="s">
        <v>74</v>
      </c>
      <c r="AF564" t="s">
        <v>74</v>
      </c>
      <c r="AG564">
        <v>163</v>
      </c>
      <c r="AH564">
        <v>41</v>
      </c>
      <c r="AI564">
        <v>53</v>
      </c>
      <c r="AJ564">
        <v>0</v>
      </c>
      <c r="AK564">
        <v>5</v>
      </c>
      <c r="AL564" t="s">
        <v>3352</v>
      </c>
      <c r="AM564" t="s">
        <v>3353</v>
      </c>
      <c r="AN564" t="s">
        <v>3354</v>
      </c>
      <c r="AO564" t="s">
        <v>3355</v>
      </c>
      <c r="AP564" t="s">
        <v>74</v>
      </c>
      <c r="AQ564" t="s">
        <v>3715</v>
      </c>
      <c r="AR564" t="s">
        <v>3357</v>
      </c>
      <c r="AS564" t="s">
        <v>3358</v>
      </c>
      <c r="AT564" t="s">
        <v>74</v>
      </c>
      <c r="AU564">
        <v>2013</v>
      </c>
      <c r="AV564">
        <v>383</v>
      </c>
      <c r="AW564" t="s">
        <v>74</v>
      </c>
      <c r="AX564" t="s">
        <v>74</v>
      </c>
      <c r="AY564" t="s">
        <v>74</v>
      </c>
      <c r="AZ564" t="s">
        <v>74</v>
      </c>
      <c r="BA564" t="s">
        <v>74</v>
      </c>
      <c r="BB564">
        <v>95</v>
      </c>
      <c r="BC564">
        <v>112</v>
      </c>
      <c r="BD564" t="s">
        <v>74</v>
      </c>
      <c r="BE564" t="s">
        <v>10609</v>
      </c>
      <c r="BF564" t="str">
        <f>HYPERLINK("http://dx.doi.org/10.1144/SP383.6","http://dx.doi.org/10.1144/SP383.6")</f>
        <v>http://dx.doi.org/10.1144/SP383.6</v>
      </c>
      <c r="BG564" t="s">
        <v>74</v>
      </c>
      <c r="BH564" t="s">
        <v>74</v>
      </c>
      <c r="BI564">
        <v>18</v>
      </c>
      <c r="BJ564" t="s">
        <v>3717</v>
      </c>
      <c r="BK564" t="s">
        <v>3379</v>
      </c>
      <c r="BL564" t="s">
        <v>3717</v>
      </c>
      <c r="BM564" t="s">
        <v>3718</v>
      </c>
      <c r="BN564" t="s">
        <v>74</v>
      </c>
      <c r="BO564" t="s">
        <v>74</v>
      </c>
      <c r="BP564" t="s">
        <v>74</v>
      </c>
      <c r="BQ564" t="s">
        <v>74</v>
      </c>
      <c r="BR564" t="s">
        <v>105</v>
      </c>
      <c r="BS564" t="s">
        <v>10610</v>
      </c>
      <c r="BT564" t="str">
        <f>HYPERLINK("https%3A%2F%2Fwww.webofscience.com%2Fwos%2Fwoscc%2Ffull-record%2FWOS:000342894000005","View Full Record in Web of Science")</f>
        <v>View Full Record in Web of Science</v>
      </c>
    </row>
    <row r="565" spans="1:72" x14ac:dyDescent="0.15">
      <c r="A565" t="s">
        <v>72</v>
      </c>
      <c r="B565" t="s">
        <v>10611</v>
      </c>
      <c r="C565" t="s">
        <v>74</v>
      </c>
      <c r="D565" t="s">
        <v>74</v>
      </c>
      <c r="E565" t="s">
        <v>74</v>
      </c>
      <c r="F565" t="s">
        <v>10612</v>
      </c>
      <c r="G565" t="s">
        <v>74</v>
      </c>
      <c r="H565" t="s">
        <v>74</v>
      </c>
      <c r="I565" t="s">
        <v>10613</v>
      </c>
      <c r="J565" t="s">
        <v>7946</v>
      </c>
      <c r="K565" t="s">
        <v>74</v>
      </c>
      <c r="L565" t="s">
        <v>74</v>
      </c>
      <c r="M565" t="s">
        <v>78</v>
      </c>
      <c r="N565" t="s">
        <v>79</v>
      </c>
      <c r="O565" t="s">
        <v>74</v>
      </c>
      <c r="P565" t="s">
        <v>74</v>
      </c>
      <c r="Q565" t="s">
        <v>74</v>
      </c>
      <c r="R565" t="s">
        <v>74</v>
      </c>
      <c r="S565" t="s">
        <v>74</v>
      </c>
      <c r="T565" t="s">
        <v>10614</v>
      </c>
      <c r="U565" t="s">
        <v>10615</v>
      </c>
      <c r="V565" t="s">
        <v>10616</v>
      </c>
      <c r="W565" t="s">
        <v>10617</v>
      </c>
      <c r="X565" t="s">
        <v>2972</v>
      </c>
      <c r="Y565" t="s">
        <v>2973</v>
      </c>
      <c r="Z565" t="s">
        <v>2974</v>
      </c>
      <c r="AA565" t="s">
        <v>10618</v>
      </c>
      <c r="AB565" t="s">
        <v>10619</v>
      </c>
      <c r="AC565" t="s">
        <v>10620</v>
      </c>
      <c r="AD565" t="s">
        <v>10620</v>
      </c>
      <c r="AE565" t="s">
        <v>10621</v>
      </c>
      <c r="AF565" t="s">
        <v>74</v>
      </c>
      <c r="AG565">
        <v>44</v>
      </c>
      <c r="AH565">
        <v>44</v>
      </c>
      <c r="AI565">
        <v>45</v>
      </c>
      <c r="AJ565">
        <v>3</v>
      </c>
      <c r="AK565">
        <v>38</v>
      </c>
      <c r="AL565" t="s">
        <v>4363</v>
      </c>
      <c r="AM565" t="s">
        <v>4364</v>
      </c>
      <c r="AN565" t="s">
        <v>4365</v>
      </c>
      <c r="AO565" t="s">
        <v>7959</v>
      </c>
      <c r="AP565" t="s">
        <v>74</v>
      </c>
      <c r="AQ565" t="s">
        <v>74</v>
      </c>
      <c r="AR565" t="s">
        <v>7961</v>
      </c>
      <c r="AS565" t="s">
        <v>7962</v>
      </c>
      <c r="AT565" t="s">
        <v>74</v>
      </c>
      <c r="AU565">
        <v>2013</v>
      </c>
      <c r="AV565">
        <v>3</v>
      </c>
      <c r="AW565">
        <v>3</v>
      </c>
      <c r="AX565" t="s">
        <v>74</v>
      </c>
      <c r="AY565" t="s">
        <v>74</v>
      </c>
      <c r="AZ565" t="s">
        <v>74</v>
      </c>
      <c r="BA565" t="s">
        <v>74</v>
      </c>
      <c r="BB565">
        <v>275</v>
      </c>
      <c r="BC565">
        <v>291</v>
      </c>
      <c r="BD565" t="s">
        <v>74</v>
      </c>
      <c r="BE565" t="s">
        <v>10622</v>
      </c>
      <c r="BF565" t="str">
        <f>HYPERLINK("http://dx.doi.org/10.3354/aei00068","http://dx.doi.org/10.3354/aei00068")</f>
        <v>http://dx.doi.org/10.3354/aei00068</v>
      </c>
      <c r="BG565" t="s">
        <v>74</v>
      </c>
      <c r="BH565" t="s">
        <v>74</v>
      </c>
      <c r="BI565">
        <v>17</v>
      </c>
      <c r="BJ565" t="s">
        <v>5902</v>
      </c>
      <c r="BK565" t="s">
        <v>102</v>
      </c>
      <c r="BL565" t="s">
        <v>5902</v>
      </c>
      <c r="BM565" t="s">
        <v>10623</v>
      </c>
      <c r="BN565" t="s">
        <v>74</v>
      </c>
      <c r="BO565" t="s">
        <v>4621</v>
      </c>
      <c r="BP565" t="s">
        <v>74</v>
      </c>
      <c r="BQ565" t="s">
        <v>74</v>
      </c>
      <c r="BR565" t="s">
        <v>105</v>
      </c>
      <c r="BS565" t="s">
        <v>10624</v>
      </c>
      <c r="BT565" t="str">
        <f>HYPERLINK("https%3A%2F%2Fwww.webofscience.com%2Fwos%2Fwoscc%2Ffull-record%2FWOS:000319985300008","View Full Record in Web of Science")</f>
        <v>View Full Record in Web of Science</v>
      </c>
    </row>
    <row r="566" spans="1:72" x14ac:dyDescent="0.15">
      <c r="A566" t="s">
        <v>72</v>
      </c>
      <c r="B566" t="s">
        <v>10625</v>
      </c>
      <c r="C566" t="s">
        <v>74</v>
      </c>
      <c r="D566" t="s">
        <v>74</v>
      </c>
      <c r="E566" t="s">
        <v>74</v>
      </c>
      <c r="F566" t="s">
        <v>10626</v>
      </c>
      <c r="G566" t="s">
        <v>74</v>
      </c>
      <c r="H566" t="s">
        <v>74</v>
      </c>
      <c r="I566" t="s">
        <v>10627</v>
      </c>
      <c r="J566" t="s">
        <v>4352</v>
      </c>
      <c r="K566" t="s">
        <v>74</v>
      </c>
      <c r="L566" t="s">
        <v>74</v>
      </c>
      <c r="M566" t="s">
        <v>78</v>
      </c>
      <c r="N566" t="s">
        <v>79</v>
      </c>
      <c r="O566" t="s">
        <v>74</v>
      </c>
      <c r="P566" t="s">
        <v>74</v>
      </c>
      <c r="Q566" t="s">
        <v>74</v>
      </c>
      <c r="R566" t="s">
        <v>74</v>
      </c>
      <c r="S566" t="s">
        <v>74</v>
      </c>
      <c r="T566" t="s">
        <v>10628</v>
      </c>
      <c r="U566" t="s">
        <v>10629</v>
      </c>
      <c r="V566" t="s">
        <v>10630</v>
      </c>
      <c r="W566" t="s">
        <v>10631</v>
      </c>
      <c r="X566" t="s">
        <v>10632</v>
      </c>
      <c r="Y566" t="s">
        <v>10633</v>
      </c>
      <c r="Z566" t="s">
        <v>10634</v>
      </c>
      <c r="AA566" t="s">
        <v>74</v>
      </c>
      <c r="AB566" t="s">
        <v>10635</v>
      </c>
      <c r="AC566" t="s">
        <v>10636</v>
      </c>
      <c r="AD566" t="s">
        <v>10637</v>
      </c>
      <c r="AE566" t="s">
        <v>10638</v>
      </c>
      <c r="AF566" t="s">
        <v>74</v>
      </c>
      <c r="AG566">
        <v>54</v>
      </c>
      <c r="AH566">
        <v>42</v>
      </c>
      <c r="AI566">
        <v>49</v>
      </c>
      <c r="AJ566">
        <v>5</v>
      </c>
      <c r="AK566">
        <v>82</v>
      </c>
      <c r="AL566" t="s">
        <v>4363</v>
      </c>
      <c r="AM566" t="s">
        <v>4364</v>
      </c>
      <c r="AN566" t="s">
        <v>4365</v>
      </c>
      <c r="AO566" t="s">
        <v>4366</v>
      </c>
      <c r="AP566" t="s">
        <v>4367</v>
      </c>
      <c r="AQ566" t="s">
        <v>74</v>
      </c>
      <c r="AR566" t="s">
        <v>4368</v>
      </c>
      <c r="AS566" t="s">
        <v>4369</v>
      </c>
      <c r="AT566" t="s">
        <v>74</v>
      </c>
      <c r="AU566">
        <v>2013</v>
      </c>
      <c r="AV566">
        <v>70</v>
      </c>
      <c r="AW566">
        <v>1</v>
      </c>
      <c r="AX566" t="s">
        <v>74</v>
      </c>
      <c r="AY566" t="s">
        <v>74</v>
      </c>
      <c r="AZ566" t="s">
        <v>74</v>
      </c>
      <c r="BA566" t="s">
        <v>74</v>
      </c>
      <c r="BB566">
        <v>1</v>
      </c>
      <c r="BC566">
        <v>15</v>
      </c>
      <c r="BD566" t="s">
        <v>74</v>
      </c>
      <c r="BE566" t="s">
        <v>10639</v>
      </c>
      <c r="BF566" t="str">
        <f>HYPERLINK("http://dx.doi.org/10.3354/ame01633","http://dx.doi.org/10.3354/ame01633")</f>
        <v>http://dx.doi.org/10.3354/ame01633</v>
      </c>
      <c r="BG566" t="s">
        <v>74</v>
      </c>
      <c r="BH566" t="s">
        <v>74</v>
      </c>
      <c r="BI566">
        <v>15</v>
      </c>
      <c r="BJ566" t="s">
        <v>4371</v>
      </c>
      <c r="BK566" t="s">
        <v>102</v>
      </c>
      <c r="BL566" t="s">
        <v>4372</v>
      </c>
      <c r="BM566" t="s">
        <v>10640</v>
      </c>
      <c r="BN566" t="s">
        <v>74</v>
      </c>
      <c r="BO566" t="s">
        <v>128</v>
      </c>
      <c r="BP566" t="s">
        <v>74</v>
      </c>
      <c r="BQ566" t="s">
        <v>74</v>
      </c>
      <c r="BR566" t="s">
        <v>105</v>
      </c>
      <c r="BS566" t="s">
        <v>10641</v>
      </c>
      <c r="BT566" t="str">
        <f>HYPERLINK("https%3A%2F%2Fwww.webofscience.com%2Fwos%2Fwoscc%2Ffull-record%2FWOS:000322999500001","View Full Record in Web of Science")</f>
        <v>View Full Record in Web of Science</v>
      </c>
    </row>
    <row r="567" spans="1:72" x14ac:dyDescent="0.15">
      <c r="A567" t="s">
        <v>72</v>
      </c>
      <c r="B567" t="s">
        <v>10642</v>
      </c>
      <c r="C567" t="s">
        <v>74</v>
      </c>
      <c r="D567" t="s">
        <v>74</v>
      </c>
      <c r="E567" t="s">
        <v>74</v>
      </c>
      <c r="F567" t="s">
        <v>10643</v>
      </c>
      <c r="G567" t="s">
        <v>74</v>
      </c>
      <c r="H567" t="s">
        <v>74</v>
      </c>
      <c r="I567" t="s">
        <v>10644</v>
      </c>
      <c r="J567" t="s">
        <v>4352</v>
      </c>
      <c r="K567" t="s">
        <v>74</v>
      </c>
      <c r="L567" t="s">
        <v>74</v>
      </c>
      <c r="M567" t="s">
        <v>78</v>
      </c>
      <c r="N567" t="s">
        <v>79</v>
      </c>
      <c r="O567" t="s">
        <v>74</v>
      </c>
      <c r="P567" t="s">
        <v>74</v>
      </c>
      <c r="Q567" t="s">
        <v>74</v>
      </c>
      <c r="R567" t="s">
        <v>74</v>
      </c>
      <c r="S567" t="s">
        <v>74</v>
      </c>
      <c r="T567" t="s">
        <v>10645</v>
      </c>
      <c r="U567" t="s">
        <v>10646</v>
      </c>
      <c r="V567" t="s">
        <v>10647</v>
      </c>
      <c r="W567" t="s">
        <v>10648</v>
      </c>
      <c r="X567" t="s">
        <v>10649</v>
      </c>
      <c r="Y567" t="s">
        <v>10650</v>
      </c>
      <c r="Z567" t="s">
        <v>10651</v>
      </c>
      <c r="AA567" t="s">
        <v>10652</v>
      </c>
      <c r="AB567" t="s">
        <v>10653</v>
      </c>
      <c r="AC567" t="s">
        <v>10654</v>
      </c>
      <c r="AD567" t="s">
        <v>10655</v>
      </c>
      <c r="AE567" t="s">
        <v>10656</v>
      </c>
      <c r="AF567" t="s">
        <v>74</v>
      </c>
      <c r="AG567">
        <v>54</v>
      </c>
      <c r="AH567">
        <v>27</v>
      </c>
      <c r="AI567">
        <v>40</v>
      </c>
      <c r="AJ567">
        <v>0</v>
      </c>
      <c r="AK567">
        <v>82</v>
      </c>
      <c r="AL567" t="s">
        <v>4363</v>
      </c>
      <c r="AM567" t="s">
        <v>4364</v>
      </c>
      <c r="AN567" t="s">
        <v>4365</v>
      </c>
      <c r="AO567" t="s">
        <v>4366</v>
      </c>
      <c r="AP567" t="s">
        <v>4367</v>
      </c>
      <c r="AQ567" t="s">
        <v>74</v>
      </c>
      <c r="AR567" t="s">
        <v>4368</v>
      </c>
      <c r="AS567" t="s">
        <v>4369</v>
      </c>
      <c r="AT567" t="s">
        <v>74</v>
      </c>
      <c r="AU567">
        <v>2013</v>
      </c>
      <c r="AV567">
        <v>70</v>
      </c>
      <c r="AW567">
        <v>1</v>
      </c>
      <c r="AX567" t="s">
        <v>74</v>
      </c>
      <c r="AY567" t="s">
        <v>74</v>
      </c>
      <c r="AZ567" t="s">
        <v>74</v>
      </c>
      <c r="BA567" t="s">
        <v>74</v>
      </c>
      <c r="BB567">
        <v>63</v>
      </c>
      <c r="BC567">
        <v>75</v>
      </c>
      <c r="BD567" t="s">
        <v>74</v>
      </c>
      <c r="BE567" t="s">
        <v>10657</v>
      </c>
      <c r="BF567" t="str">
        <f>HYPERLINK("http://dx.doi.org/10.3354/ame01642","http://dx.doi.org/10.3354/ame01642")</f>
        <v>http://dx.doi.org/10.3354/ame01642</v>
      </c>
      <c r="BG567" t="s">
        <v>74</v>
      </c>
      <c r="BH567" t="s">
        <v>74</v>
      </c>
      <c r="BI567">
        <v>13</v>
      </c>
      <c r="BJ567" t="s">
        <v>4371</v>
      </c>
      <c r="BK567" t="s">
        <v>102</v>
      </c>
      <c r="BL567" t="s">
        <v>4372</v>
      </c>
      <c r="BM567" t="s">
        <v>10640</v>
      </c>
      <c r="BN567" t="s">
        <v>74</v>
      </c>
      <c r="BO567" t="s">
        <v>128</v>
      </c>
      <c r="BP567" t="s">
        <v>74</v>
      </c>
      <c r="BQ567" t="s">
        <v>74</v>
      </c>
      <c r="BR567" t="s">
        <v>105</v>
      </c>
      <c r="BS567" t="s">
        <v>10658</v>
      </c>
      <c r="BT567" t="str">
        <f>HYPERLINK("https%3A%2F%2Fwww.webofscience.com%2Fwos%2Fwoscc%2Ffull-record%2FWOS:000322999500005","View Full Record in Web of Science")</f>
        <v>View Full Record in Web of Science</v>
      </c>
    </row>
    <row r="568" spans="1:72" x14ac:dyDescent="0.15">
      <c r="A568" t="s">
        <v>72</v>
      </c>
      <c r="B568" t="s">
        <v>10659</v>
      </c>
      <c r="C568" t="s">
        <v>74</v>
      </c>
      <c r="D568" t="s">
        <v>74</v>
      </c>
      <c r="E568" t="s">
        <v>74</v>
      </c>
      <c r="F568" t="s">
        <v>10660</v>
      </c>
      <c r="G568" t="s">
        <v>74</v>
      </c>
      <c r="H568" t="s">
        <v>74</v>
      </c>
      <c r="I568" t="s">
        <v>10661</v>
      </c>
      <c r="J568" t="s">
        <v>4352</v>
      </c>
      <c r="K568" t="s">
        <v>74</v>
      </c>
      <c r="L568" t="s">
        <v>74</v>
      </c>
      <c r="M568" t="s">
        <v>78</v>
      </c>
      <c r="N568" t="s">
        <v>79</v>
      </c>
      <c r="O568" t="s">
        <v>74</v>
      </c>
      <c r="P568" t="s">
        <v>74</v>
      </c>
      <c r="Q568" t="s">
        <v>74</v>
      </c>
      <c r="R568" t="s">
        <v>74</v>
      </c>
      <c r="S568" t="s">
        <v>74</v>
      </c>
      <c r="T568" t="s">
        <v>10662</v>
      </c>
      <c r="U568" t="s">
        <v>10663</v>
      </c>
      <c r="V568" t="s">
        <v>10664</v>
      </c>
      <c r="W568" t="s">
        <v>10665</v>
      </c>
      <c r="X568" t="s">
        <v>10666</v>
      </c>
      <c r="Y568" t="s">
        <v>10667</v>
      </c>
      <c r="Z568" t="s">
        <v>10668</v>
      </c>
      <c r="AA568" t="s">
        <v>10669</v>
      </c>
      <c r="AB568" t="s">
        <v>10670</v>
      </c>
      <c r="AC568" t="s">
        <v>10671</v>
      </c>
      <c r="AD568" t="s">
        <v>10672</v>
      </c>
      <c r="AE568" t="s">
        <v>10673</v>
      </c>
      <c r="AF568" t="s">
        <v>74</v>
      </c>
      <c r="AG568">
        <v>44</v>
      </c>
      <c r="AH568">
        <v>7</v>
      </c>
      <c r="AI568">
        <v>7</v>
      </c>
      <c r="AJ568">
        <v>0</v>
      </c>
      <c r="AK568">
        <v>24</v>
      </c>
      <c r="AL568" t="s">
        <v>4363</v>
      </c>
      <c r="AM568" t="s">
        <v>4364</v>
      </c>
      <c r="AN568" t="s">
        <v>4365</v>
      </c>
      <c r="AO568" t="s">
        <v>4366</v>
      </c>
      <c r="AP568" t="s">
        <v>4367</v>
      </c>
      <c r="AQ568" t="s">
        <v>74</v>
      </c>
      <c r="AR568" t="s">
        <v>4368</v>
      </c>
      <c r="AS568" t="s">
        <v>4369</v>
      </c>
      <c r="AT568" t="s">
        <v>74</v>
      </c>
      <c r="AU568">
        <v>2013</v>
      </c>
      <c r="AV568">
        <v>70</v>
      </c>
      <c r="AW568">
        <v>2</v>
      </c>
      <c r="AX568" t="s">
        <v>74</v>
      </c>
      <c r="AY568" t="s">
        <v>74</v>
      </c>
      <c r="AZ568" t="s">
        <v>74</v>
      </c>
      <c r="BA568" t="s">
        <v>74</v>
      </c>
      <c r="BB568">
        <v>131</v>
      </c>
      <c r="BC568" t="s">
        <v>99</v>
      </c>
      <c r="BD568" t="s">
        <v>74</v>
      </c>
      <c r="BE568" t="s">
        <v>10674</v>
      </c>
      <c r="BF568" t="str">
        <f>HYPERLINK("http://dx.doi.org/10.3354/ame01650","http://dx.doi.org/10.3354/ame01650")</f>
        <v>http://dx.doi.org/10.3354/ame01650</v>
      </c>
      <c r="BG568" t="s">
        <v>74</v>
      </c>
      <c r="BH568" t="s">
        <v>74</v>
      </c>
      <c r="BI568">
        <v>14</v>
      </c>
      <c r="BJ568" t="s">
        <v>4371</v>
      </c>
      <c r="BK568" t="s">
        <v>102</v>
      </c>
      <c r="BL568" t="s">
        <v>4372</v>
      </c>
      <c r="BM568" t="s">
        <v>10675</v>
      </c>
      <c r="BN568" t="s">
        <v>74</v>
      </c>
      <c r="BO568" t="s">
        <v>128</v>
      </c>
      <c r="BP568" t="s">
        <v>74</v>
      </c>
      <c r="BQ568" t="s">
        <v>74</v>
      </c>
      <c r="BR568" t="s">
        <v>105</v>
      </c>
      <c r="BS568" t="s">
        <v>10676</v>
      </c>
      <c r="BT568" t="str">
        <f>HYPERLINK("https%3A%2F%2Fwww.webofscience.com%2Fwos%2Fwoscc%2Ffull-record%2FWOS:000323492600003","View Full Record in Web of Science")</f>
        <v>View Full Record in Web of Science</v>
      </c>
    </row>
    <row r="569" spans="1:72" x14ac:dyDescent="0.15">
      <c r="A569" t="s">
        <v>72</v>
      </c>
      <c r="B569" t="s">
        <v>10677</v>
      </c>
      <c r="C569" t="s">
        <v>74</v>
      </c>
      <c r="D569" t="s">
        <v>74</v>
      </c>
      <c r="E569" t="s">
        <v>74</v>
      </c>
      <c r="F569" t="s">
        <v>10678</v>
      </c>
      <c r="G569" t="s">
        <v>74</v>
      </c>
      <c r="H569" t="s">
        <v>74</v>
      </c>
      <c r="I569" t="s">
        <v>10679</v>
      </c>
      <c r="J569" t="s">
        <v>4352</v>
      </c>
      <c r="K569" t="s">
        <v>74</v>
      </c>
      <c r="L569" t="s">
        <v>74</v>
      </c>
      <c r="M569" t="s">
        <v>78</v>
      </c>
      <c r="N569" t="s">
        <v>79</v>
      </c>
      <c r="O569" t="s">
        <v>74</v>
      </c>
      <c r="P569" t="s">
        <v>74</v>
      </c>
      <c r="Q569" t="s">
        <v>74</v>
      </c>
      <c r="R569" t="s">
        <v>74</v>
      </c>
      <c r="S569" t="s">
        <v>74</v>
      </c>
      <c r="T569" t="s">
        <v>10680</v>
      </c>
      <c r="U569" t="s">
        <v>10681</v>
      </c>
      <c r="V569" t="s">
        <v>10682</v>
      </c>
      <c r="W569" t="s">
        <v>10683</v>
      </c>
      <c r="X569" t="s">
        <v>10684</v>
      </c>
      <c r="Y569" t="s">
        <v>10685</v>
      </c>
      <c r="Z569" t="s">
        <v>10686</v>
      </c>
      <c r="AA569" t="s">
        <v>74</v>
      </c>
      <c r="AB569" t="s">
        <v>10687</v>
      </c>
      <c r="AC569" t="s">
        <v>10688</v>
      </c>
      <c r="AD569" t="s">
        <v>10689</v>
      </c>
      <c r="AE569" t="s">
        <v>10690</v>
      </c>
      <c r="AF569" t="s">
        <v>74</v>
      </c>
      <c r="AG569">
        <v>96</v>
      </c>
      <c r="AH569">
        <v>29</v>
      </c>
      <c r="AI569">
        <v>34</v>
      </c>
      <c r="AJ569">
        <v>1</v>
      </c>
      <c r="AK569">
        <v>44</v>
      </c>
      <c r="AL569" t="s">
        <v>4363</v>
      </c>
      <c r="AM569" t="s">
        <v>4364</v>
      </c>
      <c r="AN569" t="s">
        <v>4365</v>
      </c>
      <c r="AO569" t="s">
        <v>4366</v>
      </c>
      <c r="AP569" t="s">
        <v>4367</v>
      </c>
      <c r="AQ569" t="s">
        <v>74</v>
      </c>
      <c r="AR569" t="s">
        <v>4368</v>
      </c>
      <c r="AS569" t="s">
        <v>4369</v>
      </c>
      <c r="AT569" t="s">
        <v>74</v>
      </c>
      <c r="AU569">
        <v>2013</v>
      </c>
      <c r="AV569">
        <v>70</v>
      </c>
      <c r="AW569">
        <v>3</v>
      </c>
      <c r="AX569" t="s">
        <v>74</v>
      </c>
      <c r="AY569" t="s">
        <v>74</v>
      </c>
      <c r="AZ569" t="s">
        <v>74</v>
      </c>
      <c r="BA569" t="s">
        <v>74</v>
      </c>
      <c r="BB569">
        <v>215</v>
      </c>
      <c r="BC569">
        <v>232</v>
      </c>
      <c r="BD569" t="s">
        <v>74</v>
      </c>
      <c r="BE569" t="s">
        <v>10691</v>
      </c>
      <c r="BF569" t="str">
        <f>HYPERLINK("http://dx.doi.org/10.3354/ame01655","http://dx.doi.org/10.3354/ame01655")</f>
        <v>http://dx.doi.org/10.3354/ame01655</v>
      </c>
      <c r="BG569" t="s">
        <v>74</v>
      </c>
      <c r="BH569" t="s">
        <v>74</v>
      </c>
      <c r="BI569">
        <v>18</v>
      </c>
      <c r="BJ569" t="s">
        <v>4371</v>
      </c>
      <c r="BK569" t="s">
        <v>102</v>
      </c>
      <c r="BL569" t="s">
        <v>4372</v>
      </c>
      <c r="BM569" t="s">
        <v>10692</v>
      </c>
      <c r="BN569" t="s">
        <v>74</v>
      </c>
      <c r="BO569" t="s">
        <v>1427</v>
      </c>
      <c r="BP569" t="s">
        <v>74</v>
      </c>
      <c r="BQ569" t="s">
        <v>74</v>
      </c>
      <c r="BR569" t="s">
        <v>105</v>
      </c>
      <c r="BS569" t="s">
        <v>10693</v>
      </c>
      <c r="BT569" t="str">
        <f>HYPERLINK("https%3A%2F%2Fwww.webofscience.com%2Fwos%2Fwoscc%2Ffull-record%2FWOS:000325896800004","View Full Record in Web of Science")</f>
        <v>View Full Record in Web of Science</v>
      </c>
    </row>
    <row r="570" spans="1:72" x14ac:dyDescent="0.15">
      <c r="A570" t="s">
        <v>72</v>
      </c>
      <c r="B570" t="s">
        <v>10694</v>
      </c>
      <c r="C570" t="s">
        <v>74</v>
      </c>
      <c r="D570" t="s">
        <v>74</v>
      </c>
      <c r="E570" t="s">
        <v>74</v>
      </c>
      <c r="F570" t="s">
        <v>10695</v>
      </c>
      <c r="G570" t="s">
        <v>74</v>
      </c>
      <c r="H570" t="s">
        <v>74</v>
      </c>
      <c r="I570" t="s">
        <v>10696</v>
      </c>
      <c r="J570" t="s">
        <v>10697</v>
      </c>
      <c r="K570" t="s">
        <v>74</v>
      </c>
      <c r="L570" t="s">
        <v>74</v>
      </c>
      <c r="M570" t="s">
        <v>78</v>
      </c>
      <c r="N570" t="s">
        <v>79</v>
      </c>
      <c r="O570" t="s">
        <v>74</v>
      </c>
      <c r="P570" t="s">
        <v>74</v>
      </c>
      <c r="Q570" t="s">
        <v>74</v>
      </c>
      <c r="R570" t="s">
        <v>74</v>
      </c>
      <c r="S570" t="s">
        <v>74</v>
      </c>
      <c r="T570" t="s">
        <v>10698</v>
      </c>
      <c r="U570" t="s">
        <v>74</v>
      </c>
      <c r="V570" t="s">
        <v>10699</v>
      </c>
      <c r="W570" t="s">
        <v>10700</v>
      </c>
      <c r="X570" t="s">
        <v>10701</v>
      </c>
      <c r="Y570" t="s">
        <v>10702</v>
      </c>
      <c r="Z570" t="s">
        <v>10703</v>
      </c>
      <c r="AA570" t="s">
        <v>74</v>
      </c>
      <c r="AB570" t="s">
        <v>74</v>
      </c>
      <c r="AC570" t="s">
        <v>10704</v>
      </c>
      <c r="AD570" t="s">
        <v>10705</v>
      </c>
      <c r="AE570" t="s">
        <v>10706</v>
      </c>
      <c r="AF570" t="s">
        <v>74</v>
      </c>
      <c r="AG570">
        <v>16</v>
      </c>
      <c r="AH570">
        <v>4</v>
      </c>
      <c r="AI570">
        <v>5</v>
      </c>
      <c r="AJ570">
        <v>0</v>
      </c>
      <c r="AK570">
        <v>7</v>
      </c>
      <c r="AL570" t="s">
        <v>1343</v>
      </c>
      <c r="AM570" t="s">
        <v>1344</v>
      </c>
      <c r="AN570" t="s">
        <v>1345</v>
      </c>
      <c r="AO570" t="s">
        <v>10707</v>
      </c>
      <c r="AP570" t="s">
        <v>10708</v>
      </c>
      <c r="AQ570" t="s">
        <v>74</v>
      </c>
      <c r="AR570" t="s">
        <v>10709</v>
      </c>
      <c r="AS570" t="s">
        <v>10710</v>
      </c>
      <c r="AT570" t="s">
        <v>74</v>
      </c>
      <c r="AU570">
        <v>2013</v>
      </c>
      <c r="AV570">
        <v>6</v>
      </c>
      <c r="AW570">
        <v>5</v>
      </c>
      <c r="AX570" t="s">
        <v>74</v>
      </c>
      <c r="AY570" t="s">
        <v>74</v>
      </c>
      <c r="AZ570" t="s">
        <v>74</v>
      </c>
      <c r="BA570" t="s">
        <v>74</v>
      </c>
      <c r="BB570">
        <v>290</v>
      </c>
      <c r="BC570">
        <v>294</v>
      </c>
      <c r="BD570" t="s">
        <v>74</v>
      </c>
      <c r="BE570" t="s">
        <v>10711</v>
      </c>
      <c r="BF570" t="str">
        <f>HYPERLINK("http://dx.doi.org/10.3878/j.issn.1674-2834.12.0094","http://dx.doi.org/10.3878/j.issn.1674-2834.12.0094")</f>
        <v>http://dx.doi.org/10.3878/j.issn.1674-2834.12.0094</v>
      </c>
      <c r="BG570" t="s">
        <v>74</v>
      </c>
      <c r="BH570" t="s">
        <v>74</v>
      </c>
      <c r="BI570">
        <v>5</v>
      </c>
      <c r="BJ570" t="s">
        <v>101</v>
      </c>
      <c r="BK570" t="s">
        <v>1717</v>
      </c>
      <c r="BL570" t="s">
        <v>101</v>
      </c>
      <c r="BM570" t="s">
        <v>10712</v>
      </c>
      <c r="BN570" t="s">
        <v>74</v>
      </c>
      <c r="BO570" t="s">
        <v>74</v>
      </c>
      <c r="BP570" t="s">
        <v>74</v>
      </c>
      <c r="BQ570" t="s">
        <v>74</v>
      </c>
      <c r="BR570" t="s">
        <v>105</v>
      </c>
      <c r="BS570" t="s">
        <v>10713</v>
      </c>
      <c r="BT570" t="str">
        <f>HYPERLINK("https%3A%2F%2Fwww.webofscience.com%2Fwos%2Fwoscc%2Ffull-record%2FWOS:000433703200011","View Full Record in Web of Science")</f>
        <v>View Full Record in Web of Science</v>
      </c>
    </row>
    <row r="571" spans="1:72" x14ac:dyDescent="0.15">
      <c r="A571" t="s">
        <v>72</v>
      </c>
      <c r="B571" t="s">
        <v>10714</v>
      </c>
      <c r="C571" t="s">
        <v>74</v>
      </c>
      <c r="D571" t="s">
        <v>74</v>
      </c>
      <c r="E571" t="s">
        <v>74</v>
      </c>
      <c r="F571" t="s">
        <v>10715</v>
      </c>
      <c r="G571" t="s">
        <v>74</v>
      </c>
      <c r="H571" t="s">
        <v>74</v>
      </c>
      <c r="I571" t="s">
        <v>10716</v>
      </c>
      <c r="J571" t="s">
        <v>10697</v>
      </c>
      <c r="K571" t="s">
        <v>74</v>
      </c>
      <c r="L571" t="s">
        <v>74</v>
      </c>
      <c r="M571" t="s">
        <v>78</v>
      </c>
      <c r="N571" t="s">
        <v>79</v>
      </c>
      <c r="O571" t="s">
        <v>74</v>
      </c>
      <c r="P571" t="s">
        <v>74</v>
      </c>
      <c r="Q571" t="s">
        <v>74</v>
      </c>
      <c r="R571" t="s">
        <v>74</v>
      </c>
      <c r="S571" t="s">
        <v>74</v>
      </c>
      <c r="T571" t="s">
        <v>10717</v>
      </c>
      <c r="U571" t="s">
        <v>74</v>
      </c>
      <c r="V571" t="s">
        <v>10718</v>
      </c>
      <c r="W571" t="s">
        <v>10719</v>
      </c>
      <c r="X571" t="s">
        <v>10720</v>
      </c>
      <c r="Y571" t="s">
        <v>10721</v>
      </c>
      <c r="Z571" t="s">
        <v>10722</v>
      </c>
      <c r="AA571" t="s">
        <v>10723</v>
      </c>
      <c r="AB571" t="s">
        <v>74</v>
      </c>
      <c r="AC571" t="s">
        <v>10724</v>
      </c>
      <c r="AD571" t="s">
        <v>10725</v>
      </c>
      <c r="AE571" t="s">
        <v>10726</v>
      </c>
      <c r="AF571" t="s">
        <v>74</v>
      </c>
      <c r="AG571">
        <v>23</v>
      </c>
      <c r="AH571">
        <v>5</v>
      </c>
      <c r="AI571">
        <v>7</v>
      </c>
      <c r="AJ571">
        <v>1</v>
      </c>
      <c r="AK571">
        <v>9</v>
      </c>
      <c r="AL571" t="s">
        <v>1343</v>
      </c>
      <c r="AM571" t="s">
        <v>1344</v>
      </c>
      <c r="AN571" t="s">
        <v>1345</v>
      </c>
      <c r="AO571" t="s">
        <v>10707</v>
      </c>
      <c r="AP571" t="s">
        <v>10708</v>
      </c>
      <c r="AQ571" t="s">
        <v>74</v>
      </c>
      <c r="AR571" t="s">
        <v>10709</v>
      </c>
      <c r="AS571" t="s">
        <v>10710</v>
      </c>
      <c r="AT571" t="s">
        <v>74</v>
      </c>
      <c r="AU571">
        <v>2013</v>
      </c>
      <c r="AV571">
        <v>6</v>
      </c>
      <c r="AW571">
        <v>5</v>
      </c>
      <c r="AX571" t="s">
        <v>74</v>
      </c>
      <c r="AY571" t="s">
        <v>74</v>
      </c>
      <c r="AZ571" t="s">
        <v>74</v>
      </c>
      <c r="BA571" t="s">
        <v>74</v>
      </c>
      <c r="BB571">
        <v>337</v>
      </c>
      <c r="BC571">
        <v>342</v>
      </c>
      <c r="BD571" t="s">
        <v>74</v>
      </c>
      <c r="BE571" t="s">
        <v>10727</v>
      </c>
      <c r="BF571" t="str">
        <f>HYPERLINK("http://dx.doi.org/10.3878/j.issn.1674-2834.13.0009","http://dx.doi.org/10.3878/j.issn.1674-2834.13.0009")</f>
        <v>http://dx.doi.org/10.3878/j.issn.1674-2834.13.0009</v>
      </c>
      <c r="BG571" t="s">
        <v>74</v>
      </c>
      <c r="BH571" t="s">
        <v>74</v>
      </c>
      <c r="BI571">
        <v>6</v>
      </c>
      <c r="BJ571" t="s">
        <v>101</v>
      </c>
      <c r="BK571" t="s">
        <v>1717</v>
      </c>
      <c r="BL571" t="s">
        <v>101</v>
      </c>
      <c r="BM571" t="s">
        <v>10712</v>
      </c>
      <c r="BN571" t="s">
        <v>74</v>
      </c>
      <c r="BO571" t="s">
        <v>74</v>
      </c>
      <c r="BP571" t="s">
        <v>74</v>
      </c>
      <c r="BQ571" t="s">
        <v>74</v>
      </c>
      <c r="BR571" t="s">
        <v>105</v>
      </c>
      <c r="BS571" t="s">
        <v>10728</v>
      </c>
      <c r="BT571" t="str">
        <f>HYPERLINK("https%3A%2F%2Fwww.webofscience.com%2Fwos%2Fwoscc%2Ffull-record%2FWOS:000433703200019","View Full Record in Web of Science")</f>
        <v>View Full Record in Web of Science</v>
      </c>
    </row>
    <row r="572" spans="1:72" x14ac:dyDescent="0.15">
      <c r="A572" t="s">
        <v>72</v>
      </c>
      <c r="B572" t="s">
        <v>10729</v>
      </c>
      <c r="C572" t="s">
        <v>74</v>
      </c>
      <c r="D572" t="s">
        <v>74</v>
      </c>
      <c r="E572" t="s">
        <v>74</v>
      </c>
      <c r="F572" t="s">
        <v>10730</v>
      </c>
      <c r="G572" t="s">
        <v>74</v>
      </c>
      <c r="H572" t="s">
        <v>74</v>
      </c>
      <c r="I572" t="s">
        <v>10731</v>
      </c>
      <c r="J572" t="s">
        <v>4521</v>
      </c>
      <c r="K572" t="s">
        <v>74</v>
      </c>
      <c r="L572" t="s">
        <v>74</v>
      </c>
      <c r="M572" t="s">
        <v>78</v>
      </c>
      <c r="N572" t="s">
        <v>79</v>
      </c>
      <c r="O572" t="s">
        <v>74</v>
      </c>
      <c r="P572" t="s">
        <v>74</v>
      </c>
      <c r="Q572" t="s">
        <v>74</v>
      </c>
      <c r="R572" t="s">
        <v>74</v>
      </c>
      <c r="S572" t="s">
        <v>74</v>
      </c>
      <c r="T572" t="s">
        <v>74</v>
      </c>
      <c r="U572" t="s">
        <v>10732</v>
      </c>
      <c r="V572" t="s">
        <v>10733</v>
      </c>
      <c r="W572" t="s">
        <v>10734</v>
      </c>
      <c r="X572" t="s">
        <v>10735</v>
      </c>
      <c r="Y572" t="s">
        <v>10736</v>
      </c>
      <c r="Z572" t="s">
        <v>10737</v>
      </c>
      <c r="AA572" t="s">
        <v>10738</v>
      </c>
      <c r="AB572" t="s">
        <v>10739</v>
      </c>
      <c r="AC572" t="s">
        <v>10740</v>
      </c>
      <c r="AD572" t="s">
        <v>10741</v>
      </c>
      <c r="AE572" t="s">
        <v>10742</v>
      </c>
      <c r="AF572" t="s">
        <v>74</v>
      </c>
      <c r="AG572">
        <v>91</v>
      </c>
      <c r="AH572">
        <v>101</v>
      </c>
      <c r="AI572">
        <v>105</v>
      </c>
      <c r="AJ572">
        <v>1</v>
      </c>
      <c r="AK572">
        <v>58</v>
      </c>
      <c r="AL572" t="s">
        <v>4248</v>
      </c>
      <c r="AM572" t="s">
        <v>4249</v>
      </c>
      <c r="AN572" t="s">
        <v>4250</v>
      </c>
      <c r="AO572" t="s">
        <v>4533</v>
      </c>
      <c r="AP572" t="s">
        <v>4534</v>
      </c>
      <c r="AQ572" t="s">
        <v>74</v>
      </c>
      <c r="AR572" t="s">
        <v>4535</v>
      </c>
      <c r="AS572" t="s">
        <v>4536</v>
      </c>
      <c r="AT572" t="s">
        <v>74</v>
      </c>
      <c r="AU572">
        <v>2013</v>
      </c>
      <c r="AV572">
        <v>13</v>
      </c>
      <c r="AW572">
        <v>2</v>
      </c>
      <c r="AX572" t="s">
        <v>74</v>
      </c>
      <c r="AY572" t="s">
        <v>74</v>
      </c>
      <c r="AZ572" t="s">
        <v>74</v>
      </c>
      <c r="BA572" t="s">
        <v>74</v>
      </c>
      <c r="BB572">
        <v>869</v>
      </c>
      <c r="BC572">
        <v>894</v>
      </c>
      <c r="BD572" t="s">
        <v>74</v>
      </c>
      <c r="BE572" t="s">
        <v>10743</v>
      </c>
      <c r="BF572" t="str">
        <f>HYPERLINK("http://dx.doi.org/10.5194/acp-13-869-2013","http://dx.doi.org/10.5194/acp-13-869-2013")</f>
        <v>http://dx.doi.org/10.5194/acp-13-869-2013</v>
      </c>
      <c r="BG572" t="s">
        <v>74</v>
      </c>
      <c r="BH572" t="s">
        <v>74</v>
      </c>
      <c r="BI572">
        <v>26</v>
      </c>
      <c r="BJ572" t="s">
        <v>1627</v>
      </c>
      <c r="BK572" t="s">
        <v>102</v>
      </c>
      <c r="BL572" t="s">
        <v>1628</v>
      </c>
      <c r="BM572" t="s">
        <v>10744</v>
      </c>
      <c r="BN572" t="s">
        <v>74</v>
      </c>
      <c r="BO572" t="s">
        <v>5017</v>
      </c>
      <c r="BP572" t="s">
        <v>74</v>
      </c>
      <c r="BQ572" t="s">
        <v>74</v>
      </c>
      <c r="BR572" t="s">
        <v>105</v>
      </c>
      <c r="BS572" t="s">
        <v>10745</v>
      </c>
      <c r="BT572" t="str">
        <f>HYPERLINK("https%3A%2F%2Fwww.webofscience.com%2Fwos%2Fwoscc%2Ffull-record%2FWOS:000314172200024","View Full Record in Web of Science")</f>
        <v>View Full Record in Web of Science</v>
      </c>
    </row>
    <row r="573" spans="1:72" x14ac:dyDescent="0.15">
      <c r="A573" t="s">
        <v>72</v>
      </c>
      <c r="B573" t="s">
        <v>10746</v>
      </c>
      <c r="C573" t="s">
        <v>74</v>
      </c>
      <c r="D573" t="s">
        <v>74</v>
      </c>
      <c r="E573" t="s">
        <v>74</v>
      </c>
      <c r="F573" t="s">
        <v>10747</v>
      </c>
      <c r="G573" t="s">
        <v>74</v>
      </c>
      <c r="H573" t="s">
        <v>74</v>
      </c>
      <c r="I573" t="s">
        <v>10748</v>
      </c>
      <c r="J573" t="s">
        <v>4521</v>
      </c>
      <c r="K573" t="s">
        <v>74</v>
      </c>
      <c r="L573" t="s">
        <v>74</v>
      </c>
      <c r="M573" t="s">
        <v>78</v>
      </c>
      <c r="N573" t="s">
        <v>79</v>
      </c>
      <c r="O573" t="s">
        <v>74</v>
      </c>
      <c r="P573" t="s">
        <v>74</v>
      </c>
      <c r="Q573" t="s">
        <v>74</v>
      </c>
      <c r="R573" t="s">
        <v>74</v>
      </c>
      <c r="S573" t="s">
        <v>74</v>
      </c>
      <c r="T573" t="s">
        <v>74</v>
      </c>
      <c r="U573" t="s">
        <v>10749</v>
      </c>
      <c r="V573" t="s">
        <v>10750</v>
      </c>
      <c r="W573" t="s">
        <v>10751</v>
      </c>
      <c r="X573" t="s">
        <v>10752</v>
      </c>
      <c r="Y573" t="s">
        <v>10753</v>
      </c>
      <c r="Z573" t="s">
        <v>10754</v>
      </c>
      <c r="AA573" t="s">
        <v>10755</v>
      </c>
      <c r="AB573" t="s">
        <v>10756</v>
      </c>
      <c r="AC573" t="s">
        <v>10757</v>
      </c>
      <c r="AD573" t="s">
        <v>10758</v>
      </c>
      <c r="AE573" t="s">
        <v>10759</v>
      </c>
      <c r="AF573" t="s">
        <v>74</v>
      </c>
      <c r="AG573">
        <v>53</v>
      </c>
      <c r="AH573">
        <v>26</v>
      </c>
      <c r="AI573">
        <v>29</v>
      </c>
      <c r="AJ573">
        <v>1</v>
      </c>
      <c r="AK573">
        <v>46</v>
      </c>
      <c r="AL573" t="s">
        <v>4248</v>
      </c>
      <c r="AM573" t="s">
        <v>4249</v>
      </c>
      <c r="AN573" t="s">
        <v>4250</v>
      </c>
      <c r="AO573" t="s">
        <v>4533</v>
      </c>
      <c r="AP573" t="s">
        <v>4534</v>
      </c>
      <c r="AQ573" t="s">
        <v>74</v>
      </c>
      <c r="AR573" t="s">
        <v>4535</v>
      </c>
      <c r="AS573" t="s">
        <v>4536</v>
      </c>
      <c r="AT573" t="s">
        <v>74</v>
      </c>
      <c r="AU573">
        <v>2013</v>
      </c>
      <c r="AV573">
        <v>13</v>
      </c>
      <c r="AW573">
        <v>3</v>
      </c>
      <c r="AX573" t="s">
        <v>74</v>
      </c>
      <c r="AY573" t="s">
        <v>74</v>
      </c>
      <c r="AZ573" t="s">
        <v>74</v>
      </c>
      <c r="BA573" t="s">
        <v>74</v>
      </c>
      <c r="BB573">
        <v>1329</v>
      </c>
      <c r="BC573">
        <v>1343</v>
      </c>
      <c r="BD573" t="s">
        <v>74</v>
      </c>
      <c r="BE573" t="s">
        <v>10760</v>
      </c>
      <c r="BF573" t="str">
        <f>HYPERLINK("http://dx.doi.org/10.5194/acp-13-1329-2013","http://dx.doi.org/10.5194/acp-13-1329-2013")</f>
        <v>http://dx.doi.org/10.5194/acp-13-1329-2013</v>
      </c>
      <c r="BG573" t="s">
        <v>74</v>
      </c>
      <c r="BH573" t="s">
        <v>74</v>
      </c>
      <c r="BI573">
        <v>15</v>
      </c>
      <c r="BJ573" t="s">
        <v>1627</v>
      </c>
      <c r="BK573" t="s">
        <v>102</v>
      </c>
      <c r="BL573" t="s">
        <v>1628</v>
      </c>
      <c r="BM573" t="s">
        <v>10761</v>
      </c>
      <c r="BN573" t="s">
        <v>74</v>
      </c>
      <c r="BO573" t="s">
        <v>10762</v>
      </c>
      <c r="BP573" t="s">
        <v>74</v>
      </c>
      <c r="BQ573" t="s">
        <v>74</v>
      </c>
      <c r="BR573" t="s">
        <v>105</v>
      </c>
      <c r="BS573" t="s">
        <v>10763</v>
      </c>
      <c r="BT573" t="str">
        <f>HYPERLINK("https%3A%2F%2Fwww.webofscience.com%2Fwos%2Fwoscc%2Ffull-record%2FWOS:000315406100015","View Full Record in Web of Science")</f>
        <v>View Full Record in Web of Science</v>
      </c>
    </row>
    <row r="574" spans="1:72" x14ac:dyDescent="0.15">
      <c r="A574" t="s">
        <v>72</v>
      </c>
      <c r="B574" t="s">
        <v>10764</v>
      </c>
      <c r="C574" t="s">
        <v>74</v>
      </c>
      <c r="D574" t="s">
        <v>74</v>
      </c>
      <c r="E574" t="s">
        <v>74</v>
      </c>
      <c r="F574" t="s">
        <v>10765</v>
      </c>
      <c r="G574" t="s">
        <v>74</v>
      </c>
      <c r="H574" t="s">
        <v>74</v>
      </c>
      <c r="I574" t="s">
        <v>10766</v>
      </c>
      <c r="J574" t="s">
        <v>4521</v>
      </c>
      <c r="K574" t="s">
        <v>74</v>
      </c>
      <c r="L574" t="s">
        <v>74</v>
      </c>
      <c r="M574" t="s">
        <v>78</v>
      </c>
      <c r="N574" t="s">
        <v>79</v>
      </c>
      <c r="O574" t="s">
        <v>74</v>
      </c>
      <c r="P574" t="s">
        <v>74</v>
      </c>
      <c r="Q574" t="s">
        <v>74</v>
      </c>
      <c r="R574" t="s">
        <v>74</v>
      </c>
      <c r="S574" t="s">
        <v>74</v>
      </c>
      <c r="T574" t="s">
        <v>74</v>
      </c>
      <c r="U574" t="s">
        <v>10767</v>
      </c>
      <c r="V574" t="s">
        <v>10768</v>
      </c>
      <c r="W574" t="s">
        <v>10769</v>
      </c>
      <c r="X574" t="s">
        <v>10770</v>
      </c>
      <c r="Y574" t="s">
        <v>10771</v>
      </c>
      <c r="Z574" t="s">
        <v>10772</v>
      </c>
      <c r="AA574" t="s">
        <v>10773</v>
      </c>
      <c r="AB574" t="s">
        <v>10774</v>
      </c>
      <c r="AC574" t="s">
        <v>10775</v>
      </c>
      <c r="AD574" t="s">
        <v>10776</v>
      </c>
      <c r="AE574" t="s">
        <v>10777</v>
      </c>
      <c r="AF574" t="s">
        <v>74</v>
      </c>
      <c r="AG574">
        <v>34</v>
      </c>
      <c r="AH574">
        <v>10</v>
      </c>
      <c r="AI574">
        <v>13</v>
      </c>
      <c r="AJ574">
        <v>2</v>
      </c>
      <c r="AK574">
        <v>24</v>
      </c>
      <c r="AL574" t="s">
        <v>4248</v>
      </c>
      <c r="AM574" t="s">
        <v>4249</v>
      </c>
      <c r="AN574" t="s">
        <v>4250</v>
      </c>
      <c r="AO574" t="s">
        <v>4533</v>
      </c>
      <c r="AP574" t="s">
        <v>4534</v>
      </c>
      <c r="AQ574" t="s">
        <v>74</v>
      </c>
      <c r="AR574" t="s">
        <v>4535</v>
      </c>
      <c r="AS574" t="s">
        <v>4536</v>
      </c>
      <c r="AT574" t="s">
        <v>74</v>
      </c>
      <c r="AU574">
        <v>2013</v>
      </c>
      <c r="AV574">
        <v>13</v>
      </c>
      <c r="AW574">
        <v>3</v>
      </c>
      <c r="AX574" t="s">
        <v>74</v>
      </c>
      <c r="AY574" t="s">
        <v>74</v>
      </c>
      <c r="AZ574" t="s">
        <v>74</v>
      </c>
      <c r="BA574" t="s">
        <v>74</v>
      </c>
      <c r="BB574">
        <v>1457</v>
      </c>
      <c r="BC574">
        <v>1467</v>
      </c>
      <c r="BD574" t="s">
        <v>74</v>
      </c>
      <c r="BE574" t="s">
        <v>10778</v>
      </c>
      <c r="BF574" t="str">
        <f>HYPERLINK("http://dx.doi.org/10.5194/acp-13-1457-2013","http://dx.doi.org/10.5194/acp-13-1457-2013")</f>
        <v>http://dx.doi.org/10.5194/acp-13-1457-2013</v>
      </c>
      <c r="BG574" t="s">
        <v>74</v>
      </c>
      <c r="BH574" t="s">
        <v>74</v>
      </c>
      <c r="BI574">
        <v>11</v>
      </c>
      <c r="BJ574" t="s">
        <v>1627</v>
      </c>
      <c r="BK574" t="s">
        <v>102</v>
      </c>
      <c r="BL574" t="s">
        <v>1628</v>
      </c>
      <c r="BM574" t="s">
        <v>10761</v>
      </c>
      <c r="BN574" t="s">
        <v>74</v>
      </c>
      <c r="BO574" t="s">
        <v>10779</v>
      </c>
      <c r="BP574" t="s">
        <v>74</v>
      </c>
      <c r="BQ574" t="s">
        <v>74</v>
      </c>
      <c r="BR574" t="s">
        <v>105</v>
      </c>
      <c r="BS574" t="s">
        <v>10780</v>
      </c>
      <c r="BT574" t="str">
        <f>HYPERLINK("https%3A%2F%2Fwww.webofscience.com%2Fwos%2Fwoscc%2Ffull-record%2FWOS:000315406100023","View Full Record in Web of Science")</f>
        <v>View Full Record in Web of Science</v>
      </c>
    </row>
    <row r="575" spans="1:72" x14ac:dyDescent="0.15">
      <c r="A575" t="s">
        <v>72</v>
      </c>
      <c r="B575" t="s">
        <v>10781</v>
      </c>
      <c r="C575" t="s">
        <v>74</v>
      </c>
      <c r="D575" t="s">
        <v>74</v>
      </c>
      <c r="E575" t="s">
        <v>74</v>
      </c>
      <c r="F575" t="s">
        <v>10782</v>
      </c>
      <c r="G575" t="s">
        <v>74</v>
      </c>
      <c r="H575" t="s">
        <v>74</v>
      </c>
      <c r="I575" t="s">
        <v>10783</v>
      </c>
      <c r="J575" t="s">
        <v>4521</v>
      </c>
      <c r="K575" t="s">
        <v>74</v>
      </c>
      <c r="L575" t="s">
        <v>74</v>
      </c>
      <c r="M575" t="s">
        <v>78</v>
      </c>
      <c r="N575" t="s">
        <v>79</v>
      </c>
      <c r="O575" t="s">
        <v>74</v>
      </c>
      <c r="P575" t="s">
        <v>74</v>
      </c>
      <c r="Q575" t="s">
        <v>74</v>
      </c>
      <c r="R575" t="s">
        <v>74</v>
      </c>
      <c r="S575" t="s">
        <v>74</v>
      </c>
      <c r="T575" t="s">
        <v>74</v>
      </c>
      <c r="U575" t="s">
        <v>10784</v>
      </c>
      <c r="V575" t="s">
        <v>10785</v>
      </c>
      <c r="W575" t="s">
        <v>10786</v>
      </c>
      <c r="X575" t="s">
        <v>10787</v>
      </c>
      <c r="Y575" t="s">
        <v>10788</v>
      </c>
      <c r="Z575" t="s">
        <v>10789</v>
      </c>
      <c r="AA575" t="s">
        <v>10790</v>
      </c>
      <c r="AB575" t="s">
        <v>10791</v>
      </c>
      <c r="AC575" t="s">
        <v>10792</v>
      </c>
      <c r="AD575" t="s">
        <v>10793</v>
      </c>
      <c r="AE575" t="s">
        <v>10794</v>
      </c>
      <c r="AF575" t="s">
        <v>74</v>
      </c>
      <c r="AG575">
        <v>49</v>
      </c>
      <c r="AH575">
        <v>21</v>
      </c>
      <c r="AI575">
        <v>24</v>
      </c>
      <c r="AJ575">
        <v>1</v>
      </c>
      <c r="AK575">
        <v>13</v>
      </c>
      <c r="AL575" t="s">
        <v>4248</v>
      </c>
      <c r="AM575" t="s">
        <v>4249</v>
      </c>
      <c r="AN575" t="s">
        <v>4250</v>
      </c>
      <c r="AO575" t="s">
        <v>4533</v>
      </c>
      <c r="AP575" t="s">
        <v>4534</v>
      </c>
      <c r="AQ575" t="s">
        <v>74</v>
      </c>
      <c r="AR575" t="s">
        <v>4535</v>
      </c>
      <c r="AS575" t="s">
        <v>4536</v>
      </c>
      <c r="AT575" t="s">
        <v>74</v>
      </c>
      <c r="AU575">
        <v>2013</v>
      </c>
      <c r="AV575">
        <v>13</v>
      </c>
      <c r="AW575">
        <v>3</v>
      </c>
      <c r="AX575" t="s">
        <v>74</v>
      </c>
      <c r="AY575" t="s">
        <v>74</v>
      </c>
      <c r="AZ575" t="s">
        <v>74</v>
      </c>
      <c r="BA575" t="s">
        <v>74</v>
      </c>
      <c r="BB575">
        <v>1485</v>
      </c>
      <c r="BC575">
        <v>1510</v>
      </c>
      <c r="BD575" t="s">
        <v>74</v>
      </c>
      <c r="BE575" t="s">
        <v>10795</v>
      </c>
      <c r="BF575" t="str">
        <f>HYPERLINK("http://dx.doi.org/10.5194/acp-13-1485-2013","http://dx.doi.org/10.5194/acp-13-1485-2013")</f>
        <v>http://dx.doi.org/10.5194/acp-13-1485-2013</v>
      </c>
      <c r="BG575" t="s">
        <v>74</v>
      </c>
      <c r="BH575" t="s">
        <v>74</v>
      </c>
      <c r="BI575">
        <v>26</v>
      </c>
      <c r="BJ575" t="s">
        <v>1627</v>
      </c>
      <c r="BK575" t="s">
        <v>102</v>
      </c>
      <c r="BL575" t="s">
        <v>1628</v>
      </c>
      <c r="BM575" t="s">
        <v>10761</v>
      </c>
      <c r="BN575" t="s">
        <v>74</v>
      </c>
      <c r="BO575" t="s">
        <v>4605</v>
      </c>
      <c r="BP575" t="s">
        <v>74</v>
      </c>
      <c r="BQ575" t="s">
        <v>74</v>
      </c>
      <c r="BR575" t="s">
        <v>105</v>
      </c>
      <c r="BS575" t="s">
        <v>10796</v>
      </c>
      <c r="BT575" t="str">
        <f>HYPERLINK("https%3A%2F%2Fwww.webofscience.com%2Fwos%2Fwoscc%2Ffull-record%2FWOS:000315406100025","View Full Record in Web of Science")</f>
        <v>View Full Record in Web of Science</v>
      </c>
    </row>
    <row r="576" spans="1:72" x14ac:dyDescent="0.15">
      <c r="A576" t="s">
        <v>72</v>
      </c>
      <c r="B576" t="s">
        <v>10797</v>
      </c>
      <c r="C576" t="s">
        <v>74</v>
      </c>
      <c r="D576" t="s">
        <v>74</v>
      </c>
      <c r="E576" t="s">
        <v>74</v>
      </c>
      <c r="F576" t="s">
        <v>10798</v>
      </c>
      <c r="G576" t="s">
        <v>74</v>
      </c>
      <c r="H576" t="s">
        <v>74</v>
      </c>
      <c r="I576" t="s">
        <v>10799</v>
      </c>
      <c r="J576" t="s">
        <v>4521</v>
      </c>
      <c r="K576" t="s">
        <v>74</v>
      </c>
      <c r="L576" t="s">
        <v>74</v>
      </c>
      <c r="M576" t="s">
        <v>78</v>
      </c>
      <c r="N576" t="s">
        <v>79</v>
      </c>
      <c r="O576" t="s">
        <v>74</v>
      </c>
      <c r="P576" t="s">
        <v>74</v>
      </c>
      <c r="Q576" t="s">
        <v>74</v>
      </c>
      <c r="R576" t="s">
        <v>74</v>
      </c>
      <c r="S576" t="s">
        <v>74</v>
      </c>
      <c r="T576" t="s">
        <v>74</v>
      </c>
      <c r="U576" t="s">
        <v>10800</v>
      </c>
      <c r="V576" t="s">
        <v>10801</v>
      </c>
      <c r="W576" t="s">
        <v>10802</v>
      </c>
      <c r="X576" t="s">
        <v>10803</v>
      </c>
      <c r="Y576" t="s">
        <v>10804</v>
      </c>
      <c r="Z576" t="s">
        <v>10805</v>
      </c>
      <c r="AA576" t="s">
        <v>10806</v>
      </c>
      <c r="AB576" t="s">
        <v>10807</v>
      </c>
      <c r="AC576" t="s">
        <v>10808</v>
      </c>
      <c r="AD576" t="s">
        <v>10809</v>
      </c>
      <c r="AE576" t="s">
        <v>10810</v>
      </c>
      <c r="AF576" t="s">
        <v>74</v>
      </c>
      <c r="AG576">
        <v>52</v>
      </c>
      <c r="AH576">
        <v>51</v>
      </c>
      <c r="AI576">
        <v>52</v>
      </c>
      <c r="AJ576">
        <v>0</v>
      </c>
      <c r="AK576">
        <v>61</v>
      </c>
      <c r="AL576" t="s">
        <v>4248</v>
      </c>
      <c r="AM576" t="s">
        <v>4249</v>
      </c>
      <c r="AN576" t="s">
        <v>4250</v>
      </c>
      <c r="AO576" t="s">
        <v>4533</v>
      </c>
      <c r="AP576" t="s">
        <v>4534</v>
      </c>
      <c r="AQ576" t="s">
        <v>74</v>
      </c>
      <c r="AR576" t="s">
        <v>4535</v>
      </c>
      <c r="AS576" t="s">
        <v>4536</v>
      </c>
      <c r="AT576" t="s">
        <v>74</v>
      </c>
      <c r="AU576">
        <v>2013</v>
      </c>
      <c r="AV576">
        <v>13</v>
      </c>
      <c r="AW576">
        <v>3</v>
      </c>
      <c r="AX576" t="s">
        <v>74</v>
      </c>
      <c r="AY576" t="s">
        <v>74</v>
      </c>
      <c r="AZ576" t="s">
        <v>74</v>
      </c>
      <c r="BA576" t="s">
        <v>74</v>
      </c>
      <c r="BB576">
        <v>1625</v>
      </c>
      <c r="BC576">
        <v>1635</v>
      </c>
      <c r="BD576" t="s">
        <v>74</v>
      </c>
      <c r="BE576" t="s">
        <v>10811</v>
      </c>
      <c r="BF576" t="str">
        <f>HYPERLINK("http://dx.doi.org/10.5194/acp-13-1625-2013","http://dx.doi.org/10.5194/acp-13-1625-2013")</f>
        <v>http://dx.doi.org/10.5194/acp-13-1625-2013</v>
      </c>
      <c r="BG576" t="s">
        <v>74</v>
      </c>
      <c r="BH576" t="s">
        <v>74</v>
      </c>
      <c r="BI576">
        <v>11</v>
      </c>
      <c r="BJ576" t="s">
        <v>1627</v>
      </c>
      <c r="BK576" t="s">
        <v>102</v>
      </c>
      <c r="BL576" t="s">
        <v>1628</v>
      </c>
      <c r="BM576" t="s">
        <v>10761</v>
      </c>
      <c r="BN576" t="s">
        <v>74</v>
      </c>
      <c r="BO576" t="s">
        <v>5838</v>
      </c>
      <c r="BP576" t="s">
        <v>74</v>
      </c>
      <c r="BQ576" t="s">
        <v>74</v>
      </c>
      <c r="BR576" t="s">
        <v>105</v>
      </c>
      <c r="BS576" t="s">
        <v>10812</v>
      </c>
      <c r="BT576" t="str">
        <f>HYPERLINK("https%3A%2F%2Fwww.webofscience.com%2Fwos%2Fwoscc%2Ffull-record%2FWOS:000315406100034","View Full Record in Web of Science")</f>
        <v>View Full Record in Web of Science</v>
      </c>
    </row>
    <row r="577" spans="1:72" x14ac:dyDescent="0.15">
      <c r="A577" t="s">
        <v>72</v>
      </c>
      <c r="B577" t="s">
        <v>10813</v>
      </c>
      <c r="C577" t="s">
        <v>74</v>
      </c>
      <c r="D577" t="s">
        <v>74</v>
      </c>
      <c r="E577" t="s">
        <v>74</v>
      </c>
      <c r="F577" t="s">
        <v>10814</v>
      </c>
      <c r="G577" t="s">
        <v>74</v>
      </c>
      <c r="H577" t="s">
        <v>74</v>
      </c>
      <c r="I577" t="s">
        <v>10815</v>
      </c>
      <c r="J577" t="s">
        <v>4521</v>
      </c>
      <c r="K577" t="s">
        <v>74</v>
      </c>
      <c r="L577" t="s">
        <v>74</v>
      </c>
      <c r="M577" t="s">
        <v>78</v>
      </c>
      <c r="N577" t="s">
        <v>79</v>
      </c>
      <c r="O577" t="s">
        <v>74</v>
      </c>
      <c r="P577" t="s">
        <v>74</v>
      </c>
      <c r="Q577" t="s">
        <v>74</v>
      </c>
      <c r="R577" t="s">
        <v>74</v>
      </c>
      <c r="S577" t="s">
        <v>74</v>
      </c>
      <c r="T577" t="s">
        <v>74</v>
      </c>
      <c r="U577" t="s">
        <v>10816</v>
      </c>
      <c r="V577" t="s">
        <v>10817</v>
      </c>
      <c r="W577" t="s">
        <v>10818</v>
      </c>
      <c r="X577" t="s">
        <v>10819</v>
      </c>
      <c r="Y577" t="s">
        <v>10820</v>
      </c>
      <c r="Z577" t="s">
        <v>10821</v>
      </c>
      <c r="AA577" t="s">
        <v>10822</v>
      </c>
      <c r="AB577" t="s">
        <v>10823</v>
      </c>
      <c r="AC577" t="s">
        <v>10824</v>
      </c>
      <c r="AD577" t="s">
        <v>10825</v>
      </c>
      <c r="AE577" t="s">
        <v>10826</v>
      </c>
      <c r="AF577" t="s">
        <v>74</v>
      </c>
      <c r="AG577">
        <v>102</v>
      </c>
      <c r="AH577">
        <v>101</v>
      </c>
      <c r="AI577">
        <v>121</v>
      </c>
      <c r="AJ577">
        <v>3</v>
      </c>
      <c r="AK577">
        <v>97</v>
      </c>
      <c r="AL577" t="s">
        <v>4248</v>
      </c>
      <c r="AM577" t="s">
        <v>4249</v>
      </c>
      <c r="AN577" t="s">
        <v>4250</v>
      </c>
      <c r="AO577" t="s">
        <v>4533</v>
      </c>
      <c r="AP577" t="s">
        <v>4534</v>
      </c>
      <c r="AQ577" t="s">
        <v>74</v>
      </c>
      <c r="AR577" t="s">
        <v>4535</v>
      </c>
      <c r="AS577" t="s">
        <v>4536</v>
      </c>
      <c r="AT577" t="s">
        <v>74</v>
      </c>
      <c r="AU577">
        <v>2013</v>
      </c>
      <c r="AV577">
        <v>13</v>
      </c>
      <c r="AW577">
        <v>5</v>
      </c>
      <c r="AX577" t="s">
        <v>74</v>
      </c>
      <c r="AY577" t="s">
        <v>74</v>
      </c>
      <c r="AZ577" t="s">
        <v>74</v>
      </c>
      <c r="BA577" t="s">
        <v>74</v>
      </c>
      <c r="BB577">
        <v>2607</v>
      </c>
      <c r="BC577">
        <v>2634</v>
      </c>
      <c r="BD577" t="s">
        <v>74</v>
      </c>
      <c r="BE577" t="s">
        <v>10827</v>
      </c>
      <c r="BF577" t="str">
        <f>HYPERLINK("http://dx.doi.org/10.5194/acp-13-2607-2013","http://dx.doi.org/10.5194/acp-13-2607-2013")</f>
        <v>http://dx.doi.org/10.5194/acp-13-2607-2013</v>
      </c>
      <c r="BG577" t="s">
        <v>74</v>
      </c>
      <c r="BH577" t="s">
        <v>74</v>
      </c>
      <c r="BI577">
        <v>28</v>
      </c>
      <c r="BJ577" t="s">
        <v>1627</v>
      </c>
      <c r="BK577" t="s">
        <v>102</v>
      </c>
      <c r="BL577" t="s">
        <v>1628</v>
      </c>
      <c r="BM577" t="s">
        <v>10828</v>
      </c>
      <c r="BN577" t="s">
        <v>74</v>
      </c>
      <c r="BO577" t="s">
        <v>10829</v>
      </c>
      <c r="BP577" t="s">
        <v>74</v>
      </c>
      <c r="BQ577" t="s">
        <v>74</v>
      </c>
      <c r="BR577" t="s">
        <v>105</v>
      </c>
      <c r="BS577" t="s">
        <v>10830</v>
      </c>
      <c r="BT577" t="str">
        <f>HYPERLINK("https%3A%2F%2Fwww.webofscience.com%2Fwos%2Fwoscc%2Ffull-record%2FWOS:000316960500019","View Full Record in Web of Science")</f>
        <v>View Full Record in Web of Science</v>
      </c>
    </row>
    <row r="578" spans="1:72" x14ac:dyDescent="0.15">
      <c r="A578" t="s">
        <v>72</v>
      </c>
      <c r="B578" t="s">
        <v>10831</v>
      </c>
      <c r="C578" t="s">
        <v>74</v>
      </c>
      <c r="D578" t="s">
        <v>74</v>
      </c>
      <c r="E578" t="s">
        <v>74</v>
      </c>
      <c r="F578" t="s">
        <v>10832</v>
      </c>
      <c r="G578" t="s">
        <v>74</v>
      </c>
      <c r="H578" t="s">
        <v>74</v>
      </c>
      <c r="I578" t="s">
        <v>10833</v>
      </c>
      <c r="J578" t="s">
        <v>4521</v>
      </c>
      <c r="K578" t="s">
        <v>74</v>
      </c>
      <c r="L578" t="s">
        <v>74</v>
      </c>
      <c r="M578" t="s">
        <v>78</v>
      </c>
      <c r="N578" t="s">
        <v>79</v>
      </c>
      <c r="O578" t="s">
        <v>74</v>
      </c>
      <c r="P578" t="s">
        <v>74</v>
      </c>
      <c r="Q578" t="s">
        <v>74</v>
      </c>
      <c r="R578" t="s">
        <v>74</v>
      </c>
      <c r="S578" t="s">
        <v>74</v>
      </c>
      <c r="T578" t="s">
        <v>74</v>
      </c>
      <c r="U578" t="s">
        <v>10834</v>
      </c>
      <c r="V578" t="s">
        <v>10835</v>
      </c>
      <c r="W578" t="s">
        <v>10836</v>
      </c>
      <c r="X578" t="s">
        <v>10837</v>
      </c>
      <c r="Y578" t="s">
        <v>10838</v>
      </c>
      <c r="Z578" t="s">
        <v>10839</v>
      </c>
      <c r="AA578" t="s">
        <v>10840</v>
      </c>
      <c r="AB578" t="s">
        <v>10841</v>
      </c>
      <c r="AC578" t="s">
        <v>10842</v>
      </c>
      <c r="AD578" t="s">
        <v>10843</v>
      </c>
      <c r="AE578" t="s">
        <v>10844</v>
      </c>
      <c r="AF578" t="s">
        <v>74</v>
      </c>
      <c r="AG578">
        <v>84</v>
      </c>
      <c r="AH578">
        <v>129</v>
      </c>
      <c r="AI578">
        <v>140</v>
      </c>
      <c r="AJ578">
        <v>3</v>
      </c>
      <c r="AK578">
        <v>50</v>
      </c>
      <c r="AL578" t="s">
        <v>4248</v>
      </c>
      <c r="AM578" t="s">
        <v>4249</v>
      </c>
      <c r="AN578" t="s">
        <v>4250</v>
      </c>
      <c r="AO578" t="s">
        <v>4533</v>
      </c>
      <c r="AP578" t="s">
        <v>4534</v>
      </c>
      <c r="AQ578" t="s">
        <v>74</v>
      </c>
      <c r="AR578" t="s">
        <v>4535</v>
      </c>
      <c r="AS578" t="s">
        <v>4536</v>
      </c>
      <c r="AT578" t="s">
        <v>74</v>
      </c>
      <c r="AU578">
        <v>2013</v>
      </c>
      <c r="AV578">
        <v>13</v>
      </c>
      <c r="AW578">
        <v>5</v>
      </c>
      <c r="AX578" t="s">
        <v>74</v>
      </c>
      <c r="AY578" t="s">
        <v>74</v>
      </c>
      <c r="AZ578" t="s">
        <v>74</v>
      </c>
      <c r="BA578" t="s">
        <v>74</v>
      </c>
      <c r="BB578">
        <v>2653</v>
      </c>
      <c r="BC578">
        <v>2689</v>
      </c>
      <c r="BD578" t="s">
        <v>74</v>
      </c>
      <c r="BE578" t="s">
        <v>10845</v>
      </c>
      <c r="BF578" t="str">
        <f>HYPERLINK("http://dx.doi.org/10.5194/acp-13-2653-2013","http://dx.doi.org/10.5194/acp-13-2653-2013")</f>
        <v>http://dx.doi.org/10.5194/acp-13-2653-2013</v>
      </c>
      <c r="BG578" t="s">
        <v>74</v>
      </c>
      <c r="BH578" t="s">
        <v>74</v>
      </c>
      <c r="BI578">
        <v>37</v>
      </c>
      <c r="BJ578" t="s">
        <v>1627</v>
      </c>
      <c r="BK578" t="s">
        <v>102</v>
      </c>
      <c r="BL578" t="s">
        <v>1628</v>
      </c>
      <c r="BM578" t="s">
        <v>10828</v>
      </c>
      <c r="BN578" t="s">
        <v>74</v>
      </c>
      <c r="BO578" t="s">
        <v>4132</v>
      </c>
      <c r="BP578" t="s">
        <v>74</v>
      </c>
      <c r="BQ578" t="s">
        <v>74</v>
      </c>
      <c r="BR578" t="s">
        <v>105</v>
      </c>
      <c r="BS578" t="s">
        <v>10846</v>
      </c>
      <c r="BT578" t="str">
        <f>HYPERLINK("https%3A%2F%2Fwww.webofscience.com%2Fwos%2Fwoscc%2Ffull-record%2FWOS:000316960500021","View Full Record in Web of Science")</f>
        <v>View Full Record in Web of Science</v>
      </c>
    </row>
    <row r="579" spans="1:72" x14ac:dyDescent="0.15">
      <c r="A579" t="s">
        <v>72</v>
      </c>
      <c r="B579" t="s">
        <v>10847</v>
      </c>
      <c r="C579" t="s">
        <v>74</v>
      </c>
      <c r="D579" t="s">
        <v>74</v>
      </c>
      <c r="E579" t="s">
        <v>74</v>
      </c>
      <c r="F579" t="s">
        <v>10848</v>
      </c>
      <c r="G579" t="s">
        <v>74</v>
      </c>
      <c r="H579" t="s">
        <v>74</v>
      </c>
      <c r="I579" t="s">
        <v>10849</v>
      </c>
      <c r="J579" t="s">
        <v>4521</v>
      </c>
      <c r="K579" t="s">
        <v>74</v>
      </c>
      <c r="L579" t="s">
        <v>74</v>
      </c>
      <c r="M579" t="s">
        <v>78</v>
      </c>
      <c r="N579" t="s">
        <v>79</v>
      </c>
      <c r="O579" t="s">
        <v>74</v>
      </c>
      <c r="P579" t="s">
        <v>74</v>
      </c>
      <c r="Q579" t="s">
        <v>74</v>
      </c>
      <c r="R579" t="s">
        <v>74</v>
      </c>
      <c r="S579" t="s">
        <v>74</v>
      </c>
      <c r="T579" t="s">
        <v>74</v>
      </c>
      <c r="U579" t="s">
        <v>10850</v>
      </c>
      <c r="V579" t="s">
        <v>10851</v>
      </c>
      <c r="W579" t="s">
        <v>10852</v>
      </c>
      <c r="X579" t="s">
        <v>10853</v>
      </c>
      <c r="Y579" t="s">
        <v>10854</v>
      </c>
      <c r="Z579" t="s">
        <v>10855</v>
      </c>
      <c r="AA579" t="s">
        <v>10856</v>
      </c>
      <c r="AB579" t="s">
        <v>10857</v>
      </c>
      <c r="AC579" t="s">
        <v>10858</v>
      </c>
      <c r="AD579" t="s">
        <v>10859</v>
      </c>
      <c r="AE579" t="s">
        <v>10860</v>
      </c>
      <c r="AF579" t="s">
        <v>74</v>
      </c>
      <c r="AG579">
        <v>51</v>
      </c>
      <c r="AH579">
        <v>38</v>
      </c>
      <c r="AI579">
        <v>47</v>
      </c>
      <c r="AJ579">
        <v>1</v>
      </c>
      <c r="AK579">
        <v>46</v>
      </c>
      <c r="AL579" t="s">
        <v>4248</v>
      </c>
      <c r="AM579" t="s">
        <v>4249</v>
      </c>
      <c r="AN579" t="s">
        <v>4250</v>
      </c>
      <c r="AO579" t="s">
        <v>4533</v>
      </c>
      <c r="AP579" t="s">
        <v>4534</v>
      </c>
      <c r="AQ579" t="s">
        <v>74</v>
      </c>
      <c r="AR579" t="s">
        <v>4535</v>
      </c>
      <c r="AS579" t="s">
        <v>4536</v>
      </c>
      <c r="AT579" t="s">
        <v>74</v>
      </c>
      <c r="AU579">
        <v>2013</v>
      </c>
      <c r="AV579">
        <v>13</v>
      </c>
      <c r="AW579">
        <v>6</v>
      </c>
      <c r="AX579" t="s">
        <v>74</v>
      </c>
      <c r="AY579" t="s">
        <v>74</v>
      </c>
      <c r="AZ579" t="s">
        <v>74</v>
      </c>
      <c r="BA579" t="s">
        <v>74</v>
      </c>
      <c r="BB579">
        <v>3045</v>
      </c>
      <c r="BC579">
        <v>3062</v>
      </c>
      <c r="BD579" t="s">
        <v>74</v>
      </c>
      <c r="BE579" t="s">
        <v>10861</v>
      </c>
      <c r="BF579" t="str">
        <f>HYPERLINK("http://dx.doi.org/10.5194/acp-13-3045-2013","http://dx.doi.org/10.5194/acp-13-3045-2013")</f>
        <v>http://dx.doi.org/10.5194/acp-13-3045-2013</v>
      </c>
      <c r="BG579" t="s">
        <v>74</v>
      </c>
      <c r="BH579" t="s">
        <v>74</v>
      </c>
      <c r="BI579">
        <v>18</v>
      </c>
      <c r="BJ579" t="s">
        <v>1627</v>
      </c>
      <c r="BK579" t="s">
        <v>102</v>
      </c>
      <c r="BL579" t="s">
        <v>1628</v>
      </c>
      <c r="BM579" t="s">
        <v>7489</v>
      </c>
      <c r="BN579" t="s">
        <v>74</v>
      </c>
      <c r="BO579" t="s">
        <v>5017</v>
      </c>
      <c r="BP579" t="s">
        <v>74</v>
      </c>
      <c r="BQ579" t="s">
        <v>74</v>
      </c>
      <c r="BR579" t="s">
        <v>105</v>
      </c>
      <c r="BS579" t="s">
        <v>10862</v>
      </c>
      <c r="BT579" t="str">
        <f>HYPERLINK("https%3A%2F%2Fwww.webofscience.com%2Fwos%2Fwoscc%2Ffull-record%2FWOS:000316961000007","View Full Record in Web of Science")</f>
        <v>View Full Record in Web of Science</v>
      </c>
    </row>
    <row r="580" spans="1:72" x14ac:dyDescent="0.15">
      <c r="A580" t="s">
        <v>72</v>
      </c>
      <c r="B580" t="s">
        <v>10863</v>
      </c>
      <c r="C580" t="s">
        <v>74</v>
      </c>
      <c r="D580" t="s">
        <v>74</v>
      </c>
      <c r="E580" t="s">
        <v>74</v>
      </c>
      <c r="F580" t="s">
        <v>10864</v>
      </c>
      <c r="G580" t="s">
        <v>74</v>
      </c>
      <c r="H580" t="s">
        <v>74</v>
      </c>
      <c r="I580" t="s">
        <v>10865</v>
      </c>
      <c r="J580" t="s">
        <v>4521</v>
      </c>
      <c r="K580" t="s">
        <v>74</v>
      </c>
      <c r="L580" t="s">
        <v>74</v>
      </c>
      <c r="M580" t="s">
        <v>78</v>
      </c>
      <c r="N580" t="s">
        <v>79</v>
      </c>
      <c r="O580" t="s">
        <v>74</v>
      </c>
      <c r="P580" t="s">
        <v>74</v>
      </c>
      <c r="Q580" t="s">
        <v>74</v>
      </c>
      <c r="R580" t="s">
        <v>74</v>
      </c>
      <c r="S580" t="s">
        <v>74</v>
      </c>
      <c r="T580" t="s">
        <v>74</v>
      </c>
      <c r="U580" t="s">
        <v>10866</v>
      </c>
      <c r="V580" t="s">
        <v>10867</v>
      </c>
      <c r="W580" t="s">
        <v>10868</v>
      </c>
      <c r="X580" t="s">
        <v>10869</v>
      </c>
      <c r="Y580" t="s">
        <v>10870</v>
      </c>
      <c r="Z580" t="s">
        <v>10871</v>
      </c>
      <c r="AA580" t="s">
        <v>10872</v>
      </c>
      <c r="AB580" t="s">
        <v>10873</v>
      </c>
      <c r="AC580" t="s">
        <v>10874</v>
      </c>
      <c r="AD580" t="s">
        <v>10875</v>
      </c>
      <c r="AE580" t="s">
        <v>10876</v>
      </c>
      <c r="AF580" t="s">
        <v>74</v>
      </c>
      <c r="AG580">
        <v>46</v>
      </c>
      <c r="AH580">
        <v>80</v>
      </c>
      <c r="AI580">
        <v>86</v>
      </c>
      <c r="AJ580">
        <v>2</v>
      </c>
      <c r="AK580">
        <v>37</v>
      </c>
      <c r="AL580" t="s">
        <v>4248</v>
      </c>
      <c r="AM580" t="s">
        <v>4249</v>
      </c>
      <c r="AN580" t="s">
        <v>4250</v>
      </c>
      <c r="AO580" t="s">
        <v>4533</v>
      </c>
      <c r="AP580" t="s">
        <v>4534</v>
      </c>
      <c r="AQ580" t="s">
        <v>74</v>
      </c>
      <c r="AR580" t="s">
        <v>4535</v>
      </c>
      <c r="AS580" t="s">
        <v>4536</v>
      </c>
      <c r="AT580" t="s">
        <v>74</v>
      </c>
      <c r="AU580">
        <v>2013</v>
      </c>
      <c r="AV580">
        <v>13</v>
      </c>
      <c r="AW580">
        <v>13</v>
      </c>
      <c r="AX580" t="s">
        <v>74</v>
      </c>
      <c r="AY580" t="s">
        <v>74</v>
      </c>
      <c r="AZ580" t="s">
        <v>74</v>
      </c>
      <c r="BA580" t="s">
        <v>74</v>
      </c>
      <c r="BB580">
        <v>6403</v>
      </c>
      <c r="BC580">
        <v>6419</v>
      </c>
      <c r="BD580" t="s">
        <v>74</v>
      </c>
      <c r="BE580" t="s">
        <v>10877</v>
      </c>
      <c r="BF580" t="str">
        <f>HYPERLINK("http://dx.doi.org/10.5194/acp-13-6403-2013","http://dx.doi.org/10.5194/acp-13-6403-2013")</f>
        <v>http://dx.doi.org/10.5194/acp-13-6403-2013</v>
      </c>
      <c r="BG580" t="s">
        <v>74</v>
      </c>
      <c r="BH580" t="s">
        <v>74</v>
      </c>
      <c r="BI580">
        <v>17</v>
      </c>
      <c r="BJ580" t="s">
        <v>1627</v>
      </c>
      <c r="BK580" t="s">
        <v>102</v>
      </c>
      <c r="BL580" t="s">
        <v>1628</v>
      </c>
      <c r="BM580" t="s">
        <v>10878</v>
      </c>
      <c r="BN580" t="s">
        <v>74</v>
      </c>
      <c r="BO580" t="s">
        <v>5838</v>
      </c>
      <c r="BP580" t="s">
        <v>74</v>
      </c>
      <c r="BQ580" t="s">
        <v>74</v>
      </c>
      <c r="BR580" t="s">
        <v>105</v>
      </c>
      <c r="BS580" t="s">
        <v>10879</v>
      </c>
      <c r="BT580" t="str">
        <f>HYPERLINK("https%3A%2F%2Fwww.webofscience.com%2Fwos%2Fwoscc%2Ffull-record%2FWOS:000321767200018","View Full Record in Web of Science")</f>
        <v>View Full Record in Web of Science</v>
      </c>
    </row>
    <row r="581" spans="1:72" x14ac:dyDescent="0.15">
      <c r="A581" t="s">
        <v>72</v>
      </c>
      <c r="B581" t="s">
        <v>10880</v>
      </c>
      <c r="C581" t="s">
        <v>74</v>
      </c>
      <c r="D581" t="s">
        <v>74</v>
      </c>
      <c r="E581" t="s">
        <v>74</v>
      </c>
      <c r="F581" t="s">
        <v>10881</v>
      </c>
      <c r="G581" t="s">
        <v>74</v>
      </c>
      <c r="H581" t="s">
        <v>74</v>
      </c>
      <c r="I581" t="s">
        <v>10882</v>
      </c>
      <c r="J581" t="s">
        <v>4521</v>
      </c>
      <c r="K581" t="s">
        <v>74</v>
      </c>
      <c r="L581" t="s">
        <v>74</v>
      </c>
      <c r="M581" t="s">
        <v>78</v>
      </c>
      <c r="N581" t="s">
        <v>79</v>
      </c>
      <c r="O581" t="s">
        <v>74</v>
      </c>
      <c r="P581" t="s">
        <v>74</v>
      </c>
      <c r="Q581" t="s">
        <v>74</v>
      </c>
      <c r="R581" t="s">
        <v>74</v>
      </c>
      <c r="S581" t="s">
        <v>74</v>
      </c>
      <c r="T581" t="s">
        <v>74</v>
      </c>
      <c r="U581" t="s">
        <v>10883</v>
      </c>
      <c r="V581" t="s">
        <v>10884</v>
      </c>
      <c r="W581" t="s">
        <v>10885</v>
      </c>
      <c r="X581" t="s">
        <v>10886</v>
      </c>
      <c r="Y581" t="s">
        <v>10887</v>
      </c>
      <c r="Z581" t="s">
        <v>10888</v>
      </c>
      <c r="AA581" t="s">
        <v>10889</v>
      </c>
      <c r="AB581" t="s">
        <v>10890</v>
      </c>
      <c r="AC581" t="s">
        <v>10891</v>
      </c>
      <c r="AD581" t="s">
        <v>10892</v>
      </c>
      <c r="AE581" t="s">
        <v>10893</v>
      </c>
      <c r="AF581" t="s">
        <v>74</v>
      </c>
      <c r="AG581">
        <v>73</v>
      </c>
      <c r="AH581">
        <v>42</v>
      </c>
      <c r="AI581">
        <v>44</v>
      </c>
      <c r="AJ581">
        <v>2</v>
      </c>
      <c r="AK581">
        <v>57</v>
      </c>
      <c r="AL581" t="s">
        <v>4248</v>
      </c>
      <c r="AM581" t="s">
        <v>4249</v>
      </c>
      <c r="AN581" t="s">
        <v>4250</v>
      </c>
      <c r="AO581" t="s">
        <v>4533</v>
      </c>
      <c r="AP581" t="s">
        <v>4534</v>
      </c>
      <c r="AQ581" t="s">
        <v>74</v>
      </c>
      <c r="AR581" t="s">
        <v>4535</v>
      </c>
      <c r="AS581" t="s">
        <v>4536</v>
      </c>
      <c r="AT581" t="s">
        <v>74</v>
      </c>
      <c r="AU581">
        <v>2013</v>
      </c>
      <c r="AV581">
        <v>13</v>
      </c>
      <c r="AW581">
        <v>13</v>
      </c>
      <c r="AX581" t="s">
        <v>74</v>
      </c>
      <c r="AY581" t="s">
        <v>74</v>
      </c>
      <c r="AZ581" t="s">
        <v>74</v>
      </c>
      <c r="BA581" t="s">
        <v>74</v>
      </c>
      <c r="BB581">
        <v>6623</v>
      </c>
      <c r="BC581">
        <v>6635</v>
      </c>
      <c r="BD581" t="s">
        <v>74</v>
      </c>
      <c r="BE581" t="s">
        <v>10894</v>
      </c>
      <c r="BF581" t="str">
        <f>HYPERLINK("http://dx.doi.org/10.5194/acp-13-6623-2013","http://dx.doi.org/10.5194/acp-13-6623-2013")</f>
        <v>http://dx.doi.org/10.5194/acp-13-6623-2013</v>
      </c>
      <c r="BG581" t="s">
        <v>74</v>
      </c>
      <c r="BH581" t="s">
        <v>74</v>
      </c>
      <c r="BI581">
        <v>13</v>
      </c>
      <c r="BJ581" t="s">
        <v>1627</v>
      </c>
      <c r="BK581" t="s">
        <v>102</v>
      </c>
      <c r="BL581" t="s">
        <v>1628</v>
      </c>
      <c r="BM581" t="s">
        <v>10878</v>
      </c>
      <c r="BN581" t="s">
        <v>74</v>
      </c>
      <c r="BO581" t="s">
        <v>4132</v>
      </c>
      <c r="BP581" t="s">
        <v>74</v>
      </c>
      <c r="BQ581" t="s">
        <v>74</v>
      </c>
      <c r="BR581" t="s">
        <v>105</v>
      </c>
      <c r="BS581" t="s">
        <v>10895</v>
      </c>
      <c r="BT581" t="str">
        <f>HYPERLINK("https%3A%2F%2Fwww.webofscience.com%2Fwos%2Fwoscc%2Ffull-record%2FWOS:000321767200034","View Full Record in Web of Science")</f>
        <v>View Full Record in Web of Science</v>
      </c>
    </row>
    <row r="582" spans="1:72" x14ac:dyDescent="0.15">
      <c r="A582" t="s">
        <v>72</v>
      </c>
      <c r="B582" t="s">
        <v>10896</v>
      </c>
      <c r="C582" t="s">
        <v>74</v>
      </c>
      <c r="D582" t="s">
        <v>74</v>
      </c>
      <c r="E582" t="s">
        <v>74</v>
      </c>
      <c r="F582" t="s">
        <v>10897</v>
      </c>
      <c r="G582" t="s">
        <v>74</v>
      </c>
      <c r="H582" t="s">
        <v>74</v>
      </c>
      <c r="I582" t="s">
        <v>10898</v>
      </c>
      <c r="J582" t="s">
        <v>4521</v>
      </c>
      <c r="K582" t="s">
        <v>74</v>
      </c>
      <c r="L582" t="s">
        <v>74</v>
      </c>
      <c r="M582" t="s">
        <v>78</v>
      </c>
      <c r="N582" t="s">
        <v>79</v>
      </c>
      <c r="O582" t="s">
        <v>74</v>
      </c>
      <c r="P582" t="s">
        <v>74</v>
      </c>
      <c r="Q582" t="s">
        <v>74</v>
      </c>
      <c r="R582" t="s">
        <v>74</v>
      </c>
      <c r="S582" t="s">
        <v>74</v>
      </c>
      <c r="T582" t="s">
        <v>74</v>
      </c>
      <c r="U582" t="s">
        <v>10899</v>
      </c>
      <c r="V582" t="s">
        <v>10900</v>
      </c>
      <c r="W582" t="s">
        <v>10901</v>
      </c>
      <c r="X582" t="s">
        <v>10902</v>
      </c>
      <c r="Y582" t="s">
        <v>10903</v>
      </c>
      <c r="Z582" t="s">
        <v>10904</v>
      </c>
      <c r="AA582" t="s">
        <v>10905</v>
      </c>
      <c r="AB582" t="s">
        <v>10906</v>
      </c>
      <c r="AC582" t="s">
        <v>10907</v>
      </c>
      <c r="AD582" t="s">
        <v>10907</v>
      </c>
      <c r="AE582" t="s">
        <v>10908</v>
      </c>
      <c r="AF582" t="s">
        <v>74</v>
      </c>
      <c r="AG582">
        <v>37</v>
      </c>
      <c r="AH582">
        <v>67</v>
      </c>
      <c r="AI582">
        <v>72</v>
      </c>
      <c r="AJ582">
        <v>4</v>
      </c>
      <c r="AK582">
        <v>105</v>
      </c>
      <c r="AL582" t="s">
        <v>4248</v>
      </c>
      <c r="AM582" t="s">
        <v>4249</v>
      </c>
      <c r="AN582" t="s">
        <v>4250</v>
      </c>
      <c r="AO582" t="s">
        <v>4533</v>
      </c>
      <c r="AP582" t="s">
        <v>4534</v>
      </c>
      <c r="AQ582" t="s">
        <v>74</v>
      </c>
      <c r="AR582" t="s">
        <v>4535</v>
      </c>
      <c r="AS582" t="s">
        <v>4536</v>
      </c>
      <c r="AT582" t="s">
        <v>74</v>
      </c>
      <c r="AU582">
        <v>2013</v>
      </c>
      <c r="AV582">
        <v>13</v>
      </c>
      <c r="AW582">
        <v>14</v>
      </c>
      <c r="AX582" t="s">
        <v>74</v>
      </c>
      <c r="AY582" t="s">
        <v>74</v>
      </c>
      <c r="AZ582" t="s">
        <v>74</v>
      </c>
      <c r="BA582" t="s">
        <v>74</v>
      </c>
      <c r="BB582">
        <v>6983</v>
      </c>
      <c r="BC582">
        <v>6992</v>
      </c>
      <c r="BD582" t="s">
        <v>74</v>
      </c>
      <c r="BE582" t="s">
        <v>10909</v>
      </c>
      <c r="BF582" t="str">
        <f>HYPERLINK("http://dx.doi.org/10.5194/acp-13-6983-2013","http://dx.doi.org/10.5194/acp-13-6983-2013")</f>
        <v>http://dx.doi.org/10.5194/acp-13-6983-2013</v>
      </c>
      <c r="BG582" t="s">
        <v>74</v>
      </c>
      <c r="BH582" t="s">
        <v>74</v>
      </c>
      <c r="BI582">
        <v>10</v>
      </c>
      <c r="BJ582" t="s">
        <v>1627</v>
      </c>
      <c r="BK582" t="s">
        <v>102</v>
      </c>
      <c r="BL582" t="s">
        <v>1628</v>
      </c>
      <c r="BM582" t="s">
        <v>10910</v>
      </c>
      <c r="BN582" t="s">
        <v>74</v>
      </c>
      <c r="BO582" t="s">
        <v>4605</v>
      </c>
      <c r="BP582" t="s">
        <v>74</v>
      </c>
      <c r="BQ582" t="s">
        <v>74</v>
      </c>
      <c r="BR582" t="s">
        <v>105</v>
      </c>
      <c r="BS582" t="s">
        <v>10911</v>
      </c>
      <c r="BT582" t="str">
        <f>HYPERLINK("https%3A%2F%2Fwww.webofscience.com%2Fwos%2Fwoscc%2Ffull-record%2FWOS:000322448300016","View Full Record in Web of Science")</f>
        <v>View Full Record in Web of Science</v>
      </c>
    </row>
    <row r="583" spans="1:72" x14ac:dyDescent="0.15">
      <c r="A583" t="s">
        <v>72</v>
      </c>
      <c r="B583" t="s">
        <v>10912</v>
      </c>
      <c r="C583" t="s">
        <v>74</v>
      </c>
      <c r="D583" t="s">
        <v>74</v>
      </c>
      <c r="E583" t="s">
        <v>74</v>
      </c>
      <c r="F583" t="s">
        <v>10913</v>
      </c>
      <c r="G583" t="s">
        <v>74</v>
      </c>
      <c r="H583" t="s">
        <v>74</v>
      </c>
      <c r="I583" t="s">
        <v>10914</v>
      </c>
      <c r="J583" t="s">
        <v>4521</v>
      </c>
      <c r="K583" t="s">
        <v>74</v>
      </c>
      <c r="L583" t="s">
        <v>74</v>
      </c>
      <c r="M583" t="s">
        <v>78</v>
      </c>
      <c r="N583" t="s">
        <v>79</v>
      </c>
      <c r="O583" t="s">
        <v>74</v>
      </c>
      <c r="P583" t="s">
        <v>74</v>
      </c>
      <c r="Q583" t="s">
        <v>74</v>
      </c>
      <c r="R583" t="s">
        <v>74</v>
      </c>
      <c r="S583" t="s">
        <v>74</v>
      </c>
      <c r="T583" t="s">
        <v>74</v>
      </c>
      <c r="U583" t="s">
        <v>10915</v>
      </c>
      <c r="V583" t="s">
        <v>10916</v>
      </c>
      <c r="W583" t="s">
        <v>10917</v>
      </c>
      <c r="X583" t="s">
        <v>10918</v>
      </c>
      <c r="Y583" t="s">
        <v>10919</v>
      </c>
      <c r="Z583" t="s">
        <v>10920</v>
      </c>
      <c r="AA583" t="s">
        <v>10921</v>
      </c>
      <c r="AB583" t="s">
        <v>10922</v>
      </c>
      <c r="AC583" t="s">
        <v>10923</v>
      </c>
      <c r="AD583" t="s">
        <v>10924</v>
      </c>
      <c r="AE583" t="s">
        <v>10925</v>
      </c>
      <c r="AF583" t="s">
        <v>74</v>
      </c>
      <c r="AG583">
        <v>36</v>
      </c>
      <c r="AH583">
        <v>15</v>
      </c>
      <c r="AI583">
        <v>16</v>
      </c>
      <c r="AJ583">
        <v>0</v>
      </c>
      <c r="AK583">
        <v>30</v>
      </c>
      <c r="AL583" t="s">
        <v>4248</v>
      </c>
      <c r="AM583" t="s">
        <v>4249</v>
      </c>
      <c r="AN583" t="s">
        <v>4250</v>
      </c>
      <c r="AO583" t="s">
        <v>4533</v>
      </c>
      <c r="AP583" t="s">
        <v>4534</v>
      </c>
      <c r="AQ583" t="s">
        <v>74</v>
      </c>
      <c r="AR583" t="s">
        <v>4535</v>
      </c>
      <c r="AS583" t="s">
        <v>4536</v>
      </c>
      <c r="AT583" t="s">
        <v>74</v>
      </c>
      <c r="AU583">
        <v>2013</v>
      </c>
      <c r="AV583">
        <v>13</v>
      </c>
      <c r="AW583">
        <v>14</v>
      </c>
      <c r="AX583" t="s">
        <v>74</v>
      </c>
      <c r="AY583" t="s">
        <v>74</v>
      </c>
      <c r="AZ583" t="s">
        <v>74</v>
      </c>
      <c r="BA583" t="s">
        <v>74</v>
      </c>
      <c r="BB583">
        <v>6993</v>
      </c>
      <c r="BC583">
        <v>7005</v>
      </c>
      <c r="BD583" t="s">
        <v>74</v>
      </c>
      <c r="BE583" t="s">
        <v>10926</v>
      </c>
      <c r="BF583" t="str">
        <f>HYPERLINK("http://dx.doi.org/10.5194/acp-13-6993-2013","http://dx.doi.org/10.5194/acp-13-6993-2013")</f>
        <v>http://dx.doi.org/10.5194/acp-13-6993-2013</v>
      </c>
      <c r="BG583" t="s">
        <v>74</v>
      </c>
      <c r="BH583" t="s">
        <v>74</v>
      </c>
      <c r="BI583">
        <v>13</v>
      </c>
      <c r="BJ583" t="s">
        <v>1627</v>
      </c>
      <c r="BK583" t="s">
        <v>102</v>
      </c>
      <c r="BL583" t="s">
        <v>1628</v>
      </c>
      <c r="BM583" t="s">
        <v>10910</v>
      </c>
      <c r="BN583" t="s">
        <v>74</v>
      </c>
      <c r="BO583" t="s">
        <v>3222</v>
      </c>
      <c r="BP583" t="s">
        <v>74</v>
      </c>
      <c r="BQ583" t="s">
        <v>74</v>
      </c>
      <c r="BR583" t="s">
        <v>105</v>
      </c>
      <c r="BS583" t="s">
        <v>10927</v>
      </c>
      <c r="BT583" t="str">
        <f>HYPERLINK("https%3A%2F%2Fwww.webofscience.com%2Fwos%2Fwoscc%2Ffull-record%2FWOS:000322448300017","View Full Record in Web of Science")</f>
        <v>View Full Record in Web of Science</v>
      </c>
    </row>
    <row r="584" spans="1:72" x14ac:dyDescent="0.15">
      <c r="A584" t="s">
        <v>72</v>
      </c>
      <c r="B584" t="s">
        <v>10928</v>
      </c>
      <c r="C584" t="s">
        <v>74</v>
      </c>
      <c r="D584" t="s">
        <v>74</v>
      </c>
      <c r="E584" t="s">
        <v>74</v>
      </c>
      <c r="F584" t="s">
        <v>10929</v>
      </c>
      <c r="G584" t="s">
        <v>74</v>
      </c>
      <c r="H584" t="s">
        <v>74</v>
      </c>
      <c r="I584" t="s">
        <v>10930</v>
      </c>
      <c r="J584" t="s">
        <v>4521</v>
      </c>
      <c r="K584" t="s">
        <v>74</v>
      </c>
      <c r="L584" t="s">
        <v>74</v>
      </c>
      <c r="M584" t="s">
        <v>78</v>
      </c>
      <c r="N584" t="s">
        <v>79</v>
      </c>
      <c r="O584" t="s">
        <v>74</v>
      </c>
      <c r="P584" t="s">
        <v>74</v>
      </c>
      <c r="Q584" t="s">
        <v>74</v>
      </c>
      <c r="R584" t="s">
        <v>74</v>
      </c>
      <c r="S584" t="s">
        <v>74</v>
      </c>
      <c r="T584" t="s">
        <v>74</v>
      </c>
      <c r="U584" t="s">
        <v>10931</v>
      </c>
      <c r="V584" t="s">
        <v>10932</v>
      </c>
      <c r="W584" t="s">
        <v>10933</v>
      </c>
      <c r="X584" t="s">
        <v>10934</v>
      </c>
      <c r="Y584" t="s">
        <v>10935</v>
      </c>
      <c r="Z584" t="s">
        <v>10936</v>
      </c>
      <c r="AA584" t="s">
        <v>10937</v>
      </c>
      <c r="AB584" t="s">
        <v>10938</v>
      </c>
      <c r="AC584" t="s">
        <v>10939</v>
      </c>
      <c r="AD584" t="s">
        <v>10940</v>
      </c>
      <c r="AE584" t="s">
        <v>10941</v>
      </c>
      <c r="AF584" t="s">
        <v>74</v>
      </c>
      <c r="AG584">
        <v>51</v>
      </c>
      <c r="AH584">
        <v>239</v>
      </c>
      <c r="AI584">
        <v>261</v>
      </c>
      <c r="AJ584">
        <v>9</v>
      </c>
      <c r="AK584">
        <v>129</v>
      </c>
      <c r="AL584" t="s">
        <v>4248</v>
      </c>
      <c r="AM584" t="s">
        <v>4249</v>
      </c>
      <c r="AN584" t="s">
        <v>4250</v>
      </c>
      <c r="AO584" t="s">
        <v>4533</v>
      </c>
      <c r="AP584" t="s">
        <v>4534</v>
      </c>
      <c r="AQ584" t="s">
        <v>74</v>
      </c>
      <c r="AR584" t="s">
        <v>4535</v>
      </c>
      <c r="AS584" t="s">
        <v>4536</v>
      </c>
      <c r="AT584" t="s">
        <v>74</v>
      </c>
      <c r="AU584">
        <v>2013</v>
      </c>
      <c r="AV584">
        <v>13</v>
      </c>
      <c r="AW584">
        <v>16</v>
      </c>
      <c r="AX584" t="s">
        <v>74</v>
      </c>
      <c r="AY584" t="s">
        <v>74</v>
      </c>
      <c r="AZ584" t="s">
        <v>74</v>
      </c>
      <c r="BA584" t="s">
        <v>74</v>
      </c>
      <c r="BB584">
        <v>7997</v>
      </c>
      <c r="BC584">
        <v>8018</v>
      </c>
      <c r="BD584" t="s">
        <v>74</v>
      </c>
      <c r="BE584" t="s">
        <v>10942</v>
      </c>
      <c r="BF584" t="str">
        <f>HYPERLINK("http://dx.doi.org/10.5194/acp-13-7997-2013","http://dx.doi.org/10.5194/acp-13-7997-2013")</f>
        <v>http://dx.doi.org/10.5194/acp-13-7997-2013</v>
      </c>
      <c r="BG584" t="s">
        <v>74</v>
      </c>
      <c r="BH584" t="s">
        <v>74</v>
      </c>
      <c r="BI584">
        <v>22</v>
      </c>
      <c r="BJ584" t="s">
        <v>1627</v>
      </c>
      <c r="BK584" t="s">
        <v>102</v>
      </c>
      <c r="BL584" t="s">
        <v>1628</v>
      </c>
      <c r="BM584" t="s">
        <v>10943</v>
      </c>
      <c r="BN584" t="s">
        <v>74</v>
      </c>
      <c r="BO584" t="s">
        <v>10944</v>
      </c>
      <c r="BP584" t="s">
        <v>74</v>
      </c>
      <c r="BQ584" t="s">
        <v>74</v>
      </c>
      <c r="BR584" t="s">
        <v>105</v>
      </c>
      <c r="BS584" t="s">
        <v>10945</v>
      </c>
      <c r="BT584" t="str">
        <f>HYPERLINK("https%3A%2F%2Fwww.webofscience.com%2Fwos%2Fwoscc%2Ffull-record%2FWOS:000323626500005","View Full Record in Web of Science")</f>
        <v>View Full Record in Web of Science</v>
      </c>
    </row>
    <row r="585" spans="1:72" x14ac:dyDescent="0.15">
      <c r="A585" t="s">
        <v>72</v>
      </c>
      <c r="B585" t="s">
        <v>10946</v>
      </c>
      <c r="C585" t="s">
        <v>74</v>
      </c>
      <c r="D585" t="s">
        <v>74</v>
      </c>
      <c r="E585" t="s">
        <v>74</v>
      </c>
      <c r="F585" t="s">
        <v>10947</v>
      </c>
      <c r="G585" t="s">
        <v>74</v>
      </c>
      <c r="H585" t="s">
        <v>74</v>
      </c>
      <c r="I585" t="s">
        <v>10948</v>
      </c>
      <c r="J585" t="s">
        <v>4521</v>
      </c>
      <c r="K585" t="s">
        <v>74</v>
      </c>
      <c r="L585" t="s">
        <v>74</v>
      </c>
      <c r="M585" t="s">
        <v>78</v>
      </c>
      <c r="N585" t="s">
        <v>79</v>
      </c>
      <c r="O585" t="s">
        <v>74</v>
      </c>
      <c r="P585" t="s">
        <v>74</v>
      </c>
      <c r="Q585" t="s">
        <v>74</v>
      </c>
      <c r="R585" t="s">
        <v>74</v>
      </c>
      <c r="S585" t="s">
        <v>74</v>
      </c>
      <c r="T585" t="s">
        <v>74</v>
      </c>
      <c r="U585" t="s">
        <v>10949</v>
      </c>
      <c r="V585" t="s">
        <v>10950</v>
      </c>
      <c r="W585" t="s">
        <v>10951</v>
      </c>
      <c r="X585" t="s">
        <v>10952</v>
      </c>
      <c r="Y585" t="s">
        <v>10953</v>
      </c>
      <c r="Z585" t="s">
        <v>10954</v>
      </c>
      <c r="AA585" t="s">
        <v>10955</v>
      </c>
      <c r="AB585" t="s">
        <v>10956</v>
      </c>
      <c r="AC585" t="s">
        <v>10957</v>
      </c>
      <c r="AD585" t="s">
        <v>10958</v>
      </c>
      <c r="AE585" t="s">
        <v>10959</v>
      </c>
      <c r="AF585" t="s">
        <v>74</v>
      </c>
      <c r="AG585">
        <v>94</v>
      </c>
      <c r="AH585">
        <v>65</v>
      </c>
      <c r="AI585">
        <v>76</v>
      </c>
      <c r="AJ585">
        <v>4</v>
      </c>
      <c r="AK585">
        <v>87</v>
      </c>
      <c r="AL585" t="s">
        <v>4248</v>
      </c>
      <c r="AM585" t="s">
        <v>4249</v>
      </c>
      <c r="AN585" t="s">
        <v>4250</v>
      </c>
      <c r="AO585" t="s">
        <v>4533</v>
      </c>
      <c r="AP585" t="s">
        <v>4534</v>
      </c>
      <c r="AQ585" t="s">
        <v>74</v>
      </c>
      <c r="AR585" t="s">
        <v>4535</v>
      </c>
      <c r="AS585" t="s">
        <v>4536</v>
      </c>
      <c r="AT585" t="s">
        <v>74</v>
      </c>
      <c r="AU585">
        <v>2013</v>
      </c>
      <c r="AV585">
        <v>13</v>
      </c>
      <c r="AW585">
        <v>17</v>
      </c>
      <c r="AX585" t="s">
        <v>74</v>
      </c>
      <c r="AY585" t="s">
        <v>74</v>
      </c>
      <c r="AZ585" t="s">
        <v>74</v>
      </c>
      <c r="BA585" t="s">
        <v>74</v>
      </c>
      <c r="BB585">
        <v>8669</v>
      </c>
      <c r="BC585">
        <v>8694</v>
      </c>
      <c r="BD585" t="s">
        <v>74</v>
      </c>
      <c r="BE585" t="s">
        <v>10960</v>
      </c>
      <c r="BF585" t="str">
        <f>HYPERLINK("http://dx.doi.org/10.5194/acp-13-8669-2013","http://dx.doi.org/10.5194/acp-13-8669-2013")</f>
        <v>http://dx.doi.org/10.5194/acp-13-8669-2013</v>
      </c>
      <c r="BG585" t="s">
        <v>74</v>
      </c>
      <c r="BH585" t="s">
        <v>74</v>
      </c>
      <c r="BI585">
        <v>26</v>
      </c>
      <c r="BJ585" t="s">
        <v>1627</v>
      </c>
      <c r="BK585" t="s">
        <v>102</v>
      </c>
      <c r="BL585" t="s">
        <v>1628</v>
      </c>
      <c r="BM585" t="s">
        <v>5969</v>
      </c>
      <c r="BN585" t="s">
        <v>74</v>
      </c>
      <c r="BO585" t="s">
        <v>5017</v>
      </c>
      <c r="BP585" t="s">
        <v>74</v>
      </c>
      <c r="BQ585" t="s">
        <v>74</v>
      </c>
      <c r="BR585" t="s">
        <v>105</v>
      </c>
      <c r="BS585" t="s">
        <v>10961</v>
      </c>
      <c r="BT585" t="str">
        <f>HYPERLINK("https%3A%2F%2Fwww.webofscience.com%2Fwos%2Fwoscc%2Ffull-record%2FWOS:000324400600010","View Full Record in Web of Science")</f>
        <v>View Full Record in Web of Science</v>
      </c>
    </row>
    <row r="586" spans="1:72" x14ac:dyDescent="0.15">
      <c r="A586" t="s">
        <v>72</v>
      </c>
      <c r="B586" t="s">
        <v>10962</v>
      </c>
      <c r="C586" t="s">
        <v>74</v>
      </c>
      <c r="D586" t="s">
        <v>74</v>
      </c>
      <c r="E586" t="s">
        <v>74</v>
      </c>
      <c r="F586" t="s">
        <v>10963</v>
      </c>
      <c r="G586" t="s">
        <v>74</v>
      </c>
      <c r="H586" t="s">
        <v>74</v>
      </c>
      <c r="I586" t="s">
        <v>10964</v>
      </c>
      <c r="J586" t="s">
        <v>4521</v>
      </c>
      <c r="K586" t="s">
        <v>74</v>
      </c>
      <c r="L586" t="s">
        <v>74</v>
      </c>
      <c r="M586" t="s">
        <v>78</v>
      </c>
      <c r="N586" t="s">
        <v>79</v>
      </c>
      <c r="O586" t="s">
        <v>74</v>
      </c>
      <c r="P586" t="s">
        <v>74</v>
      </c>
      <c r="Q586" t="s">
        <v>74</v>
      </c>
      <c r="R586" t="s">
        <v>74</v>
      </c>
      <c r="S586" t="s">
        <v>74</v>
      </c>
      <c r="T586" t="s">
        <v>74</v>
      </c>
      <c r="U586" t="s">
        <v>10965</v>
      </c>
      <c r="V586" t="s">
        <v>10966</v>
      </c>
      <c r="W586" t="s">
        <v>10967</v>
      </c>
      <c r="X586" t="s">
        <v>10968</v>
      </c>
      <c r="Y586" t="s">
        <v>10969</v>
      </c>
      <c r="Z586" t="s">
        <v>10970</v>
      </c>
      <c r="AA586" t="s">
        <v>10971</v>
      </c>
      <c r="AB586" t="s">
        <v>10972</v>
      </c>
      <c r="AC586" t="s">
        <v>10973</v>
      </c>
      <c r="AD586" t="s">
        <v>10974</v>
      </c>
      <c r="AE586" t="s">
        <v>10975</v>
      </c>
      <c r="AF586" t="s">
        <v>74</v>
      </c>
      <c r="AG586">
        <v>81</v>
      </c>
      <c r="AH586">
        <v>12</v>
      </c>
      <c r="AI586">
        <v>15</v>
      </c>
      <c r="AJ586">
        <v>3</v>
      </c>
      <c r="AK586">
        <v>25</v>
      </c>
      <c r="AL586" t="s">
        <v>4248</v>
      </c>
      <c r="AM586" t="s">
        <v>4249</v>
      </c>
      <c r="AN586" t="s">
        <v>4250</v>
      </c>
      <c r="AO586" t="s">
        <v>4533</v>
      </c>
      <c r="AP586" t="s">
        <v>4534</v>
      </c>
      <c r="AQ586" t="s">
        <v>74</v>
      </c>
      <c r="AR586" t="s">
        <v>4535</v>
      </c>
      <c r="AS586" t="s">
        <v>4536</v>
      </c>
      <c r="AT586" t="s">
        <v>74</v>
      </c>
      <c r="AU586">
        <v>2013</v>
      </c>
      <c r="AV586">
        <v>13</v>
      </c>
      <c r="AW586">
        <v>17</v>
      </c>
      <c r="AX586" t="s">
        <v>74</v>
      </c>
      <c r="AY586" t="s">
        <v>74</v>
      </c>
      <c r="AZ586" t="s">
        <v>74</v>
      </c>
      <c r="BA586" t="s">
        <v>74</v>
      </c>
      <c r="BB586">
        <v>8857</v>
      </c>
      <c r="BC586">
        <v>8877</v>
      </c>
      <c r="BD586" t="s">
        <v>74</v>
      </c>
      <c r="BE586" t="s">
        <v>10976</v>
      </c>
      <c r="BF586" t="str">
        <f>HYPERLINK("http://dx.doi.org/10.5194/acp-13-8857-2013","http://dx.doi.org/10.5194/acp-13-8857-2013")</f>
        <v>http://dx.doi.org/10.5194/acp-13-8857-2013</v>
      </c>
      <c r="BG586" t="s">
        <v>74</v>
      </c>
      <c r="BH586" t="s">
        <v>74</v>
      </c>
      <c r="BI586">
        <v>21</v>
      </c>
      <c r="BJ586" t="s">
        <v>1627</v>
      </c>
      <c r="BK586" t="s">
        <v>102</v>
      </c>
      <c r="BL586" t="s">
        <v>1628</v>
      </c>
      <c r="BM586" t="s">
        <v>5969</v>
      </c>
      <c r="BN586" t="s">
        <v>74</v>
      </c>
      <c r="BO586" t="s">
        <v>5017</v>
      </c>
      <c r="BP586" t="s">
        <v>74</v>
      </c>
      <c r="BQ586" t="s">
        <v>74</v>
      </c>
      <c r="BR586" t="s">
        <v>105</v>
      </c>
      <c r="BS586" t="s">
        <v>10977</v>
      </c>
      <c r="BT586" t="str">
        <f>HYPERLINK("https%3A%2F%2Fwww.webofscience.com%2Fwos%2Fwoscc%2Ffull-record%2FWOS:000324400600021","View Full Record in Web of Science")</f>
        <v>View Full Record in Web of Science</v>
      </c>
    </row>
    <row r="587" spans="1:72" x14ac:dyDescent="0.15">
      <c r="A587" t="s">
        <v>72</v>
      </c>
      <c r="B587" t="s">
        <v>10978</v>
      </c>
      <c r="C587" t="s">
        <v>74</v>
      </c>
      <c r="D587" t="s">
        <v>74</v>
      </c>
      <c r="E587" t="s">
        <v>74</v>
      </c>
      <c r="F587" t="s">
        <v>10979</v>
      </c>
      <c r="G587" t="s">
        <v>74</v>
      </c>
      <c r="H587" t="s">
        <v>74</v>
      </c>
      <c r="I587" t="s">
        <v>10980</v>
      </c>
      <c r="J587" t="s">
        <v>4521</v>
      </c>
      <c r="K587" t="s">
        <v>74</v>
      </c>
      <c r="L587" t="s">
        <v>74</v>
      </c>
      <c r="M587" t="s">
        <v>78</v>
      </c>
      <c r="N587" t="s">
        <v>79</v>
      </c>
      <c r="O587" t="s">
        <v>74</v>
      </c>
      <c r="P587" t="s">
        <v>74</v>
      </c>
      <c r="Q587" t="s">
        <v>74</v>
      </c>
      <c r="R587" t="s">
        <v>74</v>
      </c>
      <c r="S587" t="s">
        <v>74</v>
      </c>
      <c r="T587" t="s">
        <v>74</v>
      </c>
      <c r="U587" t="s">
        <v>10981</v>
      </c>
      <c r="V587" t="s">
        <v>10982</v>
      </c>
      <c r="W587" t="s">
        <v>10983</v>
      </c>
      <c r="X587" t="s">
        <v>10984</v>
      </c>
      <c r="Y587" t="s">
        <v>10985</v>
      </c>
      <c r="Z587" t="s">
        <v>10986</v>
      </c>
      <c r="AA587" t="s">
        <v>10987</v>
      </c>
      <c r="AB587" t="s">
        <v>10988</v>
      </c>
      <c r="AC587" t="s">
        <v>10989</v>
      </c>
      <c r="AD587" t="s">
        <v>10990</v>
      </c>
      <c r="AE587" t="s">
        <v>10991</v>
      </c>
      <c r="AF587" t="s">
        <v>74</v>
      </c>
      <c r="AG587">
        <v>85</v>
      </c>
      <c r="AH587">
        <v>101</v>
      </c>
      <c r="AI587">
        <v>104</v>
      </c>
      <c r="AJ587">
        <v>6</v>
      </c>
      <c r="AK587">
        <v>134</v>
      </c>
      <c r="AL587" t="s">
        <v>4248</v>
      </c>
      <c r="AM587" t="s">
        <v>4249</v>
      </c>
      <c r="AN587" t="s">
        <v>4250</v>
      </c>
      <c r="AO587" t="s">
        <v>4533</v>
      </c>
      <c r="AP587" t="s">
        <v>4534</v>
      </c>
      <c r="AQ587" t="s">
        <v>74</v>
      </c>
      <c r="AR587" t="s">
        <v>4535</v>
      </c>
      <c r="AS587" t="s">
        <v>4536</v>
      </c>
      <c r="AT587" t="s">
        <v>74</v>
      </c>
      <c r="AU587">
        <v>2013</v>
      </c>
      <c r="AV587">
        <v>13</v>
      </c>
      <c r="AW587">
        <v>17</v>
      </c>
      <c r="AX587" t="s">
        <v>74</v>
      </c>
      <c r="AY587" t="s">
        <v>74</v>
      </c>
      <c r="AZ587" t="s">
        <v>74</v>
      </c>
      <c r="BA587" t="s">
        <v>74</v>
      </c>
      <c r="BB587">
        <v>8915</v>
      </c>
      <c r="BC587">
        <v>8934</v>
      </c>
      <c r="BD587" t="s">
        <v>74</v>
      </c>
      <c r="BE587" t="s">
        <v>10992</v>
      </c>
      <c r="BF587" t="str">
        <f>HYPERLINK("http://dx.doi.org/10.5194/acp-13-8915-2013","http://dx.doi.org/10.5194/acp-13-8915-2013")</f>
        <v>http://dx.doi.org/10.5194/acp-13-8915-2013</v>
      </c>
      <c r="BG587" t="s">
        <v>74</v>
      </c>
      <c r="BH587" t="s">
        <v>74</v>
      </c>
      <c r="BI587">
        <v>20</v>
      </c>
      <c r="BJ587" t="s">
        <v>1627</v>
      </c>
      <c r="BK587" t="s">
        <v>102</v>
      </c>
      <c r="BL587" t="s">
        <v>1628</v>
      </c>
      <c r="BM587" t="s">
        <v>5969</v>
      </c>
      <c r="BN587" t="s">
        <v>74</v>
      </c>
      <c r="BO587" t="s">
        <v>5017</v>
      </c>
      <c r="BP587" t="s">
        <v>74</v>
      </c>
      <c r="BQ587" t="s">
        <v>74</v>
      </c>
      <c r="BR587" t="s">
        <v>105</v>
      </c>
      <c r="BS587" t="s">
        <v>10993</v>
      </c>
      <c r="BT587" t="str">
        <f>HYPERLINK("https%3A%2F%2Fwww.webofscience.com%2Fwos%2Fwoscc%2Ffull-record%2FWOS:000324400600023","View Full Record in Web of Science")</f>
        <v>View Full Record in Web of Science</v>
      </c>
    </row>
    <row r="588" spans="1:72" x14ac:dyDescent="0.15">
      <c r="A588" t="s">
        <v>72</v>
      </c>
      <c r="B588" t="s">
        <v>10994</v>
      </c>
      <c r="C588" t="s">
        <v>74</v>
      </c>
      <c r="D588" t="s">
        <v>74</v>
      </c>
      <c r="E588" t="s">
        <v>74</v>
      </c>
      <c r="F588" t="s">
        <v>10995</v>
      </c>
      <c r="G588" t="s">
        <v>74</v>
      </c>
      <c r="H588" t="s">
        <v>74</v>
      </c>
      <c r="I588" t="s">
        <v>10996</v>
      </c>
      <c r="J588" t="s">
        <v>4521</v>
      </c>
      <c r="K588" t="s">
        <v>74</v>
      </c>
      <c r="L588" t="s">
        <v>74</v>
      </c>
      <c r="M588" t="s">
        <v>78</v>
      </c>
      <c r="N588" t="s">
        <v>79</v>
      </c>
      <c r="O588" t="s">
        <v>74</v>
      </c>
      <c r="P588" t="s">
        <v>74</v>
      </c>
      <c r="Q588" t="s">
        <v>74</v>
      </c>
      <c r="R588" t="s">
        <v>74</v>
      </c>
      <c r="S588" t="s">
        <v>74</v>
      </c>
      <c r="T588" t="s">
        <v>74</v>
      </c>
      <c r="U588" t="s">
        <v>10997</v>
      </c>
      <c r="V588" t="s">
        <v>10998</v>
      </c>
      <c r="W588" t="s">
        <v>10999</v>
      </c>
      <c r="X588" t="s">
        <v>11000</v>
      </c>
      <c r="Y588" t="s">
        <v>11001</v>
      </c>
      <c r="Z588" t="s">
        <v>11002</v>
      </c>
      <c r="AA588" t="s">
        <v>11003</v>
      </c>
      <c r="AB588" t="s">
        <v>11004</v>
      </c>
      <c r="AC588" t="s">
        <v>11005</v>
      </c>
      <c r="AD588" t="s">
        <v>11006</v>
      </c>
      <c r="AE588" t="s">
        <v>11007</v>
      </c>
      <c r="AF588" t="s">
        <v>74</v>
      </c>
      <c r="AG588">
        <v>226</v>
      </c>
      <c r="AH588">
        <v>61</v>
      </c>
      <c r="AI588">
        <v>62</v>
      </c>
      <c r="AJ588">
        <v>0</v>
      </c>
      <c r="AK588">
        <v>50</v>
      </c>
      <c r="AL588" t="s">
        <v>4248</v>
      </c>
      <c r="AM588" t="s">
        <v>4249</v>
      </c>
      <c r="AN588" t="s">
        <v>4250</v>
      </c>
      <c r="AO588" t="s">
        <v>4533</v>
      </c>
      <c r="AP588" t="s">
        <v>4534</v>
      </c>
      <c r="AQ588" t="s">
        <v>74</v>
      </c>
      <c r="AR588" t="s">
        <v>4535</v>
      </c>
      <c r="AS588" t="s">
        <v>4536</v>
      </c>
      <c r="AT588" t="s">
        <v>74</v>
      </c>
      <c r="AU588">
        <v>2013</v>
      </c>
      <c r="AV588">
        <v>13</v>
      </c>
      <c r="AW588">
        <v>18</v>
      </c>
      <c r="AX588" t="s">
        <v>74</v>
      </c>
      <c r="AY588" t="s">
        <v>74</v>
      </c>
      <c r="AZ588" t="s">
        <v>74</v>
      </c>
      <c r="BA588" t="s">
        <v>74</v>
      </c>
      <c r="BB588">
        <v>9233</v>
      </c>
      <c r="BC588">
        <v>9268</v>
      </c>
      <c r="BD588" t="s">
        <v>74</v>
      </c>
      <c r="BE588" t="s">
        <v>11008</v>
      </c>
      <c r="BF588" t="str">
        <f>HYPERLINK("http://dx.doi.org/10.5194/acp-13-9233-2013","http://dx.doi.org/10.5194/acp-13-9233-2013")</f>
        <v>http://dx.doi.org/10.5194/acp-13-9233-2013</v>
      </c>
      <c r="BG588" t="s">
        <v>74</v>
      </c>
      <c r="BH588" t="s">
        <v>74</v>
      </c>
      <c r="BI588">
        <v>36</v>
      </c>
      <c r="BJ588" t="s">
        <v>1627</v>
      </c>
      <c r="BK588" t="s">
        <v>102</v>
      </c>
      <c r="BL588" t="s">
        <v>1628</v>
      </c>
      <c r="BM588" t="s">
        <v>11009</v>
      </c>
      <c r="BN588" t="s">
        <v>74</v>
      </c>
      <c r="BO588" t="s">
        <v>11010</v>
      </c>
      <c r="BP588" t="s">
        <v>74</v>
      </c>
      <c r="BQ588" t="s">
        <v>74</v>
      </c>
      <c r="BR588" t="s">
        <v>105</v>
      </c>
      <c r="BS588" t="s">
        <v>11011</v>
      </c>
      <c r="BT588" t="str">
        <f>HYPERLINK("https%3A%2F%2Fwww.webofscience.com%2Fwos%2Fwoscc%2Ffull-record%2FWOS:000325283800009","View Full Record in Web of Science")</f>
        <v>View Full Record in Web of Science</v>
      </c>
    </row>
    <row r="589" spans="1:72" x14ac:dyDescent="0.15">
      <c r="A589" t="s">
        <v>72</v>
      </c>
      <c r="B589" t="s">
        <v>11012</v>
      </c>
      <c r="C589" t="s">
        <v>74</v>
      </c>
      <c r="D589" t="s">
        <v>74</v>
      </c>
      <c r="E589" t="s">
        <v>74</v>
      </c>
      <c r="F589" t="s">
        <v>11013</v>
      </c>
      <c r="G589" t="s">
        <v>74</v>
      </c>
      <c r="H589" t="s">
        <v>74</v>
      </c>
      <c r="I589" t="s">
        <v>11014</v>
      </c>
      <c r="J589" t="s">
        <v>4521</v>
      </c>
      <c r="K589" t="s">
        <v>74</v>
      </c>
      <c r="L589" t="s">
        <v>74</v>
      </c>
      <c r="M589" t="s">
        <v>78</v>
      </c>
      <c r="N589" t="s">
        <v>79</v>
      </c>
      <c r="O589" t="s">
        <v>74</v>
      </c>
      <c r="P589" t="s">
        <v>74</v>
      </c>
      <c r="Q589" t="s">
        <v>74</v>
      </c>
      <c r="R589" t="s">
        <v>74</v>
      </c>
      <c r="S589" t="s">
        <v>74</v>
      </c>
      <c r="T589" t="s">
        <v>74</v>
      </c>
      <c r="U589" t="s">
        <v>11015</v>
      </c>
      <c r="V589" t="s">
        <v>11016</v>
      </c>
      <c r="W589" t="s">
        <v>11017</v>
      </c>
      <c r="X589" t="s">
        <v>11018</v>
      </c>
      <c r="Y589" t="s">
        <v>11019</v>
      </c>
      <c r="Z589" t="s">
        <v>11020</v>
      </c>
      <c r="AA589" t="s">
        <v>11021</v>
      </c>
      <c r="AB589" t="s">
        <v>11022</v>
      </c>
      <c r="AC589" t="s">
        <v>11023</v>
      </c>
      <c r="AD589" t="s">
        <v>11024</v>
      </c>
      <c r="AE589" t="s">
        <v>11025</v>
      </c>
      <c r="AF589" t="s">
        <v>74</v>
      </c>
      <c r="AG589">
        <v>41</v>
      </c>
      <c r="AH589">
        <v>26</v>
      </c>
      <c r="AI589">
        <v>26</v>
      </c>
      <c r="AJ589">
        <v>0</v>
      </c>
      <c r="AK589">
        <v>61</v>
      </c>
      <c r="AL589" t="s">
        <v>4248</v>
      </c>
      <c r="AM589" t="s">
        <v>4249</v>
      </c>
      <c r="AN589" t="s">
        <v>4250</v>
      </c>
      <c r="AO589" t="s">
        <v>4533</v>
      </c>
      <c r="AP589" t="s">
        <v>4534</v>
      </c>
      <c r="AQ589" t="s">
        <v>74</v>
      </c>
      <c r="AR589" t="s">
        <v>4535</v>
      </c>
      <c r="AS589" t="s">
        <v>4536</v>
      </c>
      <c r="AT589" t="s">
        <v>74</v>
      </c>
      <c r="AU589">
        <v>2013</v>
      </c>
      <c r="AV589">
        <v>13</v>
      </c>
      <c r="AW589">
        <v>19</v>
      </c>
      <c r="AX589" t="s">
        <v>74</v>
      </c>
      <c r="AY589" t="s">
        <v>74</v>
      </c>
      <c r="AZ589" t="s">
        <v>74</v>
      </c>
      <c r="BA589" t="s">
        <v>74</v>
      </c>
      <c r="BB589">
        <v>9975</v>
      </c>
      <c r="BC589">
        <v>9996</v>
      </c>
      <c r="BD589" t="s">
        <v>74</v>
      </c>
      <c r="BE589" t="s">
        <v>11026</v>
      </c>
      <c r="BF589" t="str">
        <f>HYPERLINK("http://dx.doi.org/10.5194/acp-13-9975-2013","http://dx.doi.org/10.5194/acp-13-9975-2013")</f>
        <v>http://dx.doi.org/10.5194/acp-13-9975-2013</v>
      </c>
      <c r="BG589" t="s">
        <v>74</v>
      </c>
      <c r="BH589" t="s">
        <v>74</v>
      </c>
      <c r="BI589">
        <v>22</v>
      </c>
      <c r="BJ589" t="s">
        <v>1627</v>
      </c>
      <c r="BK589" t="s">
        <v>102</v>
      </c>
      <c r="BL589" t="s">
        <v>1628</v>
      </c>
      <c r="BM589" t="s">
        <v>11027</v>
      </c>
      <c r="BN589" t="s">
        <v>74</v>
      </c>
      <c r="BO589" t="s">
        <v>4132</v>
      </c>
      <c r="BP589" t="s">
        <v>74</v>
      </c>
      <c r="BQ589" t="s">
        <v>74</v>
      </c>
      <c r="BR589" t="s">
        <v>105</v>
      </c>
      <c r="BS589" t="s">
        <v>11028</v>
      </c>
      <c r="BT589" t="str">
        <f>HYPERLINK("https%3A%2F%2Fwww.webofscience.com%2Fwos%2Fwoscc%2Ffull-record%2FWOS:000325654900018","View Full Record in Web of Science")</f>
        <v>View Full Record in Web of Science</v>
      </c>
    </row>
    <row r="590" spans="1:72" x14ac:dyDescent="0.15">
      <c r="A590" t="s">
        <v>72</v>
      </c>
      <c r="B590" t="s">
        <v>11029</v>
      </c>
      <c r="C590" t="s">
        <v>74</v>
      </c>
      <c r="D590" t="s">
        <v>74</v>
      </c>
      <c r="E590" t="s">
        <v>74</v>
      </c>
      <c r="F590" t="s">
        <v>11030</v>
      </c>
      <c r="G590" t="s">
        <v>74</v>
      </c>
      <c r="H590" t="s">
        <v>74</v>
      </c>
      <c r="I590" t="s">
        <v>11031</v>
      </c>
      <c r="J590" t="s">
        <v>4521</v>
      </c>
      <c r="K590" t="s">
        <v>74</v>
      </c>
      <c r="L590" t="s">
        <v>74</v>
      </c>
      <c r="M590" t="s">
        <v>78</v>
      </c>
      <c r="N590" t="s">
        <v>79</v>
      </c>
      <c r="O590" t="s">
        <v>74</v>
      </c>
      <c r="P590" t="s">
        <v>74</v>
      </c>
      <c r="Q590" t="s">
        <v>74</v>
      </c>
      <c r="R590" t="s">
        <v>74</v>
      </c>
      <c r="S590" t="s">
        <v>74</v>
      </c>
      <c r="T590" t="s">
        <v>74</v>
      </c>
      <c r="U590" t="s">
        <v>11032</v>
      </c>
      <c r="V590" t="s">
        <v>11033</v>
      </c>
      <c r="W590" t="s">
        <v>11034</v>
      </c>
      <c r="X590" t="s">
        <v>11035</v>
      </c>
      <c r="Y590" t="s">
        <v>11036</v>
      </c>
      <c r="Z590" t="s">
        <v>11037</v>
      </c>
      <c r="AA590" t="s">
        <v>11038</v>
      </c>
      <c r="AB590" t="s">
        <v>11039</v>
      </c>
      <c r="AC590" t="s">
        <v>11040</v>
      </c>
      <c r="AD590" t="s">
        <v>11041</v>
      </c>
      <c r="AE590" t="s">
        <v>11042</v>
      </c>
      <c r="AF590" t="s">
        <v>74</v>
      </c>
      <c r="AG590">
        <v>60</v>
      </c>
      <c r="AH590">
        <v>23</v>
      </c>
      <c r="AI590">
        <v>23</v>
      </c>
      <c r="AJ590">
        <v>0</v>
      </c>
      <c r="AK590">
        <v>28</v>
      </c>
      <c r="AL590" t="s">
        <v>4248</v>
      </c>
      <c r="AM590" t="s">
        <v>4249</v>
      </c>
      <c r="AN590" t="s">
        <v>4250</v>
      </c>
      <c r="AO590" t="s">
        <v>4533</v>
      </c>
      <c r="AP590" t="s">
        <v>4534</v>
      </c>
      <c r="AQ590" t="s">
        <v>74</v>
      </c>
      <c r="AR590" t="s">
        <v>4535</v>
      </c>
      <c r="AS590" t="s">
        <v>4536</v>
      </c>
      <c r="AT590" t="s">
        <v>74</v>
      </c>
      <c r="AU590">
        <v>2013</v>
      </c>
      <c r="AV590">
        <v>13</v>
      </c>
      <c r="AW590">
        <v>20</v>
      </c>
      <c r="AX590" t="s">
        <v>74</v>
      </c>
      <c r="AY590" t="s">
        <v>74</v>
      </c>
      <c r="AZ590" t="s">
        <v>74</v>
      </c>
      <c r="BA590" t="s">
        <v>74</v>
      </c>
      <c r="BB590">
        <v>10405</v>
      </c>
      <c r="BC590">
        <v>10423</v>
      </c>
      <c r="BD590" t="s">
        <v>74</v>
      </c>
      <c r="BE590" t="s">
        <v>11043</v>
      </c>
      <c r="BF590" t="str">
        <f>HYPERLINK("http://dx.doi.org/10.5194/acp-13-10405-2013","http://dx.doi.org/10.5194/acp-13-10405-2013")</f>
        <v>http://dx.doi.org/10.5194/acp-13-10405-2013</v>
      </c>
      <c r="BG590" t="s">
        <v>74</v>
      </c>
      <c r="BH590" t="s">
        <v>74</v>
      </c>
      <c r="BI590">
        <v>19</v>
      </c>
      <c r="BJ590" t="s">
        <v>1627</v>
      </c>
      <c r="BK590" t="s">
        <v>102</v>
      </c>
      <c r="BL590" t="s">
        <v>1628</v>
      </c>
      <c r="BM590" t="s">
        <v>11044</v>
      </c>
      <c r="BN590" t="s">
        <v>74</v>
      </c>
      <c r="BO590" t="s">
        <v>2359</v>
      </c>
      <c r="BP590" t="s">
        <v>74</v>
      </c>
      <c r="BQ590" t="s">
        <v>74</v>
      </c>
      <c r="BR590" t="s">
        <v>105</v>
      </c>
      <c r="BS590" t="s">
        <v>11045</v>
      </c>
      <c r="BT590" t="str">
        <f>HYPERLINK("https%3A%2F%2Fwww.webofscience.com%2Fwos%2Fwoscc%2Ffull-record%2FWOS:000326545100017","View Full Record in Web of Science")</f>
        <v>View Full Record in Web of Science</v>
      </c>
    </row>
    <row r="591" spans="1:72" x14ac:dyDescent="0.15">
      <c r="A591" t="s">
        <v>72</v>
      </c>
      <c r="B591" t="s">
        <v>11046</v>
      </c>
      <c r="C591" t="s">
        <v>74</v>
      </c>
      <c r="D591" t="s">
        <v>74</v>
      </c>
      <c r="E591" t="s">
        <v>74</v>
      </c>
      <c r="F591" t="s">
        <v>11047</v>
      </c>
      <c r="G591" t="s">
        <v>74</v>
      </c>
      <c r="H591" t="s">
        <v>74</v>
      </c>
      <c r="I591" t="s">
        <v>11048</v>
      </c>
      <c r="J591" t="s">
        <v>5821</v>
      </c>
      <c r="K591" t="s">
        <v>74</v>
      </c>
      <c r="L591" t="s">
        <v>74</v>
      </c>
      <c r="M591" t="s">
        <v>78</v>
      </c>
      <c r="N591" t="s">
        <v>79</v>
      </c>
      <c r="O591" t="s">
        <v>74</v>
      </c>
      <c r="P591" t="s">
        <v>74</v>
      </c>
      <c r="Q591" t="s">
        <v>74</v>
      </c>
      <c r="R591" t="s">
        <v>74</v>
      </c>
      <c r="S591" t="s">
        <v>74</v>
      </c>
      <c r="T591" t="s">
        <v>74</v>
      </c>
      <c r="U591" t="s">
        <v>11049</v>
      </c>
      <c r="V591" t="s">
        <v>11050</v>
      </c>
      <c r="W591" t="s">
        <v>11051</v>
      </c>
      <c r="X591" t="s">
        <v>11052</v>
      </c>
      <c r="Y591" t="s">
        <v>11053</v>
      </c>
      <c r="Z591" t="s">
        <v>11054</v>
      </c>
      <c r="AA591" t="s">
        <v>11055</v>
      </c>
      <c r="AB591" t="s">
        <v>11056</v>
      </c>
      <c r="AC591" t="s">
        <v>11057</v>
      </c>
      <c r="AD591" t="s">
        <v>11058</v>
      </c>
      <c r="AE591" t="s">
        <v>11059</v>
      </c>
      <c r="AF591" t="s">
        <v>74</v>
      </c>
      <c r="AG591">
        <v>70</v>
      </c>
      <c r="AH591">
        <v>19</v>
      </c>
      <c r="AI591">
        <v>19</v>
      </c>
      <c r="AJ591">
        <v>0</v>
      </c>
      <c r="AK591">
        <v>32</v>
      </c>
      <c r="AL591" t="s">
        <v>4248</v>
      </c>
      <c r="AM591" t="s">
        <v>4249</v>
      </c>
      <c r="AN591" t="s">
        <v>4250</v>
      </c>
      <c r="AO591" t="s">
        <v>5833</v>
      </c>
      <c r="AP591" t="s">
        <v>5834</v>
      </c>
      <c r="AQ591" t="s">
        <v>74</v>
      </c>
      <c r="AR591" t="s">
        <v>5821</v>
      </c>
      <c r="AS591" t="s">
        <v>5835</v>
      </c>
      <c r="AT591" t="s">
        <v>74</v>
      </c>
      <c r="AU591">
        <v>2013</v>
      </c>
      <c r="AV591">
        <v>10</v>
      </c>
      <c r="AW591">
        <v>1</v>
      </c>
      <c r="AX591" t="s">
        <v>74</v>
      </c>
      <c r="AY591" t="s">
        <v>74</v>
      </c>
      <c r="AZ591" t="s">
        <v>74</v>
      </c>
      <c r="BA591" t="s">
        <v>74</v>
      </c>
      <c r="BB591">
        <v>281</v>
      </c>
      <c r="BC591">
        <v>295</v>
      </c>
      <c r="BD591" t="s">
        <v>74</v>
      </c>
      <c r="BE591" t="s">
        <v>11060</v>
      </c>
      <c r="BF591" t="str">
        <f>HYPERLINK("http://dx.doi.org/10.5194/bg-10-281-2013","http://dx.doi.org/10.5194/bg-10-281-2013")</f>
        <v>http://dx.doi.org/10.5194/bg-10-281-2013</v>
      </c>
      <c r="BG591" t="s">
        <v>74</v>
      </c>
      <c r="BH591" t="s">
        <v>74</v>
      </c>
      <c r="BI591">
        <v>15</v>
      </c>
      <c r="BJ591" t="s">
        <v>4835</v>
      </c>
      <c r="BK591" t="s">
        <v>102</v>
      </c>
      <c r="BL591" t="s">
        <v>4836</v>
      </c>
      <c r="BM591" t="s">
        <v>9007</v>
      </c>
      <c r="BN591" t="s">
        <v>74</v>
      </c>
      <c r="BO591" t="s">
        <v>11061</v>
      </c>
      <c r="BP591" t="s">
        <v>74</v>
      </c>
      <c r="BQ591" t="s">
        <v>74</v>
      </c>
      <c r="BR591" t="s">
        <v>105</v>
      </c>
      <c r="BS591" t="s">
        <v>11062</v>
      </c>
      <c r="BT591" t="str">
        <f>HYPERLINK("https%3A%2F%2Fwww.webofscience.com%2Fwos%2Fwoscc%2Ffull-record%2FWOS:000314173700019","View Full Record in Web of Science")</f>
        <v>View Full Record in Web of Science</v>
      </c>
    </row>
    <row r="592" spans="1:72" x14ac:dyDescent="0.15">
      <c r="A592" t="s">
        <v>72</v>
      </c>
      <c r="B592" t="s">
        <v>11063</v>
      </c>
      <c r="C592" t="s">
        <v>74</v>
      </c>
      <c r="D592" t="s">
        <v>74</v>
      </c>
      <c r="E592" t="s">
        <v>74</v>
      </c>
      <c r="F592" t="s">
        <v>11064</v>
      </c>
      <c r="G592" t="s">
        <v>74</v>
      </c>
      <c r="H592" t="s">
        <v>74</v>
      </c>
      <c r="I592" t="s">
        <v>11065</v>
      </c>
      <c r="J592" t="s">
        <v>5821</v>
      </c>
      <c r="K592" t="s">
        <v>74</v>
      </c>
      <c r="L592" t="s">
        <v>74</v>
      </c>
      <c r="M592" t="s">
        <v>78</v>
      </c>
      <c r="N592" t="s">
        <v>79</v>
      </c>
      <c r="O592" t="s">
        <v>74</v>
      </c>
      <c r="P592" t="s">
        <v>74</v>
      </c>
      <c r="Q592" t="s">
        <v>74</v>
      </c>
      <c r="R592" t="s">
        <v>74</v>
      </c>
      <c r="S592" t="s">
        <v>74</v>
      </c>
      <c r="T592" t="s">
        <v>74</v>
      </c>
      <c r="U592" t="s">
        <v>11066</v>
      </c>
      <c r="V592" t="s">
        <v>11067</v>
      </c>
      <c r="W592" t="s">
        <v>11068</v>
      </c>
      <c r="X592" t="s">
        <v>11069</v>
      </c>
      <c r="Y592" t="s">
        <v>11070</v>
      </c>
      <c r="Z592" t="s">
        <v>11071</v>
      </c>
      <c r="AA592" t="s">
        <v>11072</v>
      </c>
      <c r="AB592" t="s">
        <v>11073</v>
      </c>
      <c r="AC592" t="s">
        <v>11074</v>
      </c>
      <c r="AD592" t="s">
        <v>11075</v>
      </c>
      <c r="AE592" t="s">
        <v>11076</v>
      </c>
      <c r="AF592" t="s">
        <v>74</v>
      </c>
      <c r="AG592">
        <v>67</v>
      </c>
      <c r="AH592">
        <v>34</v>
      </c>
      <c r="AI592">
        <v>38</v>
      </c>
      <c r="AJ592">
        <v>6</v>
      </c>
      <c r="AK592">
        <v>40</v>
      </c>
      <c r="AL592" t="s">
        <v>4248</v>
      </c>
      <c r="AM592" t="s">
        <v>4249</v>
      </c>
      <c r="AN592" t="s">
        <v>4250</v>
      </c>
      <c r="AO592" t="s">
        <v>5833</v>
      </c>
      <c r="AP592" t="s">
        <v>5834</v>
      </c>
      <c r="AQ592" t="s">
        <v>74</v>
      </c>
      <c r="AR592" t="s">
        <v>5821</v>
      </c>
      <c r="AS592" t="s">
        <v>5835</v>
      </c>
      <c r="AT592" t="s">
        <v>74</v>
      </c>
      <c r="AU592">
        <v>2013</v>
      </c>
      <c r="AV592">
        <v>10</v>
      </c>
      <c r="AW592">
        <v>3</v>
      </c>
      <c r="AX592" t="s">
        <v>74</v>
      </c>
      <c r="AY592" t="s">
        <v>74</v>
      </c>
      <c r="AZ592" t="s">
        <v>74</v>
      </c>
      <c r="BA592" t="s">
        <v>74</v>
      </c>
      <c r="BB592">
        <v>1337</v>
      </c>
      <c r="BC592">
        <v>1349</v>
      </c>
      <c r="BD592" t="s">
        <v>74</v>
      </c>
      <c r="BE592" t="s">
        <v>11077</v>
      </c>
      <c r="BF592" t="str">
        <f>HYPERLINK("http://dx.doi.org/10.5194/bg-10-1337-2013","http://dx.doi.org/10.5194/bg-10-1337-2013")</f>
        <v>http://dx.doi.org/10.5194/bg-10-1337-2013</v>
      </c>
      <c r="BG592" t="s">
        <v>74</v>
      </c>
      <c r="BH592" t="s">
        <v>74</v>
      </c>
      <c r="BI592">
        <v>13</v>
      </c>
      <c r="BJ592" t="s">
        <v>4835</v>
      </c>
      <c r="BK592" t="s">
        <v>102</v>
      </c>
      <c r="BL592" t="s">
        <v>4836</v>
      </c>
      <c r="BM592" t="s">
        <v>7752</v>
      </c>
      <c r="BN592" t="s">
        <v>74</v>
      </c>
      <c r="BO592" t="s">
        <v>4132</v>
      </c>
      <c r="BP592" t="s">
        <v>74</v>
      </c>
      <c r="BQ592" t="s">
        <v>74</v>
      </c>
      <c r="BR592" t="s">
        <v>105</v>
      </c>
      <c r="BS592" t="s">
        <v>11078</v>
      </c>
      <c r="BT592" t="str">
        <f>HYPERLINK("https%3A%2F%2Fwww.webofscience.com%2Fwos%2Fwoscc%2Ffull-record%2FWOS:000317010600008","View Full Record in Web of Science")</f>
        <v>View Full Record in Web of Science</v>
      </c>
    </row>
    <row r="593" spans="1:72" x14ac:dyDescent="0.15">
      <c r="A593" t="s">
        <v>72</v>
      </c>
      <c r="B593" t="s">
        <v>11079</v>
      </c>
      <c r="C593" t="s">
        <v>74</v>
      </c>
      <c r="D593" t="s">
        <v>74</v>
      </c>
      <c r="E593" t="s">
        <v>74</v>
      </c>
      <c r="F593" t="s">
        <v>11080</v>
      </c>
      <c r="G593" t="s">
        <v>74</v>
      </c>
      <c r="H593" t="s">
        <v>74</v>
      </c>
      <c r="I593" t="s">
        <v>11081</v>
      </c>
      <c r="J593" t="s">
        <v>5821</v>
      </c>
      <c r="K593" t="s">
        <v>74</v>
      </c>
      <c r="L593" t="s">
        <v>74</v>
      </c>
      <c r="M593" t="s">
        <v>78</v>
      </c>
      <c r="N593" t="s">
        <v>79</v>
      </c>
      <c r="O593" t="s">
        <v>74</v>
      </c>
      <c r="P593" t="s">
        <v>74</v>
      </c>
      <c r="Q593" t="s">
        <v>74</v>
      </c>
      <c r="R593" t="s">
        <v>74</v>
      </c>
      <c r="S593" t="s">
        <v>74</v>
      </c>
      <c r="T593" t="s">
        <v>74</v>
      </c>
      <c r="U593" t="s">
        <v>11082</v>
      </c>
      <c r="V593" t="s">
        <v>11083</v>
      </c>
      <c r="W593" t="s">
        <v>11084</v>
      </c>
      <c r="X593" t="s">
        <v>11085</v>
      </c>
      <c r="Y593" t="s">
        <v>11086</v>
      </c>
      <c r="Z593" t="s">
        <v>11087</v>
      </c>
      <c r="AA593" t="s">
        <v>11088</v>
      </c>
      <c r="AB593" t="s">
        <v>11089</v>
      </c>
      <c r="AC593" t="s">
        <v>74</v>
      </c>
      <c r="AD593" t="s">
        <v>74</v>
      </c>
      <c r="AE593" t="s">
        <v>74</v>
      </c>
      <c r="AF593" t="s">
        <v>74</v>
      </c>
      <c r="AG593">
        <v>124</v>
      </c>
      <c r="AH593">
        <v>255</v>
      </c>
      <c r="AI593">
        <v>284</v>
      </c>
      <c r="AJ593">
        <v>12</v>
      </c>
      <c r="AK593">
        <v>400</v>
      </c>
      <c r="AL593" t="s">
        <v>4248</v>
      </c>
      <c r="AM593" t="s">
        <v>4249</v>
      </c>
      <c r="AN593" t="s">
        <v>4250</v>
      </c>
      <c r="AO593" t="s">
        <v>5833</v>
      </c>
      <c r="AP593" t="s">
        <v>5834</v>
      </c>
      <c r="AQ593" t="s">
        <v>74</v>
      </c>
      <c r="AR593" t="s">
        <v>5821</v>
      </c>
      <c r="AS593" t="s">
        <v>5835</v>
      </c>
      <c r="AT593" t="s">
        <v>74</v>
      </c>
      <c r="AU593">
        <v>2013</v>
      </c>
      <c r="AV593">
        <v>10</v>
      </c>
      <c r="AW593">
        <v>3</v>
      </c>
      <c r="AX593" t="s">
        <v>74</v>
      </c>
      <c r="AY593" t="s">
        <v>74</v>
      </c>
      <c r="AZ593" t="s">
        <v>74</v>
      </c>
      <c r="BA593" t="s">
        <v>74</v>
      </c>
      <c r="BB593">
        <v>1583</v>
      </c>
      <c r="BC593">
        <v>1624</v>
      </c>
      <c r="BD593" t="s">
        <v>74</v>
      </c>
      <c r="BE593" t="s">
        <v>11090</v>
      </c>
      <c r="BF593" t="str">
        <f>HYPERLINK("http://dx.doi.org/10.5194/bg-10-1583-2013","http://dx.doi.org/10.5194/bg-10-1583-2013")</f>
        <v>http://dx.doi.org/10.5194/bg-10-1583-2013</v>
      </c>
      <c r="BG593" t="s">
        <v>74</v>
      </c>
      <c r="BH593" t="s">
        <v>74</v>
      </c>
      <c r="BI593">
        <v>42</v>
      </c>
      <c r="BJ593" t="s">
        <v>4835</v>
      </c>
      <c r="BK593" t="s">
        <v>102</v>
      </c>
      <c r="BL593" t="s">
        <v>4836</v>
      </c>
      <c r="BM593" t="s">
        <v>7752</v>
      </c>
      <c r="BN593" t="s">
        <v>74</v>
      </c>
      <c r="BO593" t="s">
        <v>4621</v>
      </c>
      <c r="BP593" t="s">
        <v>74</v>
      </c>
      <c r="BQ593" t="s">
        <v>74</v>
      </c>
      <c r="BR593" t="s">
        <v>105</v>
      </c>
      <c r="BS593" t="s">
        <v>11091</v>
      </c>
      <c r="BT593" t="str">
        <f>HYPERLINK("https%3A%2F%2Fwww.webofscience.com%2Fwos%2Fwoscc%2Ffull-record%2FWOS:000317010600024","View Full Record in Web of Science")</f>
        <v>View Full Record in Web of Science</v>
      </c>
    </row>
    <row r="594" spans="1:72" x14ac:dyDescent="0.15">
      <c r="A594" t="s">
        <v>72</v>
      </c>
      <c r="B594" t="s">
        <v>11092</v>
      </c>
      <c r="C594" t="s">
        <v>74</v>
      </c>
      <c r="D594" t="s">
        <v>74</v>
      </c>
      <c r="E594" t="s">
        <v>74</v>
      </c>
      <c r="F594" t="s">
        <v>11093</v>
      </c>
      <c r="G594" t="s">
        <v>74</v>
      </c>
      <c r="H594" t="s">
        <v>74</v>
      </c>
      <c r="I594" t="s">
        <v>11094</v>
      </c>
      <c r="J594" t="s">
        <v>5821</v>
      </c>
      <c r="K594" t="s">
        <v>74</v>
      </c>
      <c r="L594" t="s">
        <v>74</v>
      </c>
      <c r="M594" t="s">
        <v>78</v>
      </c>
      <c r="N594" t="s">
        <v>79</v>
      </c>
      <c r="O594" t="s">
        <v>74</v>
      </c>
      <c r="P594" t="s">
        <v>74</v>
      </c>
      <c r="Q594" t="s">
        <v>74</v>
      </c>
      <c r="R594" t="s">
        <v>74</v>
      </c>
      <c r="S594" t="s">
        <v>74</v>
      </c>
      <c r="T594" t="s">
        <v>74</v>
      </c>
      <c r="U594" t="s">
        <v>11095</v>
      </c>
      <c r="V594" t="s">
        <v>11096</v>
      </c>
      <c r="W594" t="s">
        <v>11097</v>
      </c>
      <c r="X594" t="s">
        <v>11098</v>
      </c>
      <c r="Y594" t="s">
        <v>11099</v>
      </c>
      <c r="Z594" t="s">
        <v>11100</v>
      </c>
      <c r="AA594" t="s">
        <v>11101</v>
      </c>
      <c r="AB594" t="s">
        <v>11102</v>
      </c>
      <c r="AC594" t="s">
        <v>11103</v>
      </c>
      <c r="AD594" t="s">
        <v>11104</v>
      </c>
      <c r="AE594" t="s">
        <v>11105</v>
      </c>
      <c r="AF594" t="s">
        <v>74</v>
      </c>
      <c r="AG594">
        <v>102</v>
      </c>
      <c r="AH594">
        <v>132</v>
      </c>
      <c r="AI594">
        <v>144</v>
      </c>
      <c r="AJ594">
        <v>4</v>
      </c>
      <c r="AK594">
        <v>98</v>
      </c>
      <c r="AL594" t="s">
        <v>4248</v>
      </c>
      <c r="AM594" t="s">
        <v>4249</v>
      </c>
      <c r="AN594" t="s">
        <v>4250</v>
      </c>
      <c r="AO594" t="s">
        <v>5833</v>
      </c>
      <c r="AP594" t="s">
        <v>5834</v>
      </c>
      <c r="AQ594" t="s">
        <v>74</v>
      </c>
      <c r="AR594" t="s">
        <v>5821</v>
      </c>
      <c r="AS594" t="s">
        <v>5835</v>
      </c>
      <c r="AT594" t="s">
        <v>74</v>
      </c>
      <c r="AU594">
        <v>2013</v>
      </c>
      <c r="AV594">
        <v>10</v>
      </c>
      <c r="AW594">
        <v>3</v>
      </c>
      <c r="AX594" t="s">
        <v>74</v>
      </c>
      <c r="AY594" t="s">
        <v>74</v>
      </c>
      <c r="AZ594" t="s">
        <v>74</v>
      </c>
      <c r="BA594" t="s">
        <v>74</v>
      </c>
      <c r="BB594">
        <v>2105</v>
      </c>
      <c r="BC594">
        <v>2128</v>
      </c>
      <c r="BD594" t="s">
        <v>74</v>
      </c>
      <c r="BE594" t="s">
        <v>11106</v>
      </c>
      <c r="BF594" t="str">
        <f>HYPERLINK("http://dx.doi.org/10.5194/bg-10-2105-2013","http://dx.doi.org/10.5194/bg-10-2105-2013")</f>
        <v>http://dx.doi.org/10.5194/bg-10-2105-2013</v>
      </c>
      <c r="BG594" t="s">
        <v>74</v>
      </c>
      <c r="BH594" t="s">
        <v>74</v>
      </c>
      <c r="BI594">
        <v>24</v>
      </c>
      <c r="BJ594" t="s">
        <v>4835</v>
      </c>
      <c r="BK594" t="s">
        <v>102</v>
      </c>
      <c r="BL594" t="s">
        <v>4836</v>
      </c>
      <c r="BM594" t="s">
        <v>7752</v>
      </c>
      <c r="BN594" t="s">
        <v>74</v>
      </c>
      <c r="BO594" t="s">
        <v>4132</v>
      </c>
      <c r="BP594" t="s">
        <v>74</v>
      </c>
      <c r="BQ594" t="s">
        <v>74</v>
      </c>
      <c r="BR594" t="s">
        <v>105</v>
      </c>
      <c r="BS594" t="s">
        <v>11107</v>
      </c>
      <c r="BT594" t="str">
        <f>HYPERLINK("https%3A%2F%2Fwww.webofscience.com%2Fwos%2Fwoscc%2Ffull-record%2FWOS:000317010600055","View Full Record in Web of Science")</f>
        <v>View Full Record in Web of Science</v>
      </c>
    </row>
    <row r="595" spans="1:72" x14ac:dyDescent="0.15">
      <c r="A595" t="s">
        <v>72</v>
      </c>
      <c r="B595" t="s">
        <v>11108</v>
      </c>
      <c r="C595" t="s">
        <v>74</v>
      </c>
      <c r="D595" t="s">
        <v>74</v>
      </c>
      <c r="E595" t="s">
        <v>74</v>
      </c>
      <c r="F595" t="s">
        <v>11109</v>
      </c>
      <c r="G595" t="s">
        <v>74</v>
      </c>
      <c r="H595" t="s">
        <v>74</v>
      </c>
      <c r="I595" t="s">
        <v>11110</v>
      </c>
      <c r="J595" t="s">
        <v>5821</v>
      </c>
      <c r="K595" t="s">
        <v>74</v>
      </c>
      <c r="L595" t="s">
        <v>74</v>
      </c>
      <c r="M595" t="s">
        <v>78</v>
      </c>
      <c r="N595" t="s">
        <v>79</v>
      </c>
      <c r="O595" t="s">
        <v>74</v>
      </c>
      <c r="P595" t="s">
        <v>74</v>
      </c>
      <c r="Q595" t="s">
        <v>74</v>
      </c>
      <c r="R595" t="s">
        <v>74</v>
      </c>
      <c r="S595" t="s">
        <v>74</v>
      </c>
      <c r="T595" t="s">
        <v>74</v>
      </c>
      <c r="U595" t="s">
        <v>11111</v>
      </c>
      <c r="V595" t="s">
        <v>11112</v>
      </c>
      <c r="W595" t="s">
        <v>11113</v>
      </c>
      <c r="X595" t="s">
        <v>11114</v>
      </c>
      <c r="Y595" t="s">
        <v>11115</v>
      </c>
      <c r="Z595" t="s">
        <v>11116</v>
      </c>
      <c r="AA595" t="s">
        <v>11117</v>
      </c>
      <c r="AB595" t="s">
        <v>11118</v>
      </c>
      <c r="AC595" t="s">
        <v>11119</v>
      </c>
      <c r="AD595" t="s">
        <v>11120</v>
      </c>
      <c r="AE595" t="s">
        <v>11121</v>
      </c>
      <c r="AF595" t="s">
        <v>74</v>
      </c>
      <c r="AG595">
        <v>90</v>
      </c>
      <c r="AH595">
        <v>31</v>
      </c>
      <c r="AI595">
        <v>38</v>
      </c>
      <c r="AJ595">
        <v>0</v>
      </c>
      <c r="AK595">
        <v>34</v>
      </c>
      <c r="AL595" t="s">
        <v>4248</v>
      </c>
      <c r="AM595" t="s">
        <v>4249</v>
      </c>
      <c r="AN595" t="s">
        <v>4250</v>
      </c>
      <c r="AO595" t="s">
        <v>5833</v>
      </c>
      <c r="AP595" t="s">
        <v>5834</v>
      </c>
      <c r="AQ595" t="s">
        <v>74</v>
      </c>
      <c r="AR595" t="s">
        <v>5821</v>
      </c>
      <c r="AS595" t="s">
        <v>5835</v>
      </c>
      <c r="AT595" t="s">
        <v>74</v>
      </c>
      <c r="AU595">
        <v>2013</v>
      </c>
      <c r="AV595">
        <v>10</v>
      </c>
      <c r="AW595">
        <v>4</v>
      </c>
      <c r="AX595" t="s">
        <v>74</v>
      </c>
      <c r="AY595" t="s">
        <v>74</v>
      </c>
      <c r="AZ595" t="s">
        <v>74</v>
      </c>
      <c r="BA595" t="s">
        <v>74</v>
      </c>
      <c r="BB595">
        <v>2273</v>
      </c>
      <c r="BC595">
        <v>2291</v>
      </c>
      <c r="BD595" t="s">
        <v>74</v>
      </c>
      <c r="BE595" t="s">
        <v>11122</v>
      </c>
      <c r="BF595" t="str">
        <f>HYPERLINK("http://dx.doi.org/10.5194/bg-10-2273-2013","http://dx.doi.org/10.5194/bg-10-2273-2013")</f>
        <v>http://dx.doi.org/10.5194/bg-10-2273-2013</v>
      </c>
      <c r="BG595" t="s">
        <v>74</v>
      </c>
      <c r="BH595" t="s">
        <v>74</v>
      </c>
      <c r="BI595">
        <v>19</v>
      </c>
      <c r="BJ595" t="s">
        <v>4835</v>
      </c>
      <c r="BK595" t="s">
        <v>102</v>
      </c>
      <c r="BL595" t="s">
        <v>4836</v>
      </c>
      <c r="BM595" t="s">
        <v>11123</v>
      </c>
      <c r="BN595" t="s">
        <v>74</v>
      </c>
      <c r="BO595" t="s">
        <v>10762</v>
      </c>
      <c r="BP595" t="s">
        <v>74</v>
      </c>
      <c r="BQ595" t="s">
        <v>74</v>
      </c>
      <c r="BR595" t="s">
        <v>105</v>
      </c>
      <c r="BS595" t="s">
        <v>11124</v>
      </c>
      <c r="BT595" t="str">
        <f>HYPERLINK("https%3A%2F%2Fwww.webofscience.com%2Fwos%2Fwoscc%2Ffull-record%2FWOS:000318434200007","View Full Record in Web of Science")</f>
        <v>View Full Record in Web of Science</v>
      </c>
    </row>
    <row r="596" spans="1:72" x14ac:dyDescent="0.15">
      <c r="A596" t="s">
        <v>72</v>
      </c>
      <c r="B596" t="s">
        <v>11125</v>
      </c>
      <c r="C596" t="s">
        <v>74</v>
      </c>
      <c r="D596" t="s">
        <v>74</v>
      </c>
      <c r="E596" t="s">
        <v>74</v>
      </c>
      <c r="F596" t="s">
        <v>11126</v>
      </c>
      <c r="G596" t="s">
        <v>74</v>
      </c>
      <c r="H596" t="s">
        <v>74</v>
      </c>
      <c r="I596" t="s">
        <v>11127</v>
      </c>
      <c r="J596" t="s">
        <v>5821</v>
      </c>
      <c r="K596" t="s">
        <v>74</v>
      </c>
      <c r="L596" t="s">
        <v>74</v>
      </c>
      <c r="M596" t="s">
        <v>78</v>
      </c>
      <c r="N596" t="s">
        <v>79</v>
      </c>
      <c r="O596" t="s">
        <v>74</v>
      </c>
      <c r="P596" t="s">
        <v>74</v>
      </c>
      <c r="Q596" t="s">
        <v>74</v>
      </c>
      <c r="R596" t="s">
        <v>74</v>
      </c>
      <c r="S596" t="s">
        <v>74</v>
      </c>
      <c r="T596" t="s">
        <v>74</v>
      </c>
      <c r="U596" t="s">
        <v>11128</v>
      </c>
      <c r="V596" t="s">
        <v>11129</v>
      </c>
      <c r="W596" t="s">
        <v>11130</v>
      </c>
      <c r="X596" t="s">
        <v>11131</v>
      </c>
      <c r="Y596" t="s">
        <v>11132</v>
      </c>
      <c r="Z596" t="s">
        <v>11133</v>
      </c>
      <c r="AA596" t="s">
        <v>74</v>
      </c>
      <c r="AB596" t="s">
        <v>11134</v>
      </c>
      <c r="AC596" t="s">
        <v>11135</v>
      </c>
      <c r="AD596" t="s">
        <v>11136</v>
      </c>
      <c r="AE596" t="s">
        <v>11137</v>
      </c>
      <c r="AF596" t="s">
        <v>74</v>
      </c>
      <c r="AG596">
        <v>40</v>
      </c>
      <c r="AH596">
        <v>22</v>
      </c>
      <c r="AI596">
        <v>25</v>
      </c>
      <c r="AJ596">
        <v>0</v>
      </c>
      <c r="AK596">
        <v>60</v>
      </c>
      <c r="AL596" t="s">
        <v>4248</v>
      </c>
      <c r="AM596" t="s">
        <v>4249</v>
      </c>
      <c r="AN596" t="s">
        <v>4250</v>
      </c>
      <c r="AO596" t="s">
        <v>5833</v>
      </c>
      <c r="AP596" t="s">
        <v>5834</v>
      </c>
      <c r="AQ596" t="s">
        <v>74</v>
      </c>
      <c r="AR596" t="s">
        <v>5821</v>
      </c>
      <c r="AS596" t="s">
        <v>5835</v>
      </c>
      <c r="AT596" t="s">
        <v>74</v>
      </c>
      <c r="AU596">
        <v>2013</v>
      </c>
      <c r="AV596">
        <v>10</v>
      </c>
      <c r="AW596">
        <v>6</v>
      </c>
      <c r="AX596" t="s">
        <v>74</v>
      </c>
      <c r="AY596" t="s">
        <v>74</v>
      </c>
      <c r="AZ596" t="s">
        <v>74</v>
      </c>
      <c r="BA596" t="s">
        <v>74</v>
      </c>
      <c r="BB596">
        <v>3679</v>
      </c>
      <c r="BC596">
        <v>3689</v>
      </c>
      <c r="BD596" t="s">
        <v>74</v>
      </c>
      <c r="BE596" t="s">
        <v>11138</v>
      </c>
      <c r="BF596" t="str">
        <f>HYPERLINK("http://dx.doi.org/10.5194/bg-10-3679-2013","http://dx.doi.org/10.5194/bg-10-3679-2013")</f>
        <v>http://dx.doi.org/10.5194/bg-10-3679-2013</v>
      </c>
      <c r="BG596" t="s">
        <v>74</v>
      </c>
      <c r="BH596" t="s">
        <v>74</v>
      </c>
      <c r="BI596">
        <v>11</v>
      </c>
      <c r="BJ596" t="s">
        <v>4835</v>
      </c>
      <c r="BK596" t="s">
        <v>102</v>
      </c>
      <c r="BL596" t="s">
        <v>4836</v>
      </c>
      <c r="BM596" t="s">
        <v>11139</v>
      </c>
      <c r="BN596" t="s">
        <v>74</v>
      </c>
      <c r="BO596" t="s">
        <v>10762</v>
      </c>
      <c r="BP596" t="s">
        <v>74</v>
      </c>
      <c r="BQ596" t="s">
        <v>74</v>
      </c>
      <c r="BR596" t="s">
        <v>105</v>
      </c>
      <c r="BS596" t="s">
        <v>11140</v>
      </c>
      <c r="BT596" t="str">
        <f>HYPERLINK("https%3A%2F%2Fwww.webofscience.com%2Fwos%2Fwoscc%2Ffull-record%2FWOS:000321122700016","View Full Record in Web of Science")</f>
        <v>View Full Record in Web of Science</v>
      </c>
    </row>
    <row r="597" spans="1:72" x14ac:dyDescent="0.15">
      <c r="A597" t="s">
        <v>72</v>
      </c>
      <c r="B597" t="s">
        <v>11141</v>
      </c>
      <c r="C597" t="s">
        <v>74</v>
      </c>
      <c r="D597" t="s">
        <v>74</v>
      </c>
      <c r="E597" t="s">
        <v>74</v>
      </c>
      <c r="F597" t="s">
        <v>11142</v>
      </c>
      <c r="G597" t="s">
        <v>74</v>
      </c>
      <c r="H597" t="s">
        <v>74</v>
      </c>
      <c r="I597" t="s">
        <v>11143</v>
      </c>
      <c r="J597" t="s">
        <v>5821</v>
      </c>
      <c r="K597" t="s">
        <v>74</v>
      </c>
      <c r="L597" t="s">
        <v>74</v>
      </c>
      <c r="M597" t="s">
        <v>78</v>
      </c>
      <c r="N597" t="s">
        <v>79</v>
      </c>
      <c r="O597" t="s">
        <v>74</v>
      </c>
      <c r="P597" t="s">
        <v>74</v>
      </c>
      <c r="Q597" t="s">
        <v>74</v>
      </c>
      <c r="R597" t="s">
        <v>74</v>
      </c>
      <c r="S597" t="s">
        <v>74</v>
      </c>
      <c r="T597" t="s">
        <v>74</v>
      </c>
      <c r="U597" t="s">
        <v>11144</v>
      </c>
      <c r="V597" t="s">
        <v>11145</v>
      </c>
      <c r="W597" t="s">
        <v>11146</v>
      </c>
      <c r="X597" t="s">
        <v>11147</v>
      </c>
      <c r="Y597" t="s">
        <v>11148</v>
      </c>
      <c r="Z597" t="s">
        <v>11149</v>
      </c>
      <c r="AA597" t="s">
        <v>11150</v>
      </c>
      <c r="AB597" t="s">
        <v>11151</v>
      </c>
      <c r="AC597" t="s">
        <v>11152</v>
      </c>
      <c r="AD597" t="s">
        <v>11153</v>
      </c>
      <c r="AE597" t="s">
        <v>11154</v>
      </c>
      <c r="AF597" t="s">
        <v>74</v>
      </c>
      <c r="AG597">
        <v>81</v>
      </c>
      <c r="AH597">
        <v>154</v>
      </c>
      <c r="AI597">
        <v>162</v>
      </c>
      <c r="AJ597">
        <v>1</v>
      </c>
      <c r="AK597">
        <v>93</v>
      </c>
      <c r="AL597" t="s">
        <v>4248</v>
      </c>
      <c r="AM597" t="s">
        <v>4249</v>
      </c>
      <c r="AN597" t="s">
        <v>4250</v>
      </c>
      <c r="AO597" t="s">
        <v>5833</v>
      </c>
      <c r="AP597" t="s">
        <v>5834</v>
      </c>
      <c r="AQ597" t="s">
        <v>74</v>
      </c>
      <c r="AR597" t="s">
        <v>5821</v>
      </c>
      <c r="AS597" t="s">
        <v>5835</v>
      </c>
      <c r="AT597" t="s">
        <v>74</v>
      </c>
      <c r="AU597">
        <v>2013</v>
      </c>
      <c r="AV597">
        <v>10</v>
      </c>
      <c r="AW597">
        <v>6</v>
      </c>
      <c r="AX597" t="s">
        <v>74</v>
      </c>
      <c r="AY597" t="s">
        <v>74</v>
      </c>
      <c r="AZ597" t="s">
        <v>74</v>
      </c>
      <c r="BA597" t="s">
        <v>74</v>
      </c>
      <c r="BB597">
        <v>4037</v>
      </c>
      <c r="BC597">
        <v>4054</v>
      </c>
      <c r="BD597" t="s">
        <v>74</v>
      </c>
      <c r="BE597" t="s">
        <v>11155</v>
      </c>
      <c r="BF597" t="str">
        <f>HYPERLINK("http://dx.doi.org/10.5194/bg-10-4037-2013","http://dx.doi.org/10.5194/bg-10-4037-2013")</f>
        <v>http://dx.doi.org/10.5194/bg-10-4037-2013</v>
      </c>
      <c r="BG597" t="s">
        <v>74</v>
      </c>
      <c r="BH597" t="s">
        <v>74</v>
      </c>
      <c r="BI597">
        <v>18</v>
      </c>
      <c r="BJ597" t="s">
        <v>4835</v>
      </c>
      <c r="BK597" t="s">
        <v>102</v>
      </c>
      <c r="BL597" t="s">
        <v>4836</v>
      </c>
      <c r="BM597" t="s">
        <v>11139</v>
      </c>
      <c r="BN597" t="s">
        <v>74</v>
      </c>
      <c r="BO597" t="s">
        <v>5838</v>
      </c>
      <c r="BP597" t="s">
        <v>74</v>
      </c>
      <c r="BQ597" t="s">
        <v>74</v>
      </c>
      <c r="BR597" t="s">
        <v>105</v>
      </c>
      <c r="BS597" t="s">
        <v>11156</v>
      </c>
      <c r="BT597" t="str">
        <f>HYPERLINK("https%3A%2F%2Fwww.webofscience.com%2Fwos%2Fwoscc%2Ffull-record%2FWOS:000321122700038","View Full Record in Web of Science")</f>
        <v>View Full Record in Web of Science</v>
      </c>
    </row>
    <row r="598" spans="1:72" x14ac:dyDescent="0.15">
      <c r="A598" t="s">
        <v>72</v>
      </c>
      <c r="B598" t="s">
        <v>11157</v>
      </c>
      <c r="C598" t="s">
        <v>74</v>
      </c>
      <c r="D598" t="s">
        <v>74</v>
      </c>
      <c r="E598" t="s">
        <v>74</v>
      </c>
      <c r="F598" t="s">
        <v>11158</v>
      </c>
      <c r="G598" t="s">
        <v>74</v>
      </c>
      <c r="H598" t="s">
        <v>74</v>
      </c>
      <c r="I598" t="s">
        <v>11159</v>
      </c>
      <c r="J598" t="s">
        <v>5821</v>
      </c>
      <c r="K598" t="s">
        <v>74</v>
      </c>
      <c r="L598" t="s">
        <v>74</v>
      </c>
      <c r="M598" t="s">
        <v>78</v>
      </c>
      <c r="N598" t="s">
        <v>79</v>
      </c>
      <c r="O598" t="s">
        <v>74</v>
      </c>
      <c r="P598" t="s">
        <v>74</v>
      </c>
      <c r="Q598" t="s">
        <v>74</v>
      </c>
      <c r="R598" t="s">
        <v>74</v>
      </c>
      <c r="S598" t="s">
        <v>74</v>
      </c>
      <c r="T598" t="s">
        <v>74</v>
      </c>
      <c r="U598" t="s">
        <v>11160</v>
      </c>
      <c r="V598" t="s">
        <v>11161</v>
      </c>
      <c r="W598" t="s">
        <v>11162</v>
      </c>
      <c r="X598" t="s">
        <v>11163</v>
      </c>
      <c r="Y598" t="s">
        <v>11164</v>
      </c>
      <c r="Z598" t="s">
        <v>11165</v>
      </c>
      <c r="AA598" t="s">
        <v>11166</v>
      </c>
      <c r="AB598" t="s">
        <v>11167</v>
      </c>
      <c r="AC598" t="s">
        <v>11168</v>
      </c>
      <c r="AD598" t="s">
        <v>11169</v>
      </c>
      <c r="AE598" t="s">
        <v>11170</v>
      </c>
      <c r="AF598" t="s">
        <v>74</v>
      </c>
      <c r="AG598">
        <v>107</v>
      </c>
      <c r="AH598">
        <v>155</v>
      </c>
      <c r="AI598">
        <v>173</v>
      </c>
      <c r="AJ598">
        <v>1</v>
      </c>
      <c r="AK598">
        <v>73</v>
      </c>
      <c r="AL598" t="s">
        <v>4248</v>
      </c>
      <c r="AM598" t="s">
        <v>4249</v>
      </c>
      <c r="AN598" t="s">
        <v>4250</v>
      </c>
      <c r="AO598" t="s">
        <v>5833</v>
      </c>
      <c r="AP598" t="s">
        <v>5834</v>
      </c>
      <c r="AQ598" t="s">
        <v>74</v>
      </c>
      <c r="AR598" t="s">
        <v>5821</v>
      </c>
      <c r="AS598" t="s">
        <v>5835</v>
      </c>
      <c r="AT598" t="s">
        <v>74</v>
      </c>
      <c r="AU598">
        <v>2013</v>
      </c>
      <c r="AV598">
        <v>10</v>
      </c>
      <c r="AW598">
        <v>6</v>
      </c>
      <c r="AX598" t="s">
        <v>74</v>
      </c>
      <c r="AY598" t="s">
        <v>74</v>
      </c>
      <c r="AZ598" t="s">
        <v>74</v>
      </c>
      <c r="BA598" t="s">
        <v>74</v>
      </c>
      <c r="BB598">
        <v>4297</v>
      </c>
      <c r="BC598">
        <v>4318</v>
      </c>
      <c r="BD598" t="s">
        <v>74</v>
      </c>
      <c r="BE598" t="s">
        <v>11171</v>
      </c>
      <c r="BF598" t="str">
        <f>HYPERLINK("http://dx.doi.org/10.5194/bg-10-4297-2013","http://dx.doi.org/10.5194/bg-10-4297-2013")</f>
        <v>http://dx.doi.org/10.5194/bg-10-4297-2013</v>
      </c>
      <c r="BG598" t="s">
        <v>74</v>
      </c>
      <c r="BH598" t="s">
        <v>74</v>
      </c>
      <c r="BI598">
        <v>22</v>
      </c>
      <c r="BJ598" t="s">
        <v>4835</v>
      </c>
      <c r="BK598" t="s">
        <v>102</v>
      </c>
      <c r="BL598" t="s">
        <v>4836</v>
      </c>
      <c r="BM598" t="s">
        <v>11139</v>
      </c>
      <c r="BN598" t="s">
        <v>74</v>
      </c>
      <c r="BO598" t="s">
        <v>4621</v>
      </c>
      <c r="BP598" t="s">
        <v>74</v>
      </c>
      <c r="BQ598" t="s">
        <v>74</v>
      </c>
      <c r="BR598" t="s">
        <v>105</v>
      </c>
      <c r="BS598" t="s">
        <v>11172</v>
      </c>
      <c r="BT598" t="str">
        <f>HYPERLINK("https%3A%2F%2Fwww.webofscience.com%2Fwos%2Fwoscc%2Ffull-record%2FWOS:000321122700053","View Full Record in Web of Science")</f>
        <v>View Full Record in Web of Science</v>
      </c>
    </row>
    <row r="599" spans="1:72" x14ac:dyDescent="0.15">
      <c r="A599" t="s">
        <v>72</v>
      </c>
      <c r="B599" t="s">
        <v>11173</v>
      </c>
      <c r="C599" t="s">
        <v>74</v>
      </c>
      <c r="D599" t="s">
        <v>74</v>
      </c>
      <c r="E599" t="s">
        <v>74</v>
      </c>
      <c r="F599" t="s">
        <v>11174</v>
      </c>
      <c r="G599" t="s">
        <v>74</v>
      </c>
      <c r="H599" t="s">
        <v>74</v>
      </c>
      <c r="I599" t="s">
        <v>11175</v>
      </c>
      <c r="J599" t="s">
        <v>5821</v>
      </c>
      <c r="K599" t="s">
        <v>74</v>
      </c>
      <c r="L599" t="s">
        <v>74</v>
      </c>
      <c r="M599" t="s">
        <v>78</v>
      </c>
      <c r="N599" t="s">
        <v>79</v>
      </c>
      <c r="O599" t="s">
        <v>74</v>
      </c>
      <c r="P599" t="s">
        <v>74</v>
      </c>
      <c r="Q599" t="s">
        <v>74</v>
      </c>
      <c r="R599" t="s">
        <v>74</v>
      </c>
      <c r="S599" t="s">
        <v>74</v>
      </c>
      <c r="T599" t="s">
        <v>74</v>
      </c>
      <c r="U599" t="s">
        <v>11176</v>
      </c>
      <c r="V599" t="s">
        <v>11177</v>
      </c>
      <c r="W599" t="s">
        <v>11178</v>
      </c>
      <c r="X599" t="s">
        <v>11179</v>
      </c>
      <c r="Y599" t="s">
        <v>11180</v>
      </c>
      <c r="Z599" t="s">
        <v>11181</v>
      </c>
      <c r="AA599" t="s">
        <v>11182</v>
      </c>
      <c r="AB599" t="s">
        <v>11183</v>
      </c>
      <c r="AC599" t="s">
        <v>11184</v>
      </c>
      <c r="AD599" t="s">
        <v>11185</v>
      </c>
      <c r="AE599" t="s">
        <v>11186</v>
      </c>
      <c r="AF599" t="s">
        <v>74</v>
      </c>
      <c r="AG599">
        <v>54</v>
      </c>
      <c r="AH599">
        <v>35</v>
      </c>
      <c r="AI599">
        <v>38</v>
      </c>
      <c r="AJ599">
        <v>0</v>
      </c>
      <c r="AK599">
        <v>29</v>
      </c>
      <c r="AL599" t="s">
        <v>4248</v>
      </c>
      <c r="AM599" t="s">
        <v>4249</v>
      </c>
      <c r="AN599" t="s">
        <v>4250</v>
      </c>
      <c r="AO599" t="s">
        <v>5833</v>
      </c>
      <c r="AP599" t="s">
        <v>5834</v>
      </c>
      <c r="AQ599" t="s">
        <v>74</v>
      </c>
      <c r="AR599" t="s">
        <v>5821</v>
      </c>
      <c r="AS599" t="s">
        <v>5835</v>
      </c>
      <c r="AT599" t="s">
        <v>74</v>
      </c>
      <c r="AU599">
        <v>2013</v>
      </c>
      <c r="AV599">
        <v>10</v>
      </c>
      <c r="AW599">
        <v>10</v>
      </c>
      <c r="AX599" t="s">
        <v>74</v>
      </c>
      <c r="AY599" t="s">
        <v>74</v>
      </c>
      <c r="AZ599" t="s">
        <v>74</v>
      </c>
      <c r="BA599" t="s">
        <v>74</v>
      </c>
      <c r="BB599">
        <v>6339</v>
      </c>
      <c r="BC599">
        <v>6355</v>
      </c>
      <c r="BD599" t="s">
        <v>74</v>
      </c>
      <c r="BE599" t="s">
        <v>11187</v>
      </c>
      <c r="BF599" t="str">
        <f>HYPERLINK("http://dx.doi.org/10.5194/bg-10-6339-2013","http://dx.doi.org/10.5194/bg-10-6339-2013")</f>
        <v>http://dx.doi.org/10.5194/bg-10-6339-2013</v>
      </c>
      <c r="BG599" t="s">
        <v>74</v>
      </c>
      <c r="BH599" t="s">
        <v>74</v>
      </c>
      <c r="BI599">
        <v>17</v>
      </c>
      <c r="BJ599" t="s">
        <v>4835</v>
      </c>
      <c r="BK599" t="s">
        <v>102</v>
      </c>
      <c r="BL599" t="s">
        <v>4836</v>
      </c>
      <c r="BM599" t="s">
        <v>11188</v>
      </c>
      <c r="BN599" t="s">
        <v>74</v>
      </c>
      <c r="BO599" t="s">
        <v>4132</v>
      </c>
      <c r="BP599" t="s">
        <v>74</v>
      </c>
      <c r="BQ599" t="s">
        <v>74</v>
      </c>
      <c r="BR599" t="s">
        <v>105</v>
      </c>
      <c r="BS599" t="s">
        <v>11189</v>
      </c>
      <c r="BT599" t="str">
        <f>HYPERLINK("https%3A%2F%2Fwww.webofscience.com%2Fwos%2Fwoscc%2Ffull-record%2FWOS:000326470500012","View Full Record in Web of Science")</f>
        <v>View Full Record in Web of Science</v>
      </c>
    </row>
    <row r="600" spans="1:72" x14ac:dyDescent="0.15">
      <c r="A600" t="s">
        <v>72</v>
      </c>
      <c r="B600" t="s">
        <v>11190</v>
      </c>
      <c r="C600" t="s">
        <v>74</v>
      </c>
      <c r="D600" t="s">
        <v>74</v>
      </c>
      <c r="E600" t="s">
        <v>74</v>
      </c>
      <c r="F600" t="s">
        <v>11191</v>
      </c>
      <c r="G600" t="s">
        <v>74</v>
      </c>
      <c r="H600" t="s">
        <v>74</v>
      </c>
      <c r="I600" t="s">
        <v>11192</v>
      </c>
      <c r="J600" t="s">
        <v>5821</v>
      </c>
      <c r="K600" t="s">
        <v>74</v>
      </c>
      <c r="L600" t="s">
        <v>74</v>
      </c>
      <c r="M600" t="s">
        <v>78</v>
      </c>
      <c r="N600" t="s">
        <v>79</v>
      </c>
      <c r="O600" t="s">
        <v>74</v>
      </c>
      <c r="P600" t="s">
        <v>74</v>
      </c>
      <c r="Q600" t="s">
        <v>74</v>
      </c>
      <c r="R600" t="s">
        <v>74</v>
      </c>
      <c r="S600" t="s">
        <v>74</v>
      </c>
      <c r="T600" t="s">
        <v>74</v>
      </c>
      <c r="U600" t="s">
        <v>11193</v>
      </c>
      <c r="V600" t="s">
        <v>11194</v>
      </c>
      <c r="W600" t="s">
        <v>11195</v>
      </c>
      <c r="X600" t="s">
        <v>11196</v>
      </c>
      <c r="Y600" t="s">
        <v>11197</v>
      </c>
      <c r="Z600" t="s">
        <v>11198</v>
      </c>
      <c r="AA600" t="s">
        <v>11199</v>
      </c>
      <c r="AB600" t="s">
        <v>11200</v>
      </c>
      <c r="AC600" t="s">
        <v>11201</v>
      </c>
      <c r="AD600" t="s">
        <v>11202</v>
      </c>
      <c r="AE600" t="s">
        <v>11203</v>
      </c>
      <c r="AF600" t="s">
        <v>74</v>
      </c>
      <c r="AG600">
        <v>55</v>
      </c>
      <c r="AH600">
        <v>57</v>
      </c>
      <c r="AI600">
        <v>59</v>
      </c>
      <c r="AJ600">
        <v>5</v>
      </c>
      <c r="AK600">
        <v>39</v>
      </c>
      <c r="AL600" t="s">
        <v>4248</v>
      </c>
      <c r="AM600" t="s">
        <v>4249</v>
      </c>
      <c r="AN600" t="s">
        <v>4250</v>
      </c>
      <c r="AO600" t="s">
        <v>5833</v>
      </c>
      <c r="AP600" t="s">
        <v>5834</v>
      </c>
      <c r="AQ600" t="s">
        <v>74</v>
      </c>
      <c r="AR600" t="s">
        <v>5821</v>
      </c>
      <c r="AS600" t="s">
        <v>5835</v>
      </c>
      <c r="AT600" t="s">
        <v>74</v>
      </c>
      <c r="AU600">
        <v>2013</v>
      </c>
      <c r="AV600">
        <v>10</v>
      </c>
      <c r="AW600">
        <v>10</v>
      </c>
      <c r="AX600" t="s">
        <v>74</v>
      </c>
      <c r="AY600" t="s">
        <v>74</v>
      </c>
      <c r="AZ600" t="s">
        <v>74</v>
      </c>
      <c r="BA600" t="s">
        <v>74</v>
      </c>
      <c r="BB600">
        <v>6391</v>
      </c>
      <c r="BC600">
        <v>6401</v>
      </c>
      <c r="BD600" t="s">
        <v>74</v>
      </c>
      <c r="BE600" t="s">
        <v>11204</v>
      </c>
      <c r="BF600" t="str">
        <f>HYPERLINK("http://dx.doi.org/10.5194/bg-10-6391-2013","http://dx.doi.org/10.5194/bg-10-6391-2013")</f>
        <v>http://dx.doi.org/10.5194/bg-10-6391-2013</v>
      </c>
      <c r="BG600" t="s">
        <v>74</v>
      </c>
      <c r="BH600" t="s">
        <v>74</v>
      </c>
      <c r="BI600">
        <v>11</v>
      </c>
      <c r="BJ600" t="s">
        <v>4835</v>
      </c>
      <c r="BK600" t="s">
        <v>102</v>
      </c>
      <c r="BL600" t="s">
        <v>4836</v>
      </c>
      <c r="BM600" t="s">
        <v>11188</v>
      </c>
      <c r="BN600" t="s">
        <v>74</v>
      </c>
      <c r="BO600" t="s">
        <v>4621</v>
      </c>
      <c r="BP600" t="s">
        <v>74</v>
      </c>
      <c r="BQ600" t="s">
        <v>74</v>
      </c>
      <c r="BR600" t="s">
        <v>105</v>
      </c>
      <c r="BS600" t="s">
        <v>11205</v>
      </c>
      <c r="BT600" t="str">
        <f>HYPERLINK("https%3A%2F%2Fwww.webofscience.com%2Fwos%2Fwoscc%2Ffull-record%2FWOS:000326470500015","View Full Record in Web of Science")</f>
        <v>View Full Record in Web of Science</v>
      </c>
    </row>
    <row r="601" spans="1:72" x14ac:dyDescent="0.15">
      <c r="A601" t="s">
        <v>72</v>
      </c>
      <c r="B601" t="s">
        <v>11206</v>
      </c>
      <c r="C601" t="s">
        <v>74</v>
      </c>
      <c r="D601" t="s">
        <v>74</v>
      </c>
      <c r="E601" t="s">
        <v>74</v>
      </c>
      <c r="F601" t="s">
        <v>11207</v>
      </c>
      <c r="G601" t="s">
        <v>74</v>
      </c>
      <c r="H601" t="s">
        <v>74</v>
      </c>
      <c r="I601" t="s">
        <v>11208</v>
      </c>
      <c r="J601" t="s">
        <v>5821</v>
      </c>
      <c r="K601" t="s">
        <v>74</v>
      </c>
      <c r="L601" t="s">
        <v>74</v>
      </c>
      <c r="M601" t="s">
        <v>78</v>
      </c>
      <c r="N601" t="s">
        <v>79</v>
      </c>
      <c r="O601" t="s">
        <v>74</v>
      </c>
      <c r="P601" t="s">
        <v>74</v>
      </c>
      <c r="Q601" t="s">
        <v>74</v>
      </c>
      <c r="R601" t="s">
        <v>74</v>
      </c>
      <c r="S601" t="s">
        <v>74</v>
      </c>
      <c r="T601" t="s">
        <v>74</v>
      </c>
      <c r="U601" t="s">
        <v>11209</v>
      </c>
      <c r="V601" t="s">
        <v>11210</v>
      </c>
      <c r="W601" t="s">
        <v>11211</v>
      </c>
      <c r="X601" t="s">
        <v>11212</v>
      </c>
      <c r="Y601" t="s">
        <v>11213</v>
      </c>
      <c r="Z601" t="s">
        <v>11214</v>
      </c>
      <c r="AA601" t="s">
        <v>11215</v>
      </c>
      <c r="AB601" t="s">
        <v>11216</v>
      </c>
      <c r="AC601" t="s">
        <v>11217</v>
      </c>
      <c r="AD601" t="s">
        <v>11218</v>
      </c>
      <c r="AE601" t="s">
        <v>11219</v>
      </c>
      <c r="AF601" t="s">
        <v>74</v>
      </c>
      <c r="AG601">
        <v>92</v>
      </c>
      <c r="AH601">
        <v>34</v>
      </c>
      <c r="AI601">
        <v>37</v>
      </c>
      <c r="AJ601">
        <v>0</v>
      </c>
      <c r="AK601">
        <v>63</v>
      </c>
      <c r="AL601" t="s">
        <v>4248</v>
      </c>
      <c r="AM601" t="s">
        <v>4249</v>
      </c>
      <c r="AN601" t="s">
        <v>4250</v>
      </c>
      <c r="AO601" t="s">
        <v>5833</v>
      </c>
      <c r="AP601" t="s">
        <v>5834</v>
      </c>
      <c r="AQ601" t="s">
        <v>74</v>
      </c>
      <c r="AR601" t="s">
        <v>5821</v>
      </c>
      <c r="AS601" t="s">
        <v>5835</v>
      </c>
      <c r="AT601" t="s">
        <v>74</v>
      </c>
      <c r="AU601">
        <v>2013</v>
      </c>
      <c r="AV601">
        <v>10</v>
      </c>
      <c r="AW601">
        <v>11</v>
      </c>
      <c r="AX601" t="s">
        <v>74</v>
      </c>
      <c r="AY601" t="s">
        <v>74</v>
      </c>
      <c r="AZ601" t="s">
        <v>74</v>
      </c>
      <c r="BA601" t="s">
        <v>74</v>
      </c>
      <c r="BB601">
        <v>7373</v>
      </c>
      <c r="BC601">
        <v>7393</v>
      </c>
      <c r="BD601" t="s">
        <v>74</v>
      </c>
      <c r="BE601" t="s">
        <v>11220</v>
      </c>
      <c r="BF601" t="str">
        <f>HYPERLINK("http://dx.doi.org/10.5194/bg-10-7373-2013","http://dx.doi.org/10.5194/bg-10-7373-2013")</f>
        <v>http://dx.doi.org/10.5194/bg-10-7373-2013</v>
      </c>
      <c r="BG601" t="s">
        <v>74</v>
      </c>
      <c r="BH601" t="s">
        <v>74</v>
      </c>
      <c r="BI601">
        <v>21</v>
      </c>
      <c r="BJ601" t="s">
        <v>4835</v>
      </c>
      <c r="BK601" t="s">
        <v>102</v>
      </c>
      <c r="BL601" t="s">
        <v>4836</v>
      </c>
      <c r="BM601" t="s">
        <v>11221</v>
      </c>
      <c r="BN601" t="s">
        <v>74</v>
      </c>
      <c r="BO601" t="s">
        <v>3222</v>
      </c>
      <c r="BP601" t="s">
        <v>74</v>
      </c>
      <c r="BQ601" t="s">
        <v>74</v>
      </c>
      <c r="BR601" t="s">
        <v>105</v>
      </c>
      <c r="BS601" t="s">
        <v>11222</v>
      </c>
      <c r="BT601" t="str">
        <f>HYPERLINK("https%3A%2F%2Fwww.webofscience.com%2Fwos%2Fwoscc%2Ffull-record%2FWOS:000327814700041","View Full Record in Web of Science")</f>
        <v>View Full Record in Web of Science</v>
      </c>
    </row>
    <row r="602" spans="1:72" x14ac:dyDescent="0.15">
      <c r="A602" t="s">
        <v>72</v>
      </c>
      <c r="B602" t="s">
        <v>11223</v>
      </c>
      <c r="C602" t="s">
        <v>74</v>
      </c>
      <c r="D602" t="s">
        <v>74</v>
      </c>
      <c r="E602" t="s">
        <v>74</v>
      </c>
      <c r="F602" t="s">
        <v>11224</v>
      </c>
      <c r="G602" t="s">
        <v>74</v>
      </c>
      <c r="H602" t="s">
        <v>74</v>
      </c>
      <c r="I602" t="s">
        <v>11225</v>
      </c>
      <c r="J602" t="s">
        <v>5821</v>
      </c>
      <c r="K602" t="s">
        <v>74</v>
      </c>
      <c r="L602" t="s">
        <v>74</v>
      </c>
      <c r="M602" t="s">
        <v>78</v>
      </c>
      <c r="N602" t="s">
        <v>79</v>
      </c>
      <c r="O602" t="s">
        <v>74</v>
      </c>
      <c r="P602" t="s">
        <v>74</v>
      </c>
      <c r="Q602" t="s">
        <v>74</v>
      </c>
      <c r="R602" t="s">
        <v>74</v>
      </c>
      <c r="S602" t="s">
        <v>74</v>
      </c>
      <c r="T602" t="s">
        <v>74</v>
      </c>
      <c r="U602" t="s">
        <v>11226</v>
      </c>
      <c r="V602" t="s">
        <v>11227</v>
      </c>
      <c r="W602" t="s">
        <v>11228</v>
      </c>
      <c r="X602" t="s">
        <v>11229</v>
      </c>
      <c r="Y602" t="s">
        <v>11230</v>
      </c>
      <c r="Z602" t="s">
        <v>11231</v>
      </c>
      <c r="AA602" t="s">
        <v>11232</v>
      </c>
      <c r="AB602" t="s">
        <v>11233</v>
      </c>
      <c r="AC602" t="s">
        <v>11234</v>
      </c>
      <c r="AD602" t="s">
        <v>11235</v>
      </c>
      <c r="AE602" t="s">
        <v>11236</v>
      </c>
      <c r="AF602" t="s">
        <v>74</v>
      </c>
      <c r="AG602">
        <v>157</v>
      </c>
      <c r="AH602">
        <v>8</v>
      </c>
      <c r="AI602">
        <v>8</v>
      </c>
      <c r="AJ602">
        <v>0</v>
      </c>
      <c r="AK602">
        <v>30</v>
      </c>
      <c r="AL602" t="s">
        <v>4248</v>
      </c>
      <c r="AM602" t="s">
        <v>4249</v>
      </c>
      <c r="AN602" t="s">
        <v>4250</v>
      </c>
      <c r="AO602" t="s">
        <v>5833</v>
      </c>
      <c r="AP602" t="s">
        <v>5834</v>
      </c>
      <c r="AQ602" t="s">
        <v>74</v>
      </c>
      <c r="AR602" t="s">
        <v>5821</v>
      </c>
      <c r="AS602" t="s">
        <v>5835</v>
      </c>
      <c r="AT602" t="s">
        <v>74</v>
      </c>
      <c r="AU602">
        <v>2013</v>
      </c>
      <c r="AV602">
        <v>10</v>
      </c>
      <c r="AW602">
        <v>12</v>
      </c>
      <c r="AX602" t="s">
        <v>74</v>
      </c>
      <c r="AY602" t="s">
        <v>74</v>
      </c>
      <c r="AZ602" t="s">
        <v>74</v>
      </c>
      <c r="BA602" t="s">
        <v>74</v>
      </c>
      <c r="BB602">
        <v>8305</v>
      </c>
      <c r="BC602">
        <v>8328</v>
      </c>
      <c r="BD602" t="s">
        <v>74</v>
      </c>
      <c r="BE602" t="s">
        <v>11237</v>
      </c>
      <c r="BF602" t="str">
        <f>HYPERLINK("http://dx.doi.org/10.5194/bg-10-8305-2013","http://dx.doi.org/10.5194/bg-10-8305-2013")</f>
        <v>http://dx.doi.org/10.5194/bg-10-8305-2013</v>
      </c>
      <c r="BG602" t="s">
        <v>74</v>
      </c>
      <c r="BH602" t="s">
        <v>74</v>
      </c>
      <c r="BI602">
        <v>24</v>
      </c>
      <c r="BJ602" t="s">
        <v>4835</v>
      </c>
      <c r="BK602" t="s">
        <v>102</v>
      </c>
      <c r="BL602" t="s">
        <v>4836</v>
      </c>
      <c r="BM602" t="s">
        <v>11238</v>
      </c>
      <c r="BN602" t="s">
        <v>74</v>
      </c>
      <c r="BO602" t="s">
        <v>11239</v>
      </c>
      <c r="BP602" t="s">
        <v>74</v>
      </c>
      <c r="BQ602" t="s">
        <v>74</v>
      </c>
      <c r="BR602" t="s">
        <v>105</v>
      </c>
      <c r="BS602" t="s">
        <v>11240</v>
      </c>
      <c r="BT602" t="str">
        <f>HYPERLINK("https%3A%2F%2Fwww.webofscience.com%2Fwos%2Fwoscc%2Ffull-record%2FWOS:000329054600032","View Full Record in Web of Science")</f>
        <v>View Full Record in Web of Science</v>
      </c>
    </row>
    <row r="603" spans="1:72" x14ac:dyDescent="0.15">
      <c r="A603" t="s">
        <v>72</v>
      </c>
      <c r="B603" t="s">
        <v>11241</v>
      </c>
      <c r="C603" t="s">
        <v>74</v>
      </c>
      <c r="D603" t="s">
        <v>74</v>
      </c>
      <c r="E603" t="s">
        <v>74</v>
      </c>
      <c r="F603" t="s">
        <v>11242</v>
      </c>
      <c r="G603" t="s">
        <v>74</v>
      </c>
      <c r="H603" t="s">
        <v>74</v>
      </c>
      <c r="I603" t="s">
        <v>11243</v>
      </c>
      <c r="J603" t="s">
        <v>11244</v>
      </c>
      <c r="K603" t="s">
        <v>74</v>
      </c>
      <c r="L603" t="s">
        <v>74</v>
      </c>
      <c r="M603" t="s">
        <v>78</v>
      </c>
      <c r="N603" t="s">
        <v>79</v>
      </c>
      <c r="O603" t="s">
        <v>74</v>
      </c>
      <c r="P603" t="s">
        <v>74</v>
      </c>
      <c r="Q603" t="s">
        <v>74</v>
      </c>
      <c r="R603" t="s">
        <v>74</v>
      </c>
      <c r="S603" t="s">
        <v>74</v>
      </c>
      <c r="T603" t="s">
        <v>11245</v>
      </c>
      <c r="U603" t="s">
        <v>11246</v>
      </c>
      <c r="V603" t="s">
        <v>11247</v>
      </c>
      <c r="W603" t="s">
        <v>11248</v>
      </c>
      <c r="X603" t="s">
        <v>11249</v>
      </c>
      <c r="Y603" t="s">
        <v>11250</v>
      </c>
      <c r="Z603" t="s">
        <v>11251</v>
      </c>
      <c r="AA603" t="s">
        <v>11252</v>
      </c>
      <c r="AB603" t="s">
        <v>74</v>
      </c>
      <c r="AC603" t="s">
        <v>11253</v>
      </c>
      <c r="AD603" t="s">
        <v>11254</v>
      </c>
      <c r="AE603" t="s">
        <v>11255</v>
      </c>
      <c r="AF603" t="s">
        <v>74</v>
      </c>
      <c r="AG603">
        <v>34</v>
      </c>
      <c r="AH603">
        <v>14</v>
      </c>
      <c r="AI603">
        <v>17</v>
      </c>
      <c r="AJ603">
        <v>0</v>
      </c>
      <c r="AK603">
        <v>4</v>
      </c>
      <c r="AL603" t="s">
        <v>11256</v>
      </c>
      <c r="AM603" t="s">
        <v>474</v>
      </c>
      <c r="AN603" t="s">
        <v>11257</v>
      </c>
      <c r="AO603" t="s">
        <v>11258</v>
      </c>
      <c r="AP603" t="s">
        <v>74</v>
      </c>
      <c r="AQ603" t="s">
        <v>74</v>
      </c>
      <c r="AR603" t="s">
        <v>11244</v>
      </c>
      <c r="AS603" t="s">
        <v>11259</v>
      </c>
      <c r="AT603" t="s">
        <v>74</v>
      </c>
      <c r="AU603">
        <v>2013</v>
      </c>
      <c r="AV603">
        <v>3</v>
      </c>
      <c r="AW603">
        <v>7</v>
      </c>
      <c r="AX603" t="s">
        <v>74</v>
      </c>
      <c r="AY603" t="s">
        <v>74</v>
      </c>
      <c r="AZ603" t="s">
        <v>74</v>
      </c>
      <c r="BA603" t="s">
        <v>74</v>
      </c>
      <c r="BB603" t="s">
        <v>74</v>
      </c>
      <c r="BC603" t="s">
        <v>74</v>
      </c>
      <c r="BD603" t="s">
        <v>11260</v>
      </c>
      <c r="BE603" t="s">
        <v>11261</v>
      </c>
      <c r="BF603" t="str">
        <f>HYPERLINK("http://dx.doi.org/10.1136/bmjopen-2013-003064","http://dx.doi.org/10.1136/bmjopen-2013-003064")</f>
        <v>http://dx.doi.org/10.1136/bmjopen-2013-003064</v>
      </c>
      <c r="BG603" t="s">
        <v>74</v>
      </c>
      <c r="BH603" t="s">
        <v>74</v>
      </c>
      <c r="BI603">
        <v>7</v>
      </c>
      <c r="BJ603" t="s">
        <v>11262</v>
      </c>
      <c r="BK603" t="s">
        <v>102</v>
      </c>
      <c r="BL603" t="s">
        <v>11263</v>
      </c>
      <c r="BM603" t="s">
        <v>11264</v>
      </c>
      <c r="BN603">
        <v>23869103</v>
      </c>
      <c r="BO603" t="s">
        <v>2629</v>
      </c>
      <c r="BP603" t="s">
        <v>74</v>
      </c>
      <c r="BQ603" t="s">
        <v>74</v>
      </c>
      <c r="BR603" t="s">
        <v>105</v>
      </c>
      <c r="BS603" t="s">
        <v>11265</v>
      </c>
      <c r="BT603" t="str">
        <f>HYPERLINK("https%3A%2F%2Fwww.webofscience.com%2Fwos%2Fwoscc%2Ffull-record%2FWOS:000329805500045","View Full Record in Web of Science")</f>
        <v>View Full Record in Web of Science</v>
      </c>
    </row>
    <row r="604" spans="1:72" x14ac:dyDescent="0.15">
      <c r="A604" t="s">
        <v>72</v>
      </c>
      <c r="B604" t="s">
        <v>11266</v>
      </c>
      <c r="C604" t="s">
        <v>74</v>
      </c>
      <c r="D604" t="s">
        <v>74</v>
      </c>
      <c r="E604" t="s">
        <v>74</v>
      </c>
      <c r="F604" t="s">
        <v>11267</v>
      </c>
      <c r="G604" t="s">
        <v>74</v>
      </c>
      <c r="H604" t="s">
        <v>74</v>
      </c>
      <c r="I604" t="s">
        <v>11268</v>
      </c>
      <c r="J604" t="s">
        <v>11269</v>
      </c>
      <c r="K604" t="s">
        <v>74</v>
      </c>
      <c r="L604" t="s">
        <v>74</v>
      </c>
      <c r="M604" t="s">
        <v>4282</v>
      </c>
      <c r="N604" t="s">
        <v>79</v>
      </c>
      <c r="O604" t="s">
        <v>74</v>
      </c>
      <c r="P604" t="s">
        <v>74</v>
      </c>
      <c r="Q604" t="s">
        <v>74</v>
      </c>
      <c r="R604" t="s">
        <v>74</v>
      </c>
      <c r="S604" t="s">
        <v>74</v>
      </c>
      <c r="T604" t="s">
        <v>11270</v>
      </c>
      <c r="U604" t="s">
        <v>74</v>
      </c>
      <c r="V604" t="s">
        <v>11271</v>
      </c>
      <c r="W604" t="s">
        <v>11272</v>
      </c>
      <c r="X604" t="s">
        <v>11273</v>
      </c>
      <c r="Y604" t="s">
        <v>11274</v>
      </c>
      <c r="Z604" t="s">
        <v>11275</v>
      </c>
      <c r="AA604" t="s">
        <v>74</v>
      </c>
      <c r="AB604" t="s">
        <v>74</v>
      </c>
      <c r="AC604" t="s">
        <v>74</v>
      </c>
      <c r="AD604" t="s">
        <v>74</v>
      </c>
      <c r="AE604" t="s">
        <v>74</v>
      </c>
      <c r="AF604" t="s">
        <v>74</v>
      </c>
      <c r="AG604">
        <v>27</v>
      </c>
      <c r="AH604">
        <v>0</v>
      </c>
      <c r="AI604">
        <v>0</v>
      </c>
      <c r="AJ604">
        <v>0</v>
      </c>
      <c r="AK604">
        <v>0</v>
      </c>
      <c r="AL604" t="s">
        <v>11276</v>
      </c>
      <c r="AM604" t="s">
        <v>11277</v>
      </c>
      <c r="AN604" t="s">
        <v>11278</v>
      </c>
      <c r="AO604" t="s">
        <v>11279</v>
      </c>
      <c r="AP604" t="s">
        <v>11280</v>
      </c>
      <c r="AQ604" t="s">
        <v>74</v>
      </c>
      <c r="AR604" t="s">
        <v>11281</v>
      </c>
      <c r="AS604" t="s">
        <v>11282</v>
      </c>
      <c r="AT604" t="s">
        <v>74</v>
      </c>
      <c r="AU604">
        <v>2013</v>
      </c>
      <c r="AV604">
        <v>34</v>
      </c>
      <c r="AW604">
        <v>35</v>
      </c>
      <c r="AX604" t="s">
        <v>74</v>
      </c>
      <c r="AY604" t="s">
        <v>74</v>
      </c>
      <c r="AZ604" t="s">
        <v>74</v>
      </c>
      <c r="BA604" t="s">
        <v>74</v>
      </c>
      <c r="BB604">
        <v>29</v>
      </c>
      <c r="BC604">
        <v>45</v>
      </c>
      <c r="BD604" t="s">
        <v>74</v>
      </c>
      <c r="BE604" t="s">
        <v>74</v>
      </c>
      <c r="BF604" t="s">
        <v>74</v>
      </c>
      <c r="BG604" t="s">
        <v>74</v>
      </c>
      <c r="BH604" t="s">
        <v>74</v>
      </c>
      <c r="BI604">
        <v>17</v>
      </c>
      <c r="BJ604" t="s">
        <v>11283</v>
      </c>
      <c r="BK604" t="s">
        <v>1717</v>
      </c>
      <c r="BL604" t="s">
        <v>11283</v>
      </c>
      <c r="BM604" t="s">
        <v>11284</v>
      </c>
      <c r="BN604" t="s">
        <v>74</v>
      </c>
      <c r="BO604" t="s">
        <v>74</v>
      </c>
      <c r="BP604" t="s">
        <v>74</v>
      </c>
      <c r="BQ604" t="s">
        <v>74</v>
      </c>
      <c r="BR604" t="s">
        <v>105</v>
      </c>
      <c r="BS604" t="s">
        <v>11285</v>
      </c>
      <c r="BT604" t="str">
        <f>HYPERLINK("https%3A%2F%2Fwww.webofscience.com%2Fwos%2Fwoscc%2Ffull-record%2FWOS:000421398500002","View Full Record in Web of Science")</f>
        <v>View Full Record in Web of Science</v>
      </c>
    </row>
    <row r="605" spans="1:72" x14ac:dyDescent="0.15">
      <c r="A605" t="s">
        <v>72</v>
      </c>
      <c r="B605" t="s">
        <v>11286</v>
      </c>
      <c r="C605" t="s">
        <v>74</v>
      </c>
      <c r="D605" t="s">
        <v>74</v>
      </c>
      <c r="E605" t="s">
        <v>74</v>
      </c>
      <c r="F605" t="s">
        <v>11287</v>
      </c>
      <c r="G605" t="s">
        <v>74</v>
      </c>
      <c r="H605" t="s">
        <v>74</v>
      </c>
      <c r="I605" t="s">
        <v>11288</v>
      </c>
      <c r="J605" t="s">
        <v>11289</v>
      </c>
      <c r="K605" t="s">
        <v>74</v>
      </c>
      <c r="L605" t="s">
        <v>74</v>
      </c>
      <c r="M605" t="s">
        <v>78</v>
      </c>
      <c r="N605" t="s">
        <v>79</v>
      </c>
      <c r="O605" t="s">
        <v>74</v>
      </c>
      <c r="P605" t="s">
        <v>74</v>
      </c>
      <c r="Q605" t="s">
        <v>74</v>
      </c>
      <c r="R605" t="s">
        <v>74</v>
      </c>
      <c r="S605" t="s">
        <v>74</v>
      </c>
      <c r="T605" t="s">
        <v>74</v>
      </c>
      <c r="U605" t="s">
        <v>11290</v>
      </c>
      <c r="V605" t="s">
        <v>11291</v>
      </c>
      <c r="W605" t="s">
        <v>11292</v>
      </c>
      <c r="X605" t="s">
        <v>11293</v>
      </c>
      <c r="Y605" t="s">
        <v>11294</v>
      </c>
      <c r="Z605" t="s">
        <v>11295</v>
      </c>
      <c r="AA605" t="s">
        <v>11296</v>
      </c>
      <c r="AB605" t="s">
        <v>11297</v>
      </c>
      <c r="AC605" t="s">
        <v>11298</v>
      </c>
      <c r="AD605" t="s">
        <v>11299</v>
      </c>
      <c r="AE605" t="s">
        <v>11300</v>
      </c>
      <c r="AF605" t="s">
        <v>74</v>
      </c>
      <c r="AG605">
        <v>19</v>
      </c>
      <c r="AH605">
        <v>5</v>
      </c>
      <c r="AI605">
        <v>6</v>
      </c>
      <c r="AJ605">
        <v>0</v>
      </c>
      <c r="AK605">
        <v>5</v>
      </c>
      <c r="AL605" t="s">
        <v>11301</v>
      </c>
      <c r="AM605" t="s">
        <v>11302</v>
      </c>
      <c r="AN605" t="s">
        <v>11303</v>
      </c>
      <c r="AO605" t="s">
        <v>11304</v>
      </c>
      <c r="AP605" t="s">
        <v>74</v>
      </c>
      <c r="AQ605" t="s">
        <v>74</v>
      </c>
      <c r="AR605" t="s">
        <v>11305</v>
      </c>
      <c r="AS605" t="s">
        <v>11306</v>
      </c>
      <c r="AT605" t="s">
        <v>74</v>
      </c>
      <c r="AU605">
        <v>2013</v>
      </c>
      <c r="AV605">
        <v>33</v>
      </c>
      <c r="AW605">
        <v>2</v>
      </c>
      <c r="AX605" t="s">
        <v>74</v>
      </c>
      <c r="AY605" t="s">
        <v>74</v>
      </c>
      <c r="AZ605" t="s">
        <v>74</v>
      </c>
      <c r="BA605" t="s">
        <v>74</v>
      </c>
      <c r="BB605">
        <v>59</v>
      </c>
      <c r="BC605">
        <v>66</v>
      </c>
      <c r="BD605" t="s">
        <v>74</v>
      </c>
      <c r="BE605" t="s">
        <v>74</v>
      </c>
      <c r="BF605" t="s">
        <v>74</v>
      </c>
      <c r="BG605" t="s">
        <v>74</v>
      </c>
      <c r="BH605" t="s">
        <v>74</v>
      </c>
      <c r="BI605">
        <v>8</v>
      </c>
      <c r="BJ605" t="s">
        <v>5902</v>
      </c>
      <c r="BK605" t="s">
        <v>102</v>
      </c>
      <c r="BL605" t="s">
        <v>5902</v>
      </c>
      <c r="BM605" t="s">
        <v>11307</v>
      </c>
      <c r="BN605" t="s">
        <v>74</v>
      </c>
      <c r="BO605" t="s">
        <v>74</v>
      </c>
      <c r="BP605" t="s">
        <v>74</v>
      </c>
      <c r="BQ605" t="s">
        <v>74</v>
      </c>
      <c r="BR605" t="s">
        <v>105</v>
      </c>
      <c r="BS605" t="s">
        <v>11308</v>
      </c>
      <c r="BT605" t="str">
        <f>HYPERLINK("https%3A%2F%2Fwww.webofscience.com%2Fwos%2Fwoscc%2Ffull-record%2FWOS:000318823800004","View Full Record in Web of Science")</f>
        <v>View Full Record in Web of Science</v>
      </c>
    </row>
    <row r="606" spans="1:72" x14ac:dyDescent="0.15">
      <c r="A606" t="s">
        <v>72</v>
      </c>
      <c r="B606" t="s">
        <v>11309</v>
      </c>
      <c r="C606" t="s">
        <v>74</v>
      </c>
      <c r="D606" t="s">
        <v>74</v>
      </c>
      <c r="E606" t="s">
        <v>74</v>
      </c>
      <c r="F606" t="s">
        <v>11310</v>
      </c>
      <c r="G606" t="s">
        <v>74</v>
      </c>
      <c r="H606" t="s">
        <v>74</v>
      </c>
      <c r="I606" t="s">
        <v>11311</v>
      </c>
      <c r="J606" t="s">
        <v>487</v>
      </c>
      <c r="K606" t="s">
        <v>74</v>
      </c>
      <c r="L606" t="s">
        <v>74</v>
      </c>
      <c r="M606" t="s">
        <v>78</v>
      </c>
      <c r="N606" t="s">
        <v>79</v>
      </c>
      <c r="O606" t="s">
        <v>74</v>
      </c>
      <c r="P606" t="s">
        <v>74</v>
      </c>
      <c r="Q606" t="s">
        <v>74</v>
      </c>
      <c r="R606" t="s">
        <v>74</v>
      </c>
      <c r="S606" t="s">
        <v>74</v>
      </c>
      <c r="T606" t="s">
        <v>11312</v>
      </c>
      <c r="U606" t="s">
        <v>11313</v>
      </c>
      <c r="V606" t="s">
        <v>11314</v>
      </c>
      <c r="W606" t="s">
        <v>11315</v>
      </c>
      <c r="X606" t="s">
        <v>11316</v>
      </c>
      <c r="Y606" t="s">
        <v>11317</v>
      </c>
      <c r="Z606" t="s">
        <v>11318</v>
      </c>
      <c r="AA606" t="s">
        <v>11319</v>
      </c>
      <c r="AB606" t="s">
        <v>11320</v>
      </c>
      <c r="AC606" t="s">
        <v>74</v>
      </c>
      <c r="AD606" t="s">
        <v>74</v>
      </c>
      <c r="AE606" t="s">
        <v>74</v>
      </c>
      <c r="AF606" t="s">
        <v>74</v>
      </c>
      <c r="AG606">
        <v>38</v>
      </c>
      <c r="AH606">
        <v>50</v>
      </c>
      <c r="AI606">
        <v>55</v>
      </c>
      <c r="AJ606">
        <v>0</v>
      </c>
      <c r="AK606">
        <v>29</v>
      </c>
      <c r="AL606" t="s">
        <v>500</v>
      </c>
      <c r="AM606" t="s">
        <v>296</v>
      </c>
      <c r="AN606" t="s">
        <v>525</v>
      </c>
      <c r="AO606" t="s">
        <v>502</v>
      </c>
      <c r="AP606" t="s">
        <v>503</v>
      </c>
      <c r="AQ606" t="s">
        <v>74</v>
      </c>
      <c r="AR606" t="s">
        <v>504</v>
      </c>
      <c r="AS606" t="s">
        <v>505</v>
      </c>
      <c r="AT606" t="s">
        <v>5170</v>
      </c>
      <c r="AU606">
        <v>2013</v>
      </c>
      <c r="AV606">
        <v>40</v>
      </c>
      <c r="AW606" t="s">
        <v>2789</v>
      </c>
      <c r="AX606" t="s">
        <v>74</v>
      </c>
      <c r="AY606" t="s">
        <v>74</v>
      </c>
      <c r="AZ606" t="s">
        <v>74</v>
      </c>
      <c r="BA606" t="s">
        <v>74</v>
      </c>
      <c r="BB606">
        <v>353</v>
      </c>
      <c r="BC606">
        <v>376</v>
      </c>
      <c r="BD606" t="s">
        <v>74</v>
      </c>
      <c r="BE606" t="s">
        <v>11321</v>
      </c>
      <c r="BF606" t="str">
        <f>HYPERLINK("http://dx.doi.org/10.1007/s00382-012-1396-y","http://dx.doi.org/10.1007/s00382-012-1396-y")</f>
        <v>http://dx.doi.org/10.1007/s00382-012-1396-y</v>
      </c>
      <c r="BG606" t="s">
        <v>74</v>
      </c>
      <c r="BH606" t="s">
        <v>74</v>
      </c>
      <c r="BI606">
        <v>24</v>
      </c>
      <c r="BJ606" t="s">
        <v>101</v>
      </c>
      <c r="BK606" t="s">
        <v>102</v>
      </c>
      <c r="BL606" t="s">
        <v>101</v>
      </c>
      <c r="BM606" t="s">
        <v>11322</v>
      </c>
      <c r="BN606" t="s">
        <v>74</v>
      </c>
      <c r="BO606" t="s">
        <v>74</v>
      </c>
      <c r="BP606" t="s">
        <v>74</v>
      </c>
      <c r="BQ606" t="s">
        <v>74</v>
      </c>
      <c r="BR606" t="s">
        <v>105</v>
      </c>
      <c r="BS606" t="s">
        <v>11323</v>
      </c>
      <c r="BT606" t="str">
        <f>HYPERLINK("https%3A%2F%2Fwww.webofscience.com%2Fwos%2Fwoscc%2Ffull-record%2FWOS:000313033100021","View Full Record in Web of Science")</f>
        <v>View Full Record in Web of Science</v>
      </c>
    </row>
    <row r="607" spans="1:72" x14ac:dyDescent="0.15">
      <c r="A607" t="s">
        <v>72</v>
      </c>
      <c r="B607" t="s">
        <v>11324</v>
      </c>
      <c r="C607" t="s">
        <v>74</v>
      </c>
      <c r="D607" t="s">
        <v>74</v>
      </c>
      <c r="E607" t="s">
        <v>74</v>
      </c>
      <c r="F607" t="s">
        <v>11325</v>
      </c>
      <c r="G607" t="s">
        <v>74</v>
      </c>
      <c r="H607" t="s">
        <v>74</v>
      </c>
      <c r="I607" t="s">
        <v>11326</v>
      </c>
      <c r="J607" t="s">
        <v>6072</v>
      </c>
      <c r="K607" t="s">
        <v>74</v>
      </c>
      <c r="L607" t="s">
        <v>74</v>
      </c>
      <c r="M607" t="s">
        <v>78</v>
      </c>
      <c r="N607" t="s">
        <v>79</v>
      </c>
      <c r="O607" t="s">
        <v>74</v>
      </c>
      <c r="P607" t="s">
        <v>74</v>
      </c>
      <c r="Q607" t="s">
        <v>74</v>
      </c>
      <c r="R607" t="s">
        <v>74</v>
      </c>
      <c r="S607" t="s">
        <v>74</v>
      </c>
      <c r="T607" t="s">
        <v>74</v>
      </c>
      <c r="U607" t="s">
        <v>11327</v>
      </c>
      <c r="V607" t="s">
        <v>11328</v>
      </c>
      <c r="W607" t="s">
        <v>11329</v>
      </c>
      <c r="X607" t="s">
        <v>11330</v>
      </c>
      <c r="Y607" t="s">
        <v>11331</v>
      </c>
      <c r="Z607" t="s">
        <v>11332</v>
      </c>
      <c r="AA607" t="s">
        <v>11333</v>
      </c>
      <c r="AB607" t="s">
        <v>11334</v>
      </c>
      <c r="AC607" t="s">
        <v>11335</v>
      </c>
      <c r="AD607" t="s">
        <v>11336</v>
      </c>
      <c r="AE607" t="s">
        <v>11337</v>
      </c>
      <c r="AF607" t="s">
        <v>74</v>
      </c>
      <c r="AG607">
        <v>93</v>
      </c>
      <c r="AH607">
        <v>37</v>
      </c>
      <c r="AI607">
        <v>39</v>
      </c>
      <c r="AJ607">
        <v>0</v>
      </c>
      <c r="AK607">
        <v>49</v>
      </c>
      <c r="AL607" t="s">
        <v>4248</v>
      </c>
      <c r="AM607" t="s">
        <v>4249</v>
      </c>
      <c r="AN607" t="s">
        <v>4250</v>
      </c>
      <c r="AO607" t="s">
        <v>6084</v>
      </c>
      <c r="AP607" t="s">
        <v>6085</v>
      </c>
      <c r="AQ607" t="s">
        <v>74</v>
      </c>
      <c r="AR607" t="s">
        <v>6086</v>
      </c>
      <c r="AS607" t="s">
        <v>6087</v>
      </c>
      <c r="AT607" t="s">
        <v>74</v>
      </c>
      <c r="AU607">
        <v>2013</v>
      </c>
      <c r="AV607">
        <v>9</v>
      </c>
      <c r="AW607">
        <v>1</v>
      </c>
      <c r="AX607" t="s">
        <v>74</v>
      </c>
      <c r="AY607" t="s">
        <v>74</v>
      </c>
      <c r="AZ607" t="s">
        <v>74</v>
      </c>
      <c r="BA607" t="s">
        <v>74</v>
      </c>
      <c r="BB607">
        <v>173</v>
      </c>
      <c r="BC607">
        <v>189</v>
      </c>
      <c r="BD607" t="s">
        <v>74</v>
      </c>
      <c r="BE607" t="s">
        <v>11338</v>
      </c>
      <c r="BF607" t="str">
        <f>HYPERLINK("http://dx.doi.org/10.5194/cp-9-173-2013","http://dx.doi.org/10.5194/cp-9-173-2013")</f>
        <v>http://dx.doi.org/10.5194/cp-9-173-2013</v>
      </c>
      <c r="BG607" t="s">
        <v>74</v>
      </c>
      <c r="BH607" t="s">
        <v>74</v>
      </c>
      <c r="BI607">
        <v>17</v>
      </c>
      <c r="BJ607" t="s">
        <v>6089</v>
      </c>
      <c r="BK607" t="s">
        <v>102</v>
      </c>
      <c r="BL607" t="s">
        <v>6090</v>
      </c>
      <c r="BM607" t="s">
        <v>8036</v>
      </c>
      <c r="BN607" t="s">
        <v>74</v>
      </c>
      <c r="BO607" t="s">
        <v>4132</v>
      </c>
      <c r="BP607" t="s">
        <v>74</v>
      </c>
      <c r="BQ607" t="s">
        <v>74</v>
      </c>
      <c r="BR607" t="s">
        <v>105</v>
      </c>
      <c r="BS607" t="s">
        <v>11339</v>
      </c>
      <c r="BT607" t="str">
        <f>HYPERLINK("https%3A%2F%2Fwww.webofscience.com%2Fwos%2Fwoscc%2Ffull-record%2FWOS:000316961900011","View Full Record in Web of Science")</f>
        <v>View Full Record in Web of Science</v>
      </c>
    </row>
    <row r="608" spans="1:72" x14ac:dyDescent="0.15">
      <c r="A608" t="s">
        <v>72</v>
      </c>
      <c r="B608" t="s">
        <v>11340</v>
      </c>
      <c r="C608" t="s">
        <v>74</v>
      </c>
      <c r="D608" t="s">
        <v>74</v>
      </c>
      <c r="E608" t="s">
        <v>74</v>
      </c>
      <c r="F608" t="s">
        <v>11341</v>
      </c>
      <c r="G608" t="s">
        <v>74</v>
      </c>
      <c r="H608" t="s">
        <v>74</v>
      </c>
      <c r="I608" t="s">
        <v>11342</v>
      </c>
      <c r="J608" t="s">
        <v>6072</v>
      </c>
      <c r="K608" t="s">
        <v>74</v>
      </c>
      <c r="L608" t="s">
        <v>74</v>
      </c>
      <c r="M608" t="s">
        <v>78</v>
      </c>
      <c r="N608" t="s">
        <v>79</v>
      </c>
      <c r="O608" t="s">
        <v>74</v>
      </c>
      <c r="P608" t="s">
        <v>74</v>
      </c>
      <c r="Q608" t="s">
        <v>74</v>
      </c>
      <c r="R608" t="s">
        <v>74</v>
      </c>
      <c r="S608" t="s">
        <v>74</v>
      </c>
      <c r="T608" t="s">
        <v>74</v>
      </c>
      <c r="U608" t="s">
        <v>11343</v>
      </c>
      <c r="V608" t="s">
        <v>11344</v>
      </c>
      <c r="W608" t="s">
        <v>11345</v>
      </c>
      <c r="X608" t="s">
        <v>11346</v>
      </c>
      <c r="Y608" t="s">
        <v>11347</v>
      </c>
      <c r="Z608" t="s">
        <v>11348</v>
      </c>
      <c r="AA608" t="s">
        <v>74</v>
      </c>
      <c r="AB608" t="s">
        <v>11349</v>
      </c>
      <c r="AC608" t="s">
        <v>11350</v>
      </c>
      <c r="AD608" t="s">
        <v>11351</v>
      </c>
      <c r="AE608" t="s">
        <v>74</v>
      </c>
      <c r="AF608" t="s">
        <v>74</v>
      </c>
      <c r="AG608">
        <v>164</v>
      </c>
      <c r="AH608">
        <v>78</v>
      </c>
      <c r="AI608">
        <v>82</v>
      </c>
      <c r="AJ608">
        <v>2</v>
      </c>
      <c r="AK608">
        <v>66</v>
      </c>
      <c r="AL608" t="s">
        <v>4248</v>
      </c>
      <c r="AM608" t="s">
        <v>4249</v>
      </c>
      <c r="AN608" t="s">
        <v>4250</v>
      </c>
      <c r="AO608" t="s">
        <v>6084</v>
      </c>
      <c r="AP608" t="s">
        <v>6085</v>
      </c>
      <c r="AQ608" t="s">
        <v>74</v>
      </c>
      <c r="AR608" t="s">
        <v>6086</v>
      </c>
      <c r="AS608" t="s">
        <v>6087</v>
      </c>
      <c r="AT608" t="s">
        <v>74</v>
      </c>
      <c r="AU608">
        <v>2013</v>
      </c>
      <c r="AV608">
        <v>9</v>
      </c>
      <c r="AW608">
        <v>2</v>
      </c>
      <c r="AX608" t="s">
        <v>74</v>
      </c>
      <c r="AY608" t="s">
        <v>74</v>
      </c>
      <c r="AZ608" t="s">
        <v>74</v>
      </c>
      <c r="BA608" t="s">
        <v>74</v>
      </c>
      <c r="BB608">
        <v>525</v>
      </c>
      <c r="BC608">
        <v>546</v>
      </c>
      <c r="BD608" t="s">
        <v>74</v>
      </c>
      <c r="BE608" t="s">
        <v>11352</v>
      </c>
      <c r="BF608" t="str">
        <f>HYPERLINK("http://dx.doi.org/10.5194/cp-9-525-2013","http://dx.doi.org/10.5194/cp-9-525-2013")</f>
        <v>http://dx.doi.org/10.5194/cp-9-525-2013</v>
      </c>
      <c r="BG608" t="s">
        <v>74</v>
      </c>
      <c r="BH608" t="s">
        <v>74</v>
      </c>
      <c r="BI608">
        <v>22</v>
      </c>
      <c r="BJ608" t="s">
        <v>6089</v>
      </c>
      <c r="BK608" t="s">
        <v>102</v>
      </c>
      <c r="BL608" t="s">
        <v>6090</v>
      </c>
      <c r="BM608" t="s">
        <v>7858</v>
      </c>
      <c r="BN608" t="s">
        <v>74</v>
      </c>
      <c r="BO608" t="s">
        <v>4132</v>
      </c>
      <c r="BP608" t="s">
        <v>74</v>
      </c>
      <c r="BQ608" t="s">
        <v>74</v>
      </c>
      <c r="BR608" t="s">
        <v>105</v>
      </c>
      <c r="BS608" t="s">
        <v>11353</v>
      </c>
      <c r="BT608" t="str">
        <f>HYPERLINK("https%3A%2F%2Fwww.webofscience.com%2Fwos%2Fwoscc%2Ffull-record%2FWOS:000317009700002","View Full Record in Web of Science")</f>
        <v>View Full Record in Web of Science</v>
      </c>
    </row>
    <row r="609" spans="1:72" x14ac:dyDescent="0.15">
      <c r="A609" t="s">
        <v>72</v>
      </c>
      <c r="B609" t="s">
        <v>11354</v>
      </c>
      <c r="C609" t="s">
        <v>74</v>
      </c>
      <c r="D609" t="s">
        <v>74</v>
      </c>
      <c r="E609" t="s">
        <v>74</v>
      </c>
      <c r="F609" t="s">
        <v>11355</v>
      </c>
      <c r="G609" t="s">
        <v>74</v>
      </c>
      <c r="H609" t="s">
        <v>74</v>
      </c>
      <c r="I609" t="s">
        <v>11356</v>
      </c>
      <c r="J609" t="s">
        <v>6072</v>
      </c>
      <c r="K609" t="s">
        <v>74</v>
      </c>
      <c r="L609" t="s">
        <v>74</v>
      </c>
      <c r="M609" t="s">
        <v>78</v>
      </c>
      <c r="N609" t="s">
        <v>79</v>
      </c>
      <c r="O609" t="s">
        <v>74</v>
      </c>
      <c r="P609" t="s">
        <v>74</v>
      </c>
      <c r="Q609" t="s">
        <v>74</v>
      </c>
      <c r="R609" t="s">
        <v>74</v>
      </c>
      <c r="S609" t="s">
        <v>74</v>
      </c>
      <c r="T609" t="s">
        <v>74</v>
      </c>
      <c r="U609" t="s">
        <v>11357</v>
      </c>
      <c r="V609" t="s">
        <v>11358</v>
      </c>
      <c r="W609" t="s">
        <v>11359</v>
      </c>
      <c r="X609" t="s">
        <v>11360</v>
      </c>
      <c r="Y609" t="s">
        <v>11361</v>
      </c>
      <c r="Z609" t="s">
        <v>11362</v>
      </c>
      <c r="AA609" t="s">
        <v>11363</v>
      </c>
      <c r="AB609" t="s">
        <v>11364</v>
      </c>
      <c r="AC609" t="s">
        <v>10891</v>
      </c>
      <c r="AD609" t="s">
        <v>10892</v>
      </c>
      <c r="AE609" t="s">
        <v>11365</v>
      </c>
      <c r="AF609" t="s">
        <v>74</v>
      </c>
      <c r="AG609">
        <v>35</v>
      </c>
      <c r="AH609">
        <v>21</v>
      </c>
      <c r="AI609">
        <v>25</v>
      </c>
      <c r="AJ609">
        <v>3</v>
      </c>
      <c r="AK609">
        <v>26</v>
      </c>
      <c r="AL609" t="s">
        <v>4248</v>
      </c>
      <c r="AM609" t="s">
        <v>4249</v>
      </c>
      <c r="AN609" t="s">
        <v>4250</v>
      </c>
      <c r="AO609" t="s">
        <v>6084</v>
      </c>
      <c r="AP609" t="s">
        <v>6085</v>
      </c>
      <c r="AQ609" t="s">
        <v>74</v>
      </c>
      <c r="AR609" t="s">
        <v>6086</v>
      </c>
      <c r="AS609" t="s">
        <v>6087</v>
      </c>
      <c r="AT609" t="s">
        <v>74</v>
      </c>
      <c r="AU609">
        <v>2013</v>
      </c>
      <c r="AV609">
        <v>9</v>
      </c>
      <c r="AW609">
        <v>2</v>
      </c>
      <c r="AX609" t="s">
        <v>74</v>
      </c>
      <c r="AY609" t="s">
        <v>74</v>
      </c>
      <c r="AZ609" t="s">
        <v>74</v>
      </c>
      <c r="BA609" t="s">
        <v>74</v>
      </c>
      <c r="BB609">
        <v>597</v>
      </c>
      <c r="BC609">
        <v>604</v>
      </c>
      <c r="BD609" t="s">
        <v>74</v>
      </c>
      <c r="BE609" t="s">
        <v>11366</v>
      </c>
      <c r="BF609" t="str">
        <f>HYPERLINK("http://dx.doi.org/10.5194/cp-9-597-2013","http://dx.doi.org/10.5194/cp-9-597-2013")</f>
        <v>http://dx.doi.org/10.5194/cp-9-597-2013</v>
      </c>
      <c r="BG609" t="s">
        <v>74</v>
      </c>
      <c r="BH609" t="s">
        <v>74</v>
      </c>
      <c r="BI609">
        <v>8</v>
      </c>
      <c r="BJ609" t="s">
        <v>6089</v>
      </c>
      <c r="BK609" t="s">
        <v>102</v>
      </c>
      <c r="BL609" t="s">
        <v>6090</v>
      </c>
      <c r="BM609" t="s">
        <v>7858</v>
      </c>
      <c r="BN609" t="s">
        <v>74</v>
      </c>
      <c r="BO609" t="s">
        <v>2629</v>
      </c>
      <c r="BP609" t="s">
        <v>74</v>
      </c>
      <c r="BQ609" t="s">
        <v>74</v>
      </c>
      <c r="BR609" t="s">
        <v>105</v>
      </c>
      <c r="BS609" t="s">
        <v>11367</v>
      </c>
      <c r="BT609" t="str">
        <f>HYPERLINK("https%3A%2F%2Fwww.webofscience.com%2Fwos%2Fwoscc%2Ffull-record%2FWOS:000317009700006","View Full Record in Web of Science")</f>
        <v>View Full Record in Web of Science</v>
      </c>
    </row>
    <row r="610" spans="1:72" x14ac:dyDescent="0.15">
      <c r="A610" t="s">
        <v>72</v>
      </c>
      <c r="B610" t="s">
        <v>11368</v>
      </c>
      <c r="C610" t="s">
        <v>74</v>
      </c>
      <c r="D610" t="s">
        <v>74</v>
      </c>
      <c r="E610" t="s">
        <v>74</v>
      </c>
      <c r="F610" t="s">
        <v>11369</v>
      </c>
      <c r="G610" t="s">
        <v>74</v>
      </c>
      <c r="H610" t="s">
        <v>74</v>
      </c>
      <c r="I610" t="s">
        <v>11370</v>
      </c>
      <c r="J610" t="s">
        <v>6072</v>
      </c>
      <c r="K610" t="s">
        <v>74</v>
      </c>
      <c r="L610" t="s">
        <v>74</v>
      </c>
      <c r="M610" t="s">
        <v>78</v>
      </c>
      <c r="N610" t="s">
        <v>79</v>
      </c>
      <c r="O610" t="s">
        <v>74</v>
      </c>
      <c r="P610" t="s">
        <v>74</v>
      </c>
      <c r="Q610" t="s">
        <v>74</v>
      </c>
      <c r="R610" t="s">
        <v>74</v>
      </c>
      <c r="S610" t="s">
        <v>74</v>
      </c>
      <c r="T610" t="s">
        <v>74</v>
      </c>
      <c r="U610" t="s">
        <v>11371</v>
      </c>
      <c r="V610" t="s">
        <v>11372</v>
      </c>
      <c r="W610" t="s">
        <v>11373</v>
      </c>
      <c r="X610" t="s">
        <v>11374</v>
      </c>
      <c r="Y610" t="s">
        <v>11375</v>
      </c>
      <c r="Z610" t="s">
        <v>11376</v>
      </c>
      <c r="AA610" t="s">
        <v>11377</v>
      </c>
      <c r="AB610" t="s">
        <v>11378</v>
      </c>
      <c r="AC610" t="s">
        <v>11379</v>
      </c>
      <c r="AD610" t="s">
        <v>11380</v>
      </c>
      <c r="AE610" t="s">
        <v>11381</v>
      </c>
      <c r="AF610" t="s">
        <v>74</v>
      </c>
      <c r="AG610">
        <v>82</v>
      </c>
      <c r="AH610">
        <v>72</v>
      </c>
      <c r="AI610">
        <v>79</v>
      </c>
      <c r="AJ610">
        <v>0</v>
      </c>
      <c r="AK610">
        <v>49</v>
      </c>
      <c r="AL610" t="s">
        <v>4248</v>
      </c>
      <c r="AM610" t="s">
        <v>4249</v>
      </c>
      <c r="AN610" t="s">
        <v>4250</v>
      </c>
      <c r="AO610" t="s">
        <v>6084</v>
      </c>
      <c r="AP610" t="s">
        <v>6085</v>
      </c>
      <c r="AQ610" t="s">
        <v>74</v>
      </c>
      <c r="AR610" t="s">
        <v>6086</v>
      </c>
      <c r="AS610" t="s">
        <v>6087</v>
      </c>
      <c r="AT610" t="s">
        <v>74</v>
      </c>
      <c r="AU610">
        <v>2013</v>
      </c>
      <c r="AV610">
        <v>9</v>
      </c>
      <c r="AW610">
        <v>2</v>
      </c>
      <c r="AX610" t="s">
        <v>74</v>
      </c>
      <c r="AY610" t="s">
        <v>74</v>
      </c>
      <c r="AZ610" t="s">
        <v>74</v>
      </c>
      <c r="BA610" t="s">
        <v>74</v>
      </c>
      <c r="BB610">
        <v>621</v>
      </c>
      <c r="BC610">
        <v>639</v>
      </c>
      <c r="BD610" t="s">
        <v>74</v>
      </c>
      <c r="BE610" t="s">
        <v>11382</v>
      </c>
      <c r="BF610" t="str">
        <f>HYPERLINK("http://dx.doi.org/10.5194/cp-9-621-2013","http://dx.doi.org/10.5194/cp-9-621-2013")</f>
        <v>http://dx.doi.org/10.5194/cp-9-621-2013</v>
      </c>
      <c r="BG610" t="s">
        <v>74</v>
      </c>
      <c r="BH610" t="s">
        <v>74</v>
      </c>
      <c r="BI610">
        <v>19</v>
      </c>
      <c r="BJ610" t="s">
        <v>6089</v>
      </c>
      <c r="BK610" t="s">
        <v>102</v>
      </c>
      <c r="BL610" t="s">
        <v>6090</v>
      </c>
      <c r="BM610" t="s">
        <v>7858</v>
      </c>
      <c r="BN610" t="s">
        <v>74</v>
      </c>
      <c r="BO610" t="s">
        <v>4132</v>
      </c>
      <c r="BP610" t="s">
        <v>74</v>
      </c>
      <c r="BQ610" t="s">
        <v>74</v>
      </c>
      <c r="BR610" t="s">
        <v>105</v>
      </c>
      <c r="BS610" t="s">
        <v>11383</v>
      </c>
      <c r="BT610" t="str">
        <f>HYPERLINK("https%3A%2F%2Fwww.webofscience.com%2Fwos%2Fwoscc%2Ffull-record%2FWOS:000317009700008","View Full Record in Web of Science")</f>
        <v>View Full Record in Web of Science</v>
      </c>
    </row>
    <row r="611" spans="1:72" x14ac:dyDescent="0.15">
      <c r="A611" t="s">
        <v>72</v>
      </c>
      <c r="B611" t="s">
        <v>11384</v>
      </c>
      <c r="C611" t="s">
        <v>74</v>
      </c>
      <c r="D611" t="s">
        <v>74</v>
      </c>
      <c r="E611" t="s">
        <v>74</v>
      </c>
      <c r="F611" t="s">
        <v>11385</v>
      </c>
      <c r="G611" t="s">
        <v>74</v>
      </c>
      <c r="H611" t="s">
        <v>74</v>
      </c>
      <c r="I611" t="s">
        <v>11386</v>
      </c>
      <c r="J611" t="s">
        <v>6072</v>
      </c>
      <c r="K611" t="s">
        <v>74</v>
      </c>
      <c r="L611" t="s">
        <v>74</v>
      </c>
      <c r="M611" t="s">
        <v>78</v>
      </c>
      <c r="N611" t="s">
        <v>79</v>
      </c>
      <c r="O611" t="s">
        <v>74</v>
      </c>
      <c r="P611" t="s">
        <v>74</v>
      </c>
      <c r="Q611" t="s">
        <v>74</v>
      </c>
      <c r="R611" t="s">
        <v>74</v>
      </c>
      <c r="S611" t="s">
        <v>74</v>
      </c>
      <c r="T611" t="s">
        <v>74</v>
      </c>
      <c r="U611" t="s">
        <v>11387</v>
      </c>
      <c r="V611" t="s">
        <v>11388</v>
      </c>
      <c r="W611" t="s">
        <v>11389</v>
      </c>
      <c r="X611" t="s">
        <v>11390</v>
      </c>
      <c r="Y611" t="s">
        <v>11391</v>
      </c>
      <c r="Z611" t="s">
        <v>11392</v>
      </c>
      <c r="AA611" t="s">
        <v>11393</v>
      </c>
      <c r="AB611" t="s">
        <v>11394</v>
      </c>
      <c r="AC611" t="s">
        <v>11395</v>
      </c>
      <c r="AD611" t="s">
        <v>11396</v>
      </c>
      <c r="AE611" t="s">
        <v>11397</v>
      </c>
      <c r="AF611" t="s">
        <v>74</v>
      </c>
      <c r="AG611">
        <v>80</v>
      </c>
      <c r="AH611">
        <v>25</v>
      </c>
      <c r="AI611">
        <v>28</v>
      </c>
      <c r="AJ611">
        <v>0</v>
      </c>
      <c r="AK611">
        <v>26</v>
      </c>
      <c r="AL611" t="s">
        <v>4248</v>
      </c>
      <c r="AM611" t="s">
        <v>4249</v>
      </c>
      <c r="AN611" t="s">
        <v>4250</v>
      </c>
      <c r="AO611" t="s">
        <v>6084</v>
      </c>
      <c r="AP611" t="s">
        <v>6085</v>
      </c>
      <c r="AQ611" t="s">
        <v>74</v>
      </c>
      <c r="AR611" t="s">
        <v>6086</v>
      </c>
      <c r="AS611" t="s">
        <v>6087</v>
      </c>
      <c r="AT611" t="s">
        <v>74</v>
      </c>
      <c r="AU611">
        <v>2013</v>
      </c>
      <c r="AV611">
        <v>9</v>
      </c>
      <c r="AW611">
        <v>2</v>
      </c>
      <c r="AX611" t="s">
        <v>74</v>
      </c>
      <c r="AY611" t="s">
        <v>74</v>
      </c>
      <c r="AZ611" t="s">
        <v>74</v>
      </c>
      <c r="BA611" t="s">
        <v>74</v>
      </c>
      <c r="BB611">
        <v>887</v>
      </c>
      <c r="BC611">
        <v>901</v>
      </c>
      <c r="BD611" t="s">
        <v>74</v>
      </c>
      <c r="BE611" t="s">
        <v>11398</v>
      </c>
      <c r="BF611" t="str">
        <f>HYPERLINK("http://dx.doi.org/10.5194/cp-9-887-2013","http://dx.doi.org/10.5194/cp-9-887-2013")</f>
        <v>http://dx.doi.org/10.5194/cp-9-887-2013</v>
      </c>
      <c r="BG611" t="s">
        <v>74</v>
      </c>
      <c r="BH611" t="s">
        <v>74</v>
      </c>
      <c r="BI611">
        <v>15</v>
      </c>
      <c r="BJ611" t="s">
        <v>6089</v>
      </c>
      <c r="BK611" t="s">
        <v>102</v>
      </c>
      <c r="BL611" t="s">
        <v>6090</v>
      </c>
      <c r="BM611" t="s">
        <v>7858</v>
      </c>
      <c r="BN611" t="s">
        <v>74</v>
      </c>
      <c r="BO611" t="s">
        <v>5017</v>
      </c>
      <c r="BP611" t="s">
        <v>74</v>
      </c>
      <c r="BQ611" t="s">
        <v>74</v>
      </c>
      <c r="BR611" t="s">
        <v>105</v>
      </c>
      <c r="BS611" t="s">
        <v>11399</v>
      </c>
      <c r="BT611" t="str">
        <f>HYPERLINK("https%3A%2F%2Fwww.webofscience.com%2Fwos%2Fwoscc%2Ffull-record%2FWOS:000317009700024","View Full Record in Web of Science")</f>
        <v>View Full Record in Web of Science</v>
      </c>
    </row>
    <row r="612" spans="1:72" x14ac:dyDescent="0.15">
      <c r="A612" t="s">
        <v>72</v>
      </c>
      <c r="B612" t="s">
        <v>11400</v>
      </c>
      <c r="C612" t="s">
        <v>74</v>
      </c>
      <c r="D612" t="s">
        <v>74</v>
      </c>
      <c r="E612" t="s">
        <v>74</v>
      </c>
      <c r="F612" t="s">
        <v>11401</v>
      </c>
      <c r="G612" t="s">
        <v>74</v>
      </c>
      <c r="H612" t="s">
        <v>74</v>
      </c>
      <c r="I612" t="s">
        <v>11402</v>
      </c>
      <c r="J612" t="s">
        <v>6072</v>
      </c>
      <c r="K612" t="s">
        <v>74</v>
      </c>
      <c r="L612" t="s">
        <v>74</v>
      </c>
      <c r="M612" t="s">
        <v>78</v>
      </c>
      <c r="N612" t="s">
        <v>79</v>
      </c>
      <c r="O612" t="s">
        <v>74</v>
      </c>
      <c r="P612" t="s">
        <v>74</v>
      </c>
      <c r="Q612" t="s">
        <v>74</v>
      </c>
      <c r="R612" t="s">
        <v>74</v>
      </c>
      <c r="S612" t="s">
        <v>74</v>
      </c>
      <c r="T612" t="s">
        <v>74</v>
      </c>
      <c r="U612" t="s">
        <v>11403</v>
      </c>
      <c r="V612" t="s">
        <v>11404</v>
      </c>
      <c r="W612" t="s">
        <v>11405</v>
      </c>
      <c r="X612" t="s">
        <v>11406</v>
      </c>
      <c r="Y612" t="s">
        <v>11407</v>
      </c>
      <c r="Z612" t="s">
        <v>11408</v>
      </c>
      <c r="AA612" t="s">
        <v>11409</v>
      </c>
      <c r="AB612" t="s">
        <v>11410</v>
      </c>
      <c r="AC612" t="s">
        <v>11411</v>
      </c>
      <c r="AD612" t="s">
        <v>11412</v>
      </c>
      <c r="AE612" t="s">
        <v>7856</v>
      </c>
      <c r="AF612" t="s">
        <v>74</v>
      </c>
      <c r="AG612">
        <v>67</v>
      </c>
      <c r="AH612">
        <v>18</v>
      </c>
      <c r="AI612">
        <v>21</v>
      </c>
      <c r="AJ612">
        <v>0</v>
      </c>
      <c r="AK612">
        <v>43</v>
      </c>
      <c r="AL612" t="s">
        <v>4248</v>
      </c>
      <c r="AM612" t="s">
        <v>4249</v>
      </c>
      <c r="AN612" t="s">
        <v>4250</v>
      </c>
      <c r="AO612" t="s">
        <v>6084</v>
      </c>
      <c r="AP612" t="s">
        <v>6085</v>
      </c>
      <c r="AQ612" t="s">
        <v>74</v>
      </c>
      <c r="AR612" t="s">
        <v>6086</v>
      </c>
      <c r="AS612" t="s">
        <v>6087</v>
      </c>
      <c r="AT612" t="s">
        <v>74</v>
      </c>
      <c r="AU612">
        <v>2013</v>
      </c>
      <c r="AV612">
        <v>9</v>
      </c>
      <c r="AW612">
        <v>3</v>
      </c>
      <c r="AX612" t="s">
        <v>74</v>
      </c>
      <c r="AY612" t="s">
        <v>74</v>
      </c>
      <c r="AZ612" t="s">
        <v>74</v>
      </c>
      <c r="BA612" t="s">
        <v>74</v>
      </c>
      <c r="BB612">
        <v>983</v>
      </c>
      <c r="BC612">
        <v>999</v>
      </c>
      <c r="BD612" t="s">
        <v>74</v>
      </c>
      <c r="BE612" t="s">
        <v>11413</v>
      </c>
      <c r="BF612" t="str">
        <f>HYPERLINK("http://dx.doi.org/10.5194/cp-9-983-2013","http://dx.doi.org/10.5194/cp-9-983-2013")</f>
        <v>http://dx.doi.org/10.5194/cp-9-983-2013</v>
      </c>
      <c r="BG612" t="s">
        <v>74</v>
      </c>
      <c r="BH612" t="s">
        <v>74</v>
      </c>
      <c r="BI612">
        <v>17</v>
      </c>
      <c r="BJ612" t="s">
        <v>6089</v>
      </c>
      <c r="BK612" t="s">
        <v>102</v>
      </c>
      <c r="BL612" t="s">
        <v>6090</v>
      </c>
      <c r="BM612" t="s">
        <v>11414</v>
      </c>
      <c r="BN612" t="s">
        <v>74</v>
      </c>
      <c r="BO612" t="s">
        <v>11415</v>
      </c>
      <c r="BP612" t="s">
        <v>74</v>
      </c>
      <c r="BQ612" t="s">
        <v>74</v>
      </c>
      <c r="BR612" t="s">
        <v>105</v>
      </c>
      <c r="BS612" t="s">
        <v>11416</v>
      </c>
      <c r="BT612" t="str">
        <f>HYPERLINK("https%3A%2F%2Fwww.webofscience.com%2Fwos%2Fwoscc%2Ffull-record%2FWOS:000322859700001","View Full Record in Web of Science")</f>
        <v>View Full Record in Web of Science</v>
      </c>
    </row>
    <row r="613" spans="1:72" x14ac:dyDescent="0.15">
      <c r="A613" t="s">
        <v>72</v>
      </c>
      <c r="B613" t="s">
        <v>11417</v>
      </c>
      <c r="C613" t="s">
        <v>74</v>
      </c>
      <c r="D613" t="s">
        <v>74</v>
      </c>
      <c r="E613" t="s">
        <v>74</v>
      </c>
      <c r="F613" t="s">
        <v>11418</v>
      </c>
      <c r="G613" t="s">
        <v>74</v>
      </c>
      <c r="H613" t="s">
        <v>74</v>
      </c>
      <c r="I613" t="s">
        <v>11419</v>
      </c>
      <c r="J613" t="s">
        <v>6072</v>
      </c>
      <c r="K613" t="s">
        <v>74</v>
      </c>
      <c r="L613" t="s">
        <v>74</v>
      </c>
      <c r="M613" t="s">
        <v>78</v>
      </c>
      <c r="N613" t="s">
        <v>79</v>
      </c>
      <c r="O613" t="s">
        <v>74</v>
      </c>
      <c r="P613" t="s">
        <v>74</v>
      </c>
      <c r="Q613" t="s">
        <v>74</v>
      </c>
      <c r="R613" t="s">
        <v>74</v>
      </c>
      <c r="S613" t="s">
        <v>74</v>
      </c>
      <c r="T613" t="s">
        <v>74</v>
      </c>
      <c r="U613" t="s">
        <v>11420</v>
      </c>
      <c r="V613" t="s">
        <v>11421</v>
      </c>
      <c r="W613" t="s">
        <v>11422</v>
      </c>
      <c r="X613" t="s">
        <v>11423</v>
      </c>
      <c r="Y613" t="s">
        <v>11424</v>
      </c>
      <c r="Z613" t="s">
        <v>11425</v>
      </c>
      <c r="AA613" t="s">
        <v>11426</v>
      </c>
      <c r="AB613" t="s">
        <v>11427</v>
      </c>
      <c r="AC613" t="s">
        <v>11428</v>
      </c>
      <c r="AD613" t="s">
        <v>11429</v>
      </c>
      <c r="AE613" t="s">
        <v>7856</v>
      </c>
      <c r="AF613" t="s">
        <v>74</v>
      </c>
      <c r="AG613">
        <v>117</v>
      </c>
      <c r="AH613">
        <v>59</v>
      </c>
      <c r="AI613">
        <v>65</v>
      </c>
      <c r="AJ613">
        <v>1</v>
      </c>
      <c r="AK613">
        <v>54</v>
      </c>
      <c r="AL613" t="s">
        <v>4248</v>
      </c>
      <c r="AM613" t="s">
        <v>4249</v>
      </c>
      <c r="AN613" t="s">
        <v>4250</v>
      </c>
      <c r="AO613" t="s">
        <v>6084</v>
      </c>
      <c r="AP613" t="s">
        <v>6085</v>
      </c>
      <c r="AQ613" t="s">
        <v>74</v>
      </c>
      <c r="AR613" t="s">
        <v>6086</v>
      </c>
      <c r="AS613" t="s">
        <v>6087</v>
      </c>
      <c r="AT613" t="s">
        <v>74</v>
      </c>
      <c r="AU613">
        <v>2013</v>
      </c>
      <c r="AV613">
        <v>9</v>
      </c>
      <c r="AW613">
        <v>3</v>
      </c>
      <c r="AX613" t="s">
        <v>74</v>
      </c>
      <c r="AY613" t="s">
        <v>74</v>
      </c>
      <c r="AZ613" t="s">
        <v>74</v>
      </c>
      <c r="BA613" t="s">
        <v>74</v>
      </c>
      <c r="BB613">
        <v>1029</v>
      </c>
      <c r="BC613">
        <v>1051</v>
      </c>
      <c r="BD613" t="s">
        <v>74</v>
      </c>
      <c r="BE613" t="s">
        <v>11430</v>
      </c>
      <c r="BF613" t="str">
        <f>HYPERLINK("http://dx.doi.org/10.5194/cp-9-1029-2013","http://dx.doi.org/10.5194/cp-9-1029-2013")</f>
        <v>http://dx.doi.org/10.5194/cp-9-1029-2013</v>
      </c>
      <c r="BG613" t="s">
        <v>74</v>
      </c>
      <c r="BH613" t="s">
        <v>74</v>
      </c>
      <c r="BI613">
        <v>23</v>
      </c>
      <c r="BJ613" t="s">
        <v>6089</v>
      </c>
      <c r="BK613" t="s">
        <v>102</v>
      </c>
      <c r="BL613" t="s">
        <v>6090</v>
      </c>
      <c r="BM613" t="s">
        <v>11414</v>
      </c>
      <c r="BN613" t="s">
        <v>74</v>
      </c>
      <c r="BO613" t="s">
        <v>11415</v>
      </c>
      <c r="BP613" t="s">
        <v>74</v>
      </c>
      <c r="BQ613" t="s">
        <v>74</v>
      </c>
      <c r="BR613" t="s">
        <v>105</v>
      </c>
      <c r="BS613" t="s">
        <v>11431</v>
      </c>
      <c r="BT613" t="str">
        <f>HYPERLINK("https%3A%2F%2Fwww.webofscience.com%2Fwos%2Fwoscc%2Ffull-record%2FWOS:000322859700004","View Full Record in Web of Science")</f>
        <v>View Full Record in Web of Science</v>
      </c>
    </row>
    <row r="614" spans="1:72" x14ac:dyDescent="0.15">
      <c r="A614" t="s">
        <v>72</v>
      </c>
      <c r="B614" t="s">
        <v>11432</v>
      </c>
      <c r="C614" t="s">
        <v>74</v>
      </c>
      <c r="D614" t="s">
        <v>74</v>
      </c>
      <c r="E614" t="s">
        <v>74</v>
      </c>
      <c r="F614" t="s">
        <v>11433</v>
      </c>
      <c r="G614" t="s">
        <v>74</v>
      </c>
      <c r="H614" t="s">
        <v>74</v>
      </c>
      <c r="I614" t="s">
        <v>11434</v>
      </c>
      <c r="J614" t="s">
        <v>6072</v>
      </c>
      <c r="K614" t="s">
        <v>74</v>
      </c>
      <c r="L614" t="s">
        <v>74</v>
      </c>
      <c r="M614" t="s">
        <v>78</v>
      </c>
      <c r="N614" t="s">
        <v>79</v>
      </c>
      <c r="O614" t="s">
        <v>74</v>
      </c>
      <c r="P614" t="s">
        <v>74</v>
      </c>
      <c r="Q614" t="s">
        <v>74</v>
      </c>
      <c r="R614" t="s">
        <v>74</v>
      </c>
      <c r="S614" t="s">
        <v>74</v>
      </c>
      <c r="T614" t="s">
        <v>74</v>
      </c>
      <c r="U614" t="s">
        <v>11435</v>
      </c>
      <c r="V614" t="s">
        <v>11436</v>
      </c>
      <c r="W614" t="s">
        <v>11437</v>
      </c>
      <c r="X614" t="s">
        <v>11438</v>
      </c>
      <c r="Y614" t="s">
        <v>11439</v>
      </c>
      <c r="Z614" t="s">
        <v>10186</v>
      </c>
      <c r="AA614" t="s">
        <v>11440</v>
      </c>
      <c r="AB614" t="s">
        <v>11441</v>
      </c>
      <c r="AC614" t="s">
        <v>11442</v>
      </c>
      <c r="AD614" t="s">
        <v>11443</v>
      </c>
      <c r="AE614" t="s">
        <v>11444</v>
      </c>
      <c r="AF614" t="s">
        <v>74</v>
      </c>
      <c r="AG614">
        <v>67</v>
      </c>
      <c r="AH614">
        <v>18</v>
      </c>
      <c r="AI614">
        <v>19</v>
      </c>
      <c r="AJ614">
        <v>0</v>
      </c>
      <c r="AK614">
        <v>26</v>
      </c>
      <c r="AL614" t="s">
        <v>4248</v>
      </c>
      <c r="AM614" t="s">
        <v>4249</v>
      </c>
      <c r="AN614" t="s">
        <v>4250</v>
      </c>
      <c r="AO614" t="s">
        <v>6084</v>
      </c>
      <c r="AP614" t="s">
        <v>6085</v>
      </c>
      <c r="AQ614" t="s">
        <v>74</v>
      </c>
      <c r="AR614" t="s">
        <v>6086</v>
      </c>
      <c r="AS614" t="s">
        <v>6087</v>
      </c>
      <c r="AT614" t="s">
        <v>74</v>
      </c>
      <c r="AU614">
        <v>2013</v>
      </c>
      <c r="AV614">
        <v>9</v>
      </c>
      <c r="AW614">
        <v>3</v>
      </c>
      <c r="AX614" t="s">
        <v>74</v>
      </c>
      <c r="AY614" t="s">
        <v>74</v>
      </c>
      <c r="AZ614" t="s">
        <v>74</v>
      </c>
      <c r="BA614" t="s">
        <v>74</v>
      </c>
      <c r="BB614">
        <v>1221</v>
      </c>
      <c r="BC614">
        <v>1232</v>
      </c>
      <c r="BD614" t="s">
        <v>74</v>
      </c>
      <c r="BE614" t="s">
        <v>11445</v>
      </c>
      <c r="BF614" t="str">
        <f>HYPERLINK("http://dx.doi.org/10.5194/cp-9-1221-2013","http://dx.doi.org/10.5194/cp-9-1221-2013")</f>
        <v>http://dx.doi.org/10.5194/cp-9-1221-2013</v>
      </c>
      <c r="BG614" t="s">
        <v>74</v>
      </c>
      <c r="BH614" t="s">
        <v>74</v>
      </c>
      <c r="BI614">
        <v>12</v>
      </c>
      <c r="BJ614" t="s">
        <v>6089</v>
      </c>
      <c r="BK614" t="s">
        <v>102</v>
      </c>
      <c r="BL614" t="s">
        <v>6090</v>
      </c>
      <c r="BM614" t="s">
        <v>11414</v>
      </c>
      <c r="BN614" t="s">
        <v>74</v>
      </c>
      <c r="BO614" t="s">
        <v>4132</v>
      </c>
      <c r="BP614" t="s">
        <v>74</v>
      </c>
      <c r="BQ614" t="s">
        <v>74</v>
      </c>
      <c r="BR614" t="s">
        <v>105</v>
      </c>
      <c r="BS614" t="s">
        <v>11446</v>
      </c>
      <c r="BT614" t="str">
        <f>HYPERLINK("https%3A%2F%2Fwww.webofscience.com%2Fwos%2Fwoscc%2Ffull-record%2FWOS:000322859700015","View Full Record in Web of Science")</f>
        <v>View Full Record in Web of Science</v>
      </c>
    </row>
    <row r="615" spans="1:72" x14ac:dyDescent="0.15">
      <c r="A615" t="s">
        <v>72</v>
      </c>
      <c r="B615" t="s">
        <v>11447</v>
      </c>
      <c r="C615" t="s">
        <v>74</v>
      </c>
      <c r="D615" t="s">
        <v>74</v>
      </c>
      <c r="E615" t="s">
        <v>74</v>
      </c>
      <c r="F615" t="s">
        <v>11448</v>
      </c>
      <c r="G615" t="s">
        <v>74</v>
      </c>
      <c r="H615" t="s">
        <v>74</v>
      </c>
      <c r="I615" t="s">
        <v>11449</v>
      </c>
      <c r="J615" t="s">
        <v>6072</v>
      </c>
      <c r="K615" t="s">
        <v>74</v>
      </c>
      <c r="L615" t="s">
        <v>74</v>
      </c>
      <c r="M615" t="s">
        <v>78</v>
      </c>
      <c r="N615" t="s">
        <v>79</v>
      </c>
      <c r="O615" t="s">
        <v>74</v>
      </c>
      <c r="P615" t="s">
        <v>74</v>
      </c>
      <c r="Q615" t="s">
        <v>74</v>
      </c>
      <c r="R615" t="s">
        <v>74</v>
      </c>
      <c r="S615" t="s">
        <v>74</v>
      </c>
      <c r="T615" t="s">
        <v>74</v>
      </c>
      <c r="U615" t="s">
        <v>11450</v>
      </c>
      <c r="V615" t="s">
        <v>11451</v>
      </c>
      <c r="W615" t="s">
        <v>11452</v>
      </c>
      <c r="X615" t="s">
        <v>11453</v>
      </c>
      <c r="Y615" t="s">
        <v>11454</v>
      </c>
      <c r="Z615" t="s">
        <v>11455</v>
      </c>
      <c r="AA615" t="s">
        <v>11456</v>
      </c>
      <c r="AB615" t="s">
        <v>11457</v>
      </c>
      <c r="AC615" t="s">
        <v>7854</v>
      </c>
      <c r="AD615" t="s">
        <v>7855</v>
      </c>
      <c r="AE615" t="s">
        <v>7856</v>
      </c>
      <c r="AF615" t="s">
        <v>74</v>
      </c>
      <c r="AG615">
        <v>116</v>
      </c>
      <c r="AH615">
        <v>77</v>
      </c>
      <c r="AI615">
        <v>93</v>
      </c>
      <c r="AJ615">
        <v>5</v>
      </c>
      <c r="AK615">
        <v>69</v>
      </c>
      <c r="AL615" t="s">
        <v>4248</v>
      </c>
      <c r="AM615" t="s">
        <v>4249</v>
      </c>
      <c r="AN615" t="s">
        <v>4250</v>
      </c>
      <c r="AO615" t="s">
        <v>6084</v>
      </c>
      <c r="AP615" t="s">
        <v>6085</v>
      </c>
      <c r="AQ615" t="s">
        <v>74</v>
      </c>
      <c r="AR615" t="s">
        <v>6086</v>
      </c>
      <c r="AS615" t="s">
        <v>6087</v>
      </c>
      <c r="AT615" t="s">
        <v>74</v>
      </c>
      <c r="AU615">
        <v>2013</v>
      </c>
      <c r="AV615">
        <v>9</v>
      </c>
      <c r="AW615">
        <v>4</v>
      </c>
      <c r="AX615" t="s">
        <v>74</v>
      </c>
      <c r="AY615" t="s">
        <v>74</v>
      </c>
      <c r="AZ615" t="s">
        <v>74</v>
      </c>
      <c r="BA615" t="s">
        <v>74</v>
      </c>
      <c r="BB615">
        <v>1431</v>
      </c>
      <c r="BC615">
        <v>1446</v>
      </c>
      <c r="BD615" t="s">
        <v>74</v>
      </c>
      <c r="BE615" t="s">
        <v>11458</v>
      </c>
      <c r="BF615" t="str">
        <f>HYPERLINK("http://dx.doi.org/10.5194/cp-9-1431-2013","http://dx.doi.org/10.5194/cp-9-1431-2013")</f>
        <v>http://dx.doi.org/10.5194/cp-9-1431-2013</v>
      </c>
      <c r="BG615" t="s">
        <v>74</v>
      </c>
      <c r="BH615" t="s">
        <v>74</v>
      </c>
      <c r="BI615">
        <v>16</v>
      </c>
      <c r="BJ615" t="s">
        <v>6089</v>
      </c>
      <c r="BK615" t="s">
        <v>102</v>
      </c>
      <c r="BL615" t="s">
        <v>6090</v>
      </c>
      <c r="BM615" t="s">
        <v>6091</v>
      </c>
      <c r="BN615" t="s">
        <v>74</v>
      </c>
      <c r="BO615" t="s">
        <v>5344</v>
      </c>
      <c r="BP615" t="s">
        <v>74</v>
      </c>
      <c r="BQ615" t="s">
        <v>74</v>
      </c>
      <c r="BR615" t="s">
        <v>105</v>
      </c>
      <c r="BS615" t="s">
        <v>11459</v>
      </c>
      <c r="BT615" t="str">
        <f>HYPERLINK("https%3A%2F%2Fwww.webofscience.com%2Fwos%2Fwoscc%2Ffull-record%2FWOS:000323412600004","View Full Record in Web of Science")</f>
        <v>View Full Record in Web of Science</v>
      </c>
    </row>
    <row r="616" spans="1:72" x14ac:dyDescent="0.15">
      <c r="A616" t="s">
        <v>72</v>
      </c>
      <c r="B616" t="s">
        <v>11460</v>
      </c>
      <c r="C616" t="s">
        <v>74</v>
      </c>
      <c r="D616" t="s">
        <v>74</v>
      </c>
      <c r="E616" t="s">
        <v>74</v>
      </c>
      <c r="F616" t="s">
        <v>11461</v>
      </c>
      <c r="G616" t="s">
        <v>74</v>
      </c>
      <c r="H616" t="s">
        <v>74</v>
      </c>
      <c r="I616" t="s">
        <v>11462</v>
      </c>
      <c r="J616" t="s">
        <v>6072</v>
      </c>
      <c r="K616" t="s">
        <v>74</v>
      </c>
      <c r="L616" t="s">
        <v>74</v>
      </c>
      <c r="M616" t="s">
        <v>78</v>
      </c>
      <c r="N616" t="s">
        <v>79</v>
      </c>
      <c r="O616" t="s">
        <v>74</v>
      </c>
      <c r="P616" t="s">
        <v>74</v>
      </c>
      <c r="Q616" t="s">
        <v>74</v>
      </c>
      <c r="R616" t="s">
        <v>74</v>
      </c>
      <c r="S616" t="s">
        <v>74</v>
      </c>
      <c r="T616" t="s">
        <v>74</v>
      </c>
      <c r="U616" t="s">
        <v>11463</v>
      </c>
      <c r="V616" t="s">
        <v>11464</v>
      </c>
      <c r="W616" t="s">
        <v>11465</v>
      </c>
      <c r="X616" t="s">
        <v>11466</v>
      </c>
      <c r="Y616" t="s">
        <v>11467</v>
      </c>
      <c r="Z616" t="s">
        <v>11468</v>
      </c>
      <c r="AA616" t="s">
        <v>11469</v>
      </c>
      <c r="AB616" t="s">
        <v>11470</v>
      </c>
      <c r="AC616" t="s">
        <v>11471</v>
      </c>
      <c r="AD616" t="s">
        <v>11472</v>
      </c>
      <c r="AE616" t="s">
        <v>11473</v>
      </c>
      <c r="AF616" t="s">
        <v>74</v>
      </c>
      <c r="AG616">
        <v>62</v>
      </c>
      <c r="AH616">
        <v>26</v>
      </c>
      <c r="AI616">
        <v>29</v>
      </c>
      <c r="AJ616">
        <v>0</v>
      </c>
      <c r="AK616">
        <v>28</v>
      </c>
      <c r="AL616" t="s">
        <v>4248</v>
      </c>
      <c r="AM616" t="s">
        <v>4249</v>
      </c>
      <c r="AN616" t="s">
        <v>4250</v>
      </c>
      <c r="AO616" t="s">
        <v>6084</v>
      </c>
      <c r="AP616" t="s">
        <v>6085</v>
      </c>
      <c r="AQ616" t="s">
        <v>74</v>
      </c>
      <c r="AR616" t="s">
        <v>6086</v>
      </c>
      <c r="AS616" t="s">
        <v>6087</v>
      </c>
      <c r="AT616" t="s">
        <v>74</v>
      </c>
      <c r="AU616">
        <v>2013</v>
      </c>
      <c r="AV616">
        <v>9</v>
      </c>
      <c r="AW616">
        <v>4</v>
      </c>
      <c r="AX616" t="s">
        <v>74</v>
      </c>
      <c r="AY616" t="s">
        <v>74</v>
      </c>
      <c r="AZ616" t="s">
        <v>74</v>
      </c>
      <c r="BA616" t="s">
        <v>74</v>
      </c>
      <c r="BB616">
        <v>1467</v>
      </c>
      <c r="BC616">
        <v>1479</v>
      </c>
      <c r="BD616" t="s">
        <v>74</v>
      </c>
      <c r="BE616" t="s">
        <v>11474</v>
      </c>
      <c r="BF616" t="str">
        <f>HYPERLINK("http://dx.doi.org/10.5194/cp-9-1467-2013","http://dx.doi.org/10.5194/cp-9-1467-2013")</f>
        <v>http://dx.doi.org/10.5194/cp-9-1467-2013</v>
      </c>
      <c r="BG616" t="s">
        <v>74</v>
      </c>
      <c r="BH616" t="s">
        <v>74</v>
      </c>
      <c r="BI616">
        <v>13</v>
      </c>
      <c r="BJ616" t="s">
        <v>6089</v>
      </c>
      <c r="BK616" t="s">
        <v>102</v>
      </c>
      <c r="BL616" t="s">
        <v>6090</v>
      </c>
      <c r="BM616" t="s">
        <v>6091</v>
      </c>
      <c r="BN616" t="s">
        <v>74</v>
      </c>
      <c r="BO616" t="s">
        <v>3222</v>
      </c>
      <c r="BP616" t="s">
        <v>74</v>
      </c>
      <c r="BQ616" t="s">
        <v>74</v>
      </c>
      <c r="BR616" t="s">
        <v>105</v>
      </c>
      <c r="BS616" t="s">
        <v>11475</v>
      </c>
      <c r="BT616" t="str">
        <f>HYPERLINK("https%3A%2F%2Fwww.webofscience.com%2Fwos%2Fwoscc%2Ffull-record%2FWOS:000323412600007","View Full Record in Web of Science")</f>
        <v>View Full Record in Web of Science</v>
      </c>
    </row>
    <row r="617" spans="1:72" x14ac:dyDescent="0.15">
      <c r="A617" t="s">
        <v>72</v>
      </c>
      <c r="B617" t="s">
        <v>11476</v>
      </c>
      <c r="C617" t="s">
        <v>74</v>
      </c>
      <c r="D617" t="s">
        <v>74</v>
      </c>
      <c r="E617" t="s">
        <v>74</v>
      </c>
      <c r="F617" t="s">
        <v>11477</v>
      </c>
      <c r="G617" t="s">
        <v>74</v>
      </c>
      <c r="H617" t="s">
        <v>74</v>
      </c>
      <c r="I617" t="s">
        <v>11478</v>
      </c>
      <c r="J617" t="s">
        <v>6072</v>
      </c>
      <c r="K617" t="s">
        <v>74</v>
      </c>
      <c r="L617" t="s">
        <v>74</v>
      </c>
      <c r="M617" t="s">
        <v>78</v>
      </c>
      <c r="N617" t="s">
        <v>79</v>
      </c>
      <c r="O617" t="s">
        <v>74</v>
      </c>
      <c r="P617" t="s">
        <v>74</v>
      </c>
      <c r="Q617" t="s">
        <v>74</v>
      </c>
      <c r="R617" t="s">
        <v>74</v>
      </c>
      <c r="S617" t="s">
        <v>74</v>
      </c>
      <c r="T617" t="s">
        <v>74</v>
      </c>
      <c r="U617" t="s">
        <v>11479</v>
      </c>
      <c r="V617" t="s">
        <v>11480</v>
      </c>
      <c r="W617" t="s">
        <v>11481</v>
      </c>
      <c r="X617" t="s">
        <v>11482</v>
      </c>
      <c r="Y617" t="s">
        <v>11483</v>
      </c>
      <c r="Z617" t="s">
        <v>11484</v>
      </c>
      <c r="AA617" t="s">
        <v>11485</v>
      </c>
      <c r="AB617" t="s">
        <v>11486</v>
      </c>
      <c r="AC617" t="s">
        <v>11487</v>
      </c>
      <c r="AD617" t="s">
        <v>11412</v>
      </c>
      <c r="AE617" t="s">
        <v>7856</v>
      </c>
      <c r="AF617" t="s">
        <v>74</v>
      </c>
      <c r="AG617">
        <v>91</v>
      </c>
      <c r="AH617">
        <v>303</v>
      </c>
      <c r="AI617">
        <v>317</v>
      </c>
      <c r="AJ617">
        <v>6</v>
      </c>
      <c r="AK617">
        <v>133</v>
      </c>
      <c r="AL617" t="s">
        <v>4248</v>
      </c>
      <c r="AM617" t="s">
        <v>4249</v>
      </c>
      <c r="AN617" t="s">
        <v>4250</v>
      </c>
      <c r="AO617" t="s">
        <v>6084</v>
      </c>
      <c r="AP617" t="s">
        <v>6085</v>
      </c>
      <c r="AQ617" t="s">
        <v>74</v>
      </c>
      <c r="AR617" t="s">
        <v>6086</v>
      </c>
      <c r="AS617" t="s">
        <v>6087</v>
      </c>
      <c r="AT617" t="s">
        <v>74</v>
      </c>
      <c r="AU617">
        <v>2013</v>
      </c>
      <c r="AV617">
        <v>9</v>
      </c>
      <c r="AW617">
        <v>4</v>
      </c>
      <c r="AX617" t="s">
        <v>74</v>
      </c>
      <c r="AY617" t="s">
        <v>74</v>
      </c>
      <c r="AZ617" t="s">
        <v>74</v>
      </c>
      <c r="BA617" t="s">
        <v>74</v>
      </c>
      <c r="BB617">
        <v>1715</v>
      </c>
      <c r="BC617">
        <v>1731</v>
      </c>
      <c r="BD617" t="s">
        <v>74</v>
      </c>
      <c r="BE617" t="s">
        <v>11488</v>
      </c>
      <c r="BF617" t="str">
        <f>HYPERLINK("http://dx.doi.org/10.5194/cp-9-1715-2013","http://dx.doi.org/10.5194/cp-9-1715-2013")</f>
        <v>http://dx.doi.org/10.5194/cp-9-1715-2013</v>
      </c>
      <c r="BG617" t="s">
        <v>74</v>
      </c>
      <c r="BH617" t="s">
        <v>74</v>
      </c>
      <c r="BI617">
        <v>17</v>
      </c>
      <c r="BJ617" t="s">
        <v>6089</v>
      </c>
      <c r="BK617" t="s">
        <v>102</v>
      </c>
      <c r="BL617" t="s">
        <v>6090</v>
      </c>
      <c r="BM617" t="s">
        <v>6091</v>
      </c>
      <c r="BN617" t="s">
        <v>74</v>
      </c>
      <c r="BO617" t="s">
        <v>10944</v>
      </c>
      <c r="BP617" t="s">
        <v>1779</v>
      </c>
      <c r="BQ617" t="s">
        <v>1780</v>
      </c>
      <c r="BR617" t="s">
        <v>105</v>
      </c>
      <c r="BS617" t="s">
        <v>11489</v>
      </c>
      <c r="BT617" t="str">
        <f>HYPERLINK("https%3A%2F%2Fwww.webofscience.com%2Fwos%2Fwoscc%2Ffull-record%2FWOS:000323412600023","View Full Record in Web of Science")</f>
        <v>View Full Record in Web of Science</v>
      </c>
    </row>
    <row r="618" spans="1:72" x14ac:dyDescent="0.15">
      <c r="A618" t="s">
        <v>72</v>
      </c>
      <c r="B618" t="s">
        <v>11490</v>
      </c>
      <c r="C618" t="s">
        <v>74</v>
      </c>
      <c r="D618" t="s">
        <v>74</v>
      </c>
      <c r="E618" t="s">
        <v>74</v>
      </c>
      <c r="F618" t="s">
        <v>11491</v>
      </c>
      <c r="G618" t="s">
        <v>74</v>
      </c>
      <c r="H618" t="s">
        <v>74</v>
      </c>
      <c r="I618" t="s">
        <v>11492</v>
      </c>
      <c r="J618" t="s">
        <v>6072</v>
      </c>
      <c r="K618" t="s">
        <v>74</v>
      </c>
      <c r="L618" t="s">
        <v>74</v>
      </c>
      <c r="M618" t="s">
        <v>78</v>
      </c>
      <c r="N618" t="s">
        <v>79</v>
      </c>
      <c r="O618" t="s">
        <v>74</v>
      </c>
      <c r="P618" t="s">
        <v>74</v>
      </c>
      <c r="Q618" t="s">
        <v>74</v>
      </c>
      <c r="R618" t="s">
        <v>74</v>
      </c>
      <c r="S618" t="s">
        <v>74</v>
      </c>
      <c r="T618" t="s">
        <v>74</v>
      </c>
      <c r="U618" t="s">
        <v>11493</v>
      </c>
      <c r="V618" t="s">
        <v>11494</v>
      </c>
      <c r="W618" t="s">
        <v>11495</v>
      </c>
      <c r="X618" t="s">
        <v>11496</v>
      </c>
      <c r="Y618" t="s">
        <v>11497</v>
      </c>
      <c r="Z618" t="s">
        <v>11498</v>
      </c>
      <c r="AA618" t="s">
        <v>11499</v>
      </c>
      <c r="AB618" t="s">
        <v>11500</v>
      </c>
      <c r="AC618" t="s">
        <v>11501</v>
      </c>
      <c r="AD618" t="s">
        <v>11502</v>
      </c>
      <c r="AE618" t="s">
        <v>7856</v>
      </c>
      <c r="AF618" t="s">
        <v>74</v>
      </c>
      <c r="AG618">
        <v>93</v>
      </c>
      <c r="AH618">
        <v>335</v>
      </c>
      <c r="AI618">
        <v>359</v>
      </c>
      <c r="AJ618">
        <v>1</v>
      </c>
      <c r="AK618">
        <v>125</v>
      </c>
      <c r="AL618" t="s">
        <v>4248</v>
      </c>
      <c r="AM618" t="s">
        <v>4249</v>
      </c>
      <c r="AN618" t="s">
        <v>4250</v>
      </c>
      <c r="AO618" t="s">
        <v>6084</v>
      </c>
      <c r="AP618" t="s">
        <v>6085</v>
      </c>
      <c r="AQ618" t="s">
        <v>74</v>
      </c>
      <c r="AR618" t="s">
        <v>6086</v>
      </c>
      <c r="AS618" t="s">
        <v>6087</v>
      </c>
      <c r="AT618" t="s">
        <v>74</v>
      </c>
      <c r="AU618">
        <v>2013</v>
      </c>
      <c r="AV618">
        <v>9</v>
      </c>
      <c r="AW618">
        <v>4</v>
      </c>
      <c r="AX618" t="s">
        <v>74</v>
      </c>
      <c r="AY618" t="s">
        <v>74</v>
      </c>
      <c r="AZ618" t="s">
        <v>74</v>
      </c>
      <c r="BA618" t="s">
        <v>74</v>
      </c>
      <c r="BB618">
        <v>1733</v>
      </c>
      <c r="BC618">
        <v>1748</v>
      </c>
      <c r="BD618" t="s">
        <v>74</v>
      </c>
      <c r="BE618" t="s">
        <v>11503</v>
      </c>
      <c r="BF618" t="str">
        <f>HYPERLINK("http://dx.doi.org/10.5194/cp-9-1733-2013","http://dx.doi.org/10.5194/cp-9-1733-2013")</f>
        <v>http://dx.doi.org/10.5194/cp-9-1733-2013</v>
      </c>
      <c r="BG618" t="s">
        <v>74</v>
      </c>
      <c r="BH618" t="s">
        <v>74</v>
      </c>
      <c r="BI618">
        <v>16</v>
      </c>
      <c r="BJ618" t="s">
        <v>6089</v>
      </c>
      <c r="BK618" t="s">
        <v>102</v>
      </c>
      <c r="BL618" t="s">
        <v>6090</v>
      </c>
      <c r="BM618" t="s">
        <v>6091</v>
      </c>
      <c r="BN618" t="s">
        <v>74</v>
      </c>
      <c r="BO618" t="s">
        <v>5017</v>
      </c>
      <c r="BP618" t="s">
        <v>1779</v>
      </c>
      <c r="BQ618" t="s">
        <v>1780</v>
      </c>
      <c r="BR618" t="s">
        <v>105</v>
      </c>
      <c r="BS618" t="s">
        <v>11504</v>
      </c>
      <c r="BT618" t="str">
        <f>HYPERLINK("https%3A%2F%2Fwww.webofscience.com%2Fwos%2Fwoscc%2Ffull-record%2FWOS:000323412600024","View Full Record in Web of Science")</f>
        <v>View Full Record in Web of Science</v>
      </c>
    </row>
    <row r="619" spans="1:72" x14ac:dyDescent="0.15">
      <c r="A619" t="s">
        <v>72</v>
      </c>
      <c r="B619" t="s">
        <v>11505</v>
      </c>
      <c r="C619" t="s">
        <v>74</v>
      </c>
      <c r="D619" t="s">
        <v>74</v>
      </c>
      <c r="E619" t="s">
        <v>74</v>
      </c>
      <c r="F619" t="s">
        <v>11506</v>
      </c>
      <c r="G619" t="s">
        <v>74</v>
      </c>
      <c r="H619" t="s">
        <v>74</v>
      </c>
      <c r="I619" t="s">
        <v>11507</v>
      </c>
      <c r="J619" t="s">
        <v>6072</v>
      </c>
      <c r="K619" t="s">
        <v>74</v>
      </c>
      <c r="L619" t="s">
        <v>74</v>
      </c>
      <c r="M619" t="s">
        <v>78</v>
      </c>
      <c r="N619" t="s">
        <v>79</v>
      </c>
      <c r="O619" t="s">
        <v>74</v>
      </c>
      <c r="P619" t="s">
        <v>74</v>
      </c>
      <c r="Q619" t="s">
        <v>74</v>
      </c>
      <c r="R619" t="s">
        <v>74</v>
      </c>
      <c r="S619" t="s">
        <v>74</v>
      </c>
      <c r="T619" t="s">
        <v>74</v>
      </c>
      <c r="U619" t="s">
        <v>11508</v>
      </c>
      <c r="V619" t="s">
        <v>11509</v>
      </c>
      <c r="W619" t="s">
        <v>11510</v>
      </c>
      <c r="X619" t="s">
        <v>11316</v>
      </c>
      <c r="Y619" t="s">
        <v>11511</v>
      </c>
      <c r="Z619" t="s">
        <v>11512</v>
      </c>
      <c r="AA619" t="s">
        <v>11513</v>
      </c>
      <c r="AB619" t="s">
        <v>11514</v>
      </c>
      <c r="AC619" t="s">
        <v>11515</v>
      </c>
      <c r="AD619" t="s">
        <v>11516</v>
      </c>
      <c r="AE619" t="s">
        <v>11517</v>
      </c>
      <c r="AF619" t="s">
        <v>74</v>
      </c>
      <c r="AG619">
        <v>64</v>
      </c>
      <c r="AH619">
        <v>52</v>
      </c>
      <c r="AI619">
        <v>59</v>
      </c>
      <c r="AJ619">
        <v>0</v>
      </c>
      <c r="AK619">
        <v>27</v>
      </c>
      <c r="AL619" t="s">
        <v>4248</v>
      </c>
      <c r="AM619" t="s">
        <v>4249</v>
      </c>
      <c r="AN619" t="s">
        <v>4250</v>
      </c>
      <c r="AO619" t="s">
        <v>6084</v>
      </c>
      <c r="AP619" t="s">
        <v>6085</v>
      </c>
      <c r="AQ619" t="s">
        <v>74</v>
      </c>
      <c r="AR619" t="s">
        <v>6086</v>
      </c>
      <c r="AS619" t="s">
        <v>6087</v>
      </c>
      <c r="AT619" t="s">
        <v>74</v>
      </c>
      <c r="AU619">
        <v>2013</v>
      </c>
      <c r="AV619">
        <v>9</v>
      </c>
      <c r="AW619">
        <v>4</v>
      </c>
      <c r="AX619" t="s">
        <v>74</v>
      </c>
      <c r="AY619" t="s">
        <v>74</v>
      </c>
      <c r="AZ619" t="s">
        <v>74</v>
      </c>
      <c r="BA619" t="s">
        <v>74</v>
      </c>
      <c r="BB619">
        <v>1773</v>
      </c>
      <c r="BC619">
        <v>1788</v>
      </c>
      <c r="BD619" t="s">
        <v>74</v>
      </c>
      <c r="BE619" t="s">
        <v>11518</v>
      </c>
      <c r="BF619" t="str">
        <f>HYPERLINK("http://dx.doi.org/10.5194/cp-9-1773-2013","http://dx.doi.org/10.5194/cp-9-1773-2013")</f>
        <v>http://dx.doi.org/10.5194/cp-9-1773-2013</v>
      </c>
      <c r="BG619" t="s">
        <v>74</v>
      </c>
      <c r="BH619" t="s">
        <v>74</v>
      </c>
      <c r="BI619">
        <v>16</v>
      </c>
      <c r="BJ619" t="s">
        <v>6089</v>
      </c>
      <c r="BK619" t="s">
        <v>102</v>
      </c>
      <c r="BL619" t="s">
        <v>6090</v>
      </c>
      <c r="BM619" t="s">
        <v>6091</v>
      </c>
      <c r="BN619" t="s">
        <v>74</v>
      </c>
      <c r="BO619" t="s">
        <v>4132</v>
      </c>
      <c r="BP619" t="s">
        <v>74</v>
      </c>
      <c r="BQ619" t="s">
        <v>74</v>
      </c>
      <c r="BR619" t="s">
        <v>105</v>
      </c>
      <c r="BS619" t="s">
        <v>11519</v>
      </c>
      <c r="BT619" t="str">
        <f>HYPERLINK("https%3A%2F%2Fwww.webofscience.com%2Fwos%2Fwoscc%2Ffull-record%2FWOS:000323412600027","View Full Record in Web of Science")</f>
        <v>View Full Record in Web of Science</v>
      </c>
    </row>
    <row r="620" spans="1:72" x14ac:dyDescent="0.15">
      <c r="A620" t="s">
        <v>72</v>
      </c>
      <c r="B620" t="s">
        <v>11520</v>
      </c>
      <c r="C620" t="s">
        <v>74</v>
      </c>
      <c r="D620" t="s">
        <v>74</v>
      </c>
      <c r="E620" t="s">
        <v>74</v>
      </c>
      <c r="F620" t="s">
        <v>11521</v>
      </c>
      <c r="G620" t="s">
        <v>74</v>
      </c>
      <c r="H620" t="s">
        <v>74</v>
      </c>
      <c r="I620" t="s">
        <v>11522</v>
      </c>
      <c r="J620" t="s">
        <v>6072</v>
      </c>
      <c r="K620" t="s">
        <v>74</v>
      </c>
      <c r="L620" t="s">
        <v>74</v>
      </c>
      <c r="M620" t="s">
        <v>78</v>
      </c>
      <c r="N620" t="s">
        <v>1120</v>
      </c>
      <c r="O620" t="s">
        <v>74</v>
      </c>
      <c r="P620" t="s">
        <v>74</v>
      </c>
      <c r="Q620" t="s">
        <v>74</v>
      </c>
      <c r="R620" t="s">
        <v>74</v>
      </c>
      <c r="S620" t="s">
        <v>74</v>
      </c>
      <c r="T620" t="s">
        <v>74</v>
      </c>
      <c r="U620" t="s">
        <v>11523</v>
      </c>
      <c r="V620" t="s">
        <v>11524</v>
      </c>
      <c r="W620" t="s">
        <v>11525</v>
      </c>
      <c r="X620" t="s">
        <v>11526</v>
      </c>
      <c r="Y620" t="s">
        <v>11527</v>
      </c>
      <c r="Z620" t="s">
        <v>11528</v>
      </c>
      <c r="AA620" t="s">
        <v>11529</v>
      </c>
      <c r="AB620" t="s">
        <v>11530</v>
      </c>
      <c r="AC620" t="s">
        <v>11531</v>
      </c>
      <c r="AD620" t="s">
        <v>11532</v>
      </c>
      <c r="AE620" t="s">
        <v>11533</v>
      </c>
      <c r="AF620" t="s">
        <v>74</v>
      </c>
      <c r="AG620">
        <v>73</v>
      </c>
      <c r="AH620">
        <v>64</v>
      </c>
      <c r="AI620">
        <v>66</v>
      </c>
      <c r="AJ620">
        <v>2</v>
      </c>
      <c r="AK620">
        <v>79</v>
      </c>
      <c r="AL620" t="s">
        <v>4248</v>
      </c>
      <c r="AM620" t="s">
        <v>4249</v>
      </c>
      <c r="AN620" t="s">
        <v>4250</v>
      </c>
      <c r="AO620" t="s">
        <v>6084</v>
      </c>
      <c r="AP620" t="s">
        <v>6085</v>
      </c>
      <c r="AQ620" t="s">
        <v>74</v>
      </c>
      <c r="AR620" t="s">
        <v>6086</v>
      </c>
      <c r="AS620" t="s">
        <v>6087</v>
      </c>
      <c r="AT620" t="s">
        <v>74</v>
      </c>
      <c r="AU620">
        <v>2013</v>
      </c>
      <c r="AV620">
        <v>9</v>
      </c>
      <c r="AW620">
        <v>5</v>
      </c>
      <c r="AX620" t="s">
        <v>74</v>
      </c>
      <c r="AY620" t="s">
        <v>74</v>
      </c>
      <c r="AZ620" t="s">
        <v>74</v>
      </c>
      <c r="BA620" t="s">
        <v>74</v>
      </c>
      <c r="BB620">
        <v>2195</v>
      </c>
      <c r="BC620">
        <v>2211</v>
      </c>
      <c r="BD620" t="s">
        <v>74</v>
      </c>
      <c r="BE620" t="s">
        <v>11534</v>
      </c>
      <c r="BF620" t="str">
        <f>HYPERLINK("http://dx.doi.org/10.5194/cp-9-2195-2013","http://dx.doi.org/10.5194/cp-9-2195-2013")</f>
        <v>http://dx.doi.org/10.5194/cp-9-2195-2013</v>
      </c>
      <c r="BG620" t="s">
        <v>74</v>
      </c>
      <c r="BH620" t="s">
        <v>74</v>
      </c>
      <c r="BI620">
        <v>17</v>
      </c>
      <c r="BJ620" t="s">
        <v>6089</v>
      </c>
      <c r="BK620" t="s">
        <v>102</v>
      </c>
      <c r="BL620" t="s">
        <v>6090</v>
      </c>
      <c r="BM620" t="s">
        <v>11535</v>
      </c>
      <c r="BN620" t="s">
        <v>74</v>
      </c>
      <c r="BO620" t="s">
        <v>4132</v>
      </c>
      <c r="BP620" t="s">
        <v>74</v>
      </c>
      <c r="BQ620" t="s">
        <v>74</v>
      </c>
      <c r="BR620" t="s">
        <v>105</v>
      </c>
      <c r="BS620" t="s">
        <v>11536</v>
      </c>
      <c r="BT620" t="str">
        <f>HYPERLINK("https%3A%2F%2Fwww.webofscience.com%2Fwos%2Fwoscc%2Ffull-record%2FWOS:000326597800010","View Full Record in Web of Science")</f>
        <v>View Full Record in Web of Science</v>
      </c>
    </row>
    <row r="621" spans="1:72" x14ac:dyDescent="0.15">
      <c r="A621" t="s">
        <v>72</v>
      </c>
      <c r="B621" t="s">
        <v>11537</v>
      </c>
      <c r="C621" t="s">
        <v>74</v>
      </c>
      <c r="D621" t="s">
        <v>74</v>
      </c>
      <c r="E621" t="s">
        <v>74</v>
      </c>
      <c r="F621" t="s">
        <v>11538</v>
      </c>
      <c r="G621" t="s">
        <v>74</v>
      </c>
      <c r="H621" t="s">
        <v>74</v>
      </c>
      <c r="I621" t="s">
        <v>11539</v>
      </c>
      <c r="J621" t="s">
        <v>6072</v>
      </c>
      <c r="K621" t="s">
        <v>74</v>
      </c>
      <c r="L621" t="s">
        <v>74</v>
      </c>
      <c r="M621" t="s">
        <v>78</v>
      </c>
      <c r="N621" t="s">
        <v>79</v>
      </c>
      <c r="O621" t="s">
        <v>74</v>
      </c>
      <c r="P621" t="s">
        <v>74</v>
      </c>
      <c r="Q621" t="s">
        <v>74</v>
      </c>
      <c r="R621" t="s">
        <v>74</v>
      </c>
      <c r="S621" t="s">
        <v>74</v>
      </c>
      <c r="T621" t="s">
        <v>74</v>
      </c>
      <c r="U621" t="s">
        <v>11540</v>
      </c>
      <c r="V621" t="s">
        <v>11541</v>
      </c>
      <c r="W621" t="s">
        <v>11542</v>
      </c>
      <c r="X621" t="s">
        <v>11543</v>
      </c>
      <c r="Y621" t="s">
        <v>11544</v>
      </c>
      <c r="Z621" t="s">
        <v>11545</v>
      </c>
      <c r="AA621" t="s">
        <v>11546</v>
      </c>
      <c r="AB621" t="s">
        <v>11547</v>
      </c>
      <c r="AC621" t="s">
        <v>11548</v>
      </c>
      <c r="AD621" t="s">
        <v>11549</v>
      </c>
      <c r="AE621" t="s">
        <v>11550</v>
      </c>
      <c r="AF621" t="s">
        <v>74</v>
      </c>
      <c r="AG621">
        <v>141</v>
      </c>
      <c r="AH621">
        <v>23</v>
      </c>
      <c r="AI621">
        <v>24</v>
      </c>
      <c r="AJ621">
        <v>0</v>
      </c>
      <c r="AK621">
        <v>52</v>
      </c>
      <c r="AL621" t="s">
        <v>4248</v>
      </c>
      <c r="AM621" t="s">
        <v>4249</v>
      </c>
      <c r="AN621" t="s">
        <v>4250</v>
      </c>
      <c r="AO621" t="s">
        <v>6084</v>
      </c>
      <c r="AP621" t="s">
        <v>6085</v>
      </c>
      <c r="AQ621" t="s">
        <v>74</v>
      </c>
      <c r="AR621" t="s">
        <v>6086</v>
      </c>
      <c r="AS621" t="s">
        <v>6087</v>
      </c>
      <c r="AT621" t="s">
        <v>74</v>
      </c>
      <c r="AU621">
        <v>2013</v>
      </c>
      <c r="AV621">
        <v>9</v>
      </c>
      <c r="AW621">
        <v>5</v>
      </c>
      <c r="AX621" t="s">
        <v>74</v>
      </c>
      <c r="AY621" t="s">
        <v>74</v>
      </c>
      <c r="AZ621" t="s">
        <v>74</v>
      </c>
      <c r="BA621" t="s">
        <v>74</v>
      </c>
      <c r="BB621">
        <v>2231</v>
      </c>
      <c r="BC621">
        <v>2252</v>
      </c>
      <c r="BD621" t="s">
        <v>74</v>
      </c>
      <c r="BE621" t="s">
        <v>11551</v>
      </c>
      <c r="BF621" t="str">
        <f>HYPERLINK("http://dx.doi.org/10.5194/cp-9-2231-2013","http://dx.doi.org/10.5194/cp-9-2231-2013")</f>
        <v>http://dx.doi.org/10.5194/cp-9-2231-2013</v>
      </c>
      <c r="BG621" t="s">
        <v>74</v>
      </c>
      <c r="BH621" t="s">
        <v>74</v>
      </c>
      <c r="BI621">
        <v>22</v>
      </c>
      <c r="BJ621" t="s">
        <v>6089</v>
      </c>
      <c r="BK621" t="s">
        <v>102</v>
      </c>
      <c r="BL621" t="s">
        <v>6090</v>
      </c>
      <c r="BM621" t="s">
        <v>11535</v>
      </c>
      <c r="BN621" t="s">
        <v>74</v>
      </c>
      <c r="BO621" t="s">
        <v>4132</v>
      </c>
      <c r="BP621" t="s">
        <v>74</v>
      </c>
      <c r="BQ621" t="s">
        <v>74</v>
      </c>
      <c r="BR621" t="s">
        <v>105</v>
      </c>
      <c r="BS621" t="s">
        <v>11552</v>
      </c>
      <c r="BT621" t="str">
        <f>HYPERLINK("https%3A%2F%2Fwww.webofscience.com%2Fwos%2Fwoscc%2Ffull-record%2FWOS:000326597800012","View Full Record in Web of Science")</f>
        <v>View Full Record in Web of Science</v>
      </c>
    </row>
    <row r="622" spans="1:72" x14ac:dyDescent="0.15">
      <c r="A622" t="s">
        <v>72</v>
      </c>
      <c r="B622" t="s">
        <v>11553</v>
      </c>
      <c r="C622" t="s">
        <v>74</v>
      </c>
      <c r="D622" t="s">
        <v>74</v>
      </c>
      <c r="E622" t="s">
        <v>74</v>
      </c>
      <c r="F622" t="s">
        <v>11554</v>
      </c>
      <c r="G622" t="s">
        <v>74</v>
      </c>
      <c r="H622" t="s">
        <v>74</v>
      </c>
      <c r="I622" t="s">
        <v>11555</v>
      </c>
      <c r="J622" t="s">
        <v>6072</v>
      </c>
      <c r="K622" t="s">
        <v>74</v>
      </c>
      <c r="L622" t="s">
        <v>74</v>
      </c>
      <c r="M622" t="s">
        <v>78</v>
      </c>
      <c r="N622" t="s">
        <v>79</v>
      </c>
      <c r="O622" t="s">
        <v>74</v>
      </c>
      <c r="P622" t="s">
        <v>74</v>
      </c>
      <c r="Q622" t="s">
        <v>74</v>
      </c>
      <c r="R622" t="s">
        <v>74</v>
      </c>
      <c r="S622" t="s">
        <v>74</v>
      </c>
      <c r="T622" t="s">
        <v>74</v>
      </c>
      <c r="U622" t="s">
        <v>11556</v>
      </c>
      <c r="V622" t="s">
        <v>11557</v>
      </c>
      <c r="W622" t="s">
        <v>11558</v>
      </c>
      <c r="X622" t="s">
        <v>11559</v>
      </c>
      <c r="Y622" t="s">
        <v>11560</v>
      </c>
      <c r="Z622" t="s">
        <v>11561</v>
      </c>
      <c r="AA622" t="s">
        <v>11562</v>
      </c>
      <c r="AB622" t="s">
        <v>11563</v>
      </c>
      <c r="AC622" t="s">
        <v>74</v>
      </c>
      <c r="AD622" t="s">
        <v>74</v>
      </c>
      <c r="AE622" t="s">
        <v>74</v>
      </c>
      <c r="AF622" t="s">
        <v>74</v>
      </c>
      <c r="AG622">
        <v>56</v>
      </c>
      <c r="AH622">
        <v>97</v>
      </c>
      <c r="AI622">
        <v>103</v>
      </c>
      <c r="AJ622">
        <v>0</v>
      </c>
      <c r="AK622">
        <v>25</v>
      </c>
      <c r="AL622" t="s">
        <v>4248</v>
      </c>
      <c r="AM622" t="s">
        <v>4249</v>
      </c>
      <c r="AN622" t="s">
        <v>4250</v>
      </c>
      <c r="AO622" t="s">
        <v>6084</v>
      </c>
      <c r="AP622" t="s">
        <v>6085</v>
      </c>
      <c r="AQ622" t="s">
        <v>74</v>
      </c>
      <c r="AR622" t="s">
        <v>6086</v>
      </c>
      <c r="AS622" t="s">
        <v>6087</v>
      </c>
      <c r="AT622" t="s">
        <v>74</v>
      </c>
      <c r="AU622">
        <v>2013</v>
      </c>
      <c r="AV622">
        <v>9</v>
      </c>
      <c r="AW622">
        <v>5</v>
      </c>
      <c r="AX622" t="s">
        <v>74</v>
      </c>
      <c r="AY622" t="s">
        <v>74</v>
      </c>
      <c r="AZ622" t="s">
        <v>74</v>
      </c>
      <c r="BA622" t="s">
        <v>74</v>
      </c>
      <c r="BB622">
        <v>2335</v>
      </c>
      <c r="BC622">
        <v>2345</v>
      </c>
      <c r="BD622" t="s">
        <v>74</v>
      </c>
      <c r="BE622" t="s">
        <v>11564</v>
      </c>
      <c r="BF622" t="str">
        <f>HYPERLINK("http://dx.doi.org/10.5194/cp-9-2335-2013","http://dx.doi.org/10.5194/cp-9-2335-2013")</f>
        <v>http://dx.doi.org/10.5194/cp-9-2335-2013</v>
      </c>
      <c r="BG622" t="s">
        <v>74</v>
      </c>
      <c r="BH622" t="s">
        <v>74</v>
      </c>
      <c r="BI622">
        <v>11</v>
      </c>
      <c r="BJ622" t="s">
        <v>6089</v>
      </c>
      <c r="BK622" t="s">
        <v>102</v>
      </c>
      <c r="BL622" t="s">
        <v>6090</v>
      </c>
      <c r="BM622" t="s">
        <v>11535</v>
      </c>
      <c r="BN622" t="s">
        <v>74</v>
      </c>
      <c r="BO622" t="s">
        <v>4132</v>
      </c>
      <c r="BP622" t="s">
        <v>74</v>
      </c>
      <c r="BQ622" t="s">
        <v>74</v>
      </c>
      <c r="BR622" t="s">
        <v>105</v>
      </c>
      <c r="BS622" t="s">
        <v>11565</v>
      </c>
      <c r="BT622" t="str">
        <f>HYPERLINK("https%3A%2F%2Fwww.webofscience.com%2Fwos%2Fwoscc%2Ffull-record%2FWOS:000326597800018","View Full Record in Web of Science")</f>
        <v>View Full Record in Web of Science</v>
      </c>
    </row>
    <row r="623" spans="1:72" x14ac:dyDescent="0.15">
      <c r="A623" t="s">
        <v>72</v>
      </c>
      <c r="B623" t="s">
        <v>11566</v>
      </c>
      <c r="C623" t="s">
        <v>74</v>
      </c>
      <c r="D623" t="s">
        <v>74</v>
      </c>
      <c r="E623" t="s">
        <v>74</v>
      </c>
      <c r="F623" t="s">
        <v>11567</v>
      </c>
      <c r="G623" t="s">
        <v>74</v>
      </c>
      <c r="H623" t="s">
        <v>74</v>
      </c>
      <c r="I623" t="s">
        <v>11568</v>
      </c>
      <c r="J623" t="s">
        <v>6072</v>
      </c>
      <c r="K623" t="s">
        <v>74</v>
      </c>
      <c r="L623" t="s">
        <v>74</v>
      </c>
      <c r="M623" t="s">
        <v>78</v>
      </c>
      <c r="N623" t="s">
        <v>79</v>
      </c>
      <c r="O623" t="s">
        <v>74</v>
      </c>
      <c r="P623" t="s">
        <v>74</v>
      </c>
      <c r="Q623" t="s">
        <v>74</v>
      </c>
      <c r="R623" t="s">
        <v>74</v>
      </c>
      <c r="S623" t="s">
        <v>74</v>
      </c>
      <c r="T623" t="s">
        <v>74</v>
      </c>
      <c r="U623" t="s">
        <v>11569</v>
      </c>
      <c r="V623" t="s">
        <v>11570</v>
      </c>
      <c r="W623" t="s">
        <v>11571</v>
      </c>
      <c r="X623" t="s">
        <v>11572</v>
      </c>
      <c r="Y623" t="s">
        <v>11573</v>
      </c>
      <c r="Z623" t="s">
        <v>11574</v>
      </c>
      <c r="AA623" t="s">
        <v>11575</v>
      </c>
      <c r="AB623" t="s">
        <v>11576</v>
      </c>
      <c r="AC623" t="s">
        <v>11577</v>
      </c>
      <c r="AD623" t="s">
        <v>11578</v>
      </c>
      <c r="AE623" t="s">
        <v>11579</v>
      </c>
      <c r="AF623" t="s">
        <v>74</v>
      </c>
      <c r="AG623">
        <v>68</v>
      </c>
      <c r="AH623">
        <v>114</v>
      </c>
      <c r="AI623">
        <v>126</v>
      </c>
      <c r="AJ623">
        <v>0</v>
      </c>
      <c r="AK623">
        <v>64</v>
      </c>
      <c r="AL623" t="s">
        <v>4248</v>
      </c>
      <c r="AM623" t="s">
        <v>4249</v>
      </c>
      <c r="AN623" t="s">
        <v>4250</v>
      </c>
      <c r="AO623" t="s">
        <v>6084</v>
      </c>
      <c r="AP623" t="s">
        <v>6085</v>
      </c>
      <c r="AQ623" t="s">
        <v>74</v>
      </c>
      <c r="AR623" t="s">
        <v>6086</v>
      </c>
      <c r="AS623" t="s">
        <v>6087</v>
      </c>
      <c r="AT623" t="s">
        <v>74</v>
      </c>
      <c r="AU623">
        <v>2013</v>
      </c>
      <c r="AV623">
        <v>9</v>
      </c>
      <c r="AW623">
        <v>6</v>
      </c>
      <c r="AX623" t="s">
        <v>74</v>
      </c>
      <c r="AY623" t="s">
        <v>74</v>
      </c>
      <c r="AZ623" t="s">
        <v>74</v>
      </c>
      <c r="BA623" t="s">
        <v>74</v>
      </c>
      <c r="BB623">
        <v>2489</v>
      </c>
      <c r="BC623">
        <v>2505</v>
      </c>
      <c r="BD623" t="s">
        <v>74</v>
      </c>
      <c r="BE623" t="s">
        <v>11580</v>
      </c>
      <c r="BF623" t="str">
        <f>HYPERLINK("http://dx.doi.org/10.5194/cp-9-2489-2013","http://dx.doi.org/10.5194/cp-9-2489-2013")</f>
        <v>http://dx.doi.org/10.5194/cp-9-2489-2013</v>
      </c>
      <c r="BG623" t="s">
        <v>74</v>
      </c>
      <c r="BH623" t="s">
        <v>74</v>
      </c>
      <c r="BI623">
        <v>17</v>
      </c>
      <c r="BJ623" t="s">
        <v>6089</v>
      </c>
      <c r="BK623" t="s">
        <v>102</v>
      </c>
      <c r="BL623" t="s">
        <v>6090</v>
      </c>
      <c r="BM623" t="s">
        <v>11581</v>
      </c>
      <c r="BN623" t="s">
        <v>74</v>
      </c>
      <c r="BO623" t="s">
        <v>10779</v>
      </c>
      <c r="BP623" t="s">
        <v>74</v>
      </c>
      <c r="BQ623" t="s">
        <v>74</v>
      </c>
      <c r="BR623" t="s">
        <v>105</v>
      </c>
      <c r="BS623" t="s">
        <v>11582</v>
      </c>
      <c r="BT623" t="str">
        <f>HYPERLINK("https%3A%2F%2Fwww.webofscience.com%2Fwos%2Fwoscc%2Ffull-record%2FWOS:000328274700006","View Full Record in Web of Science")</f>
        <v>View Full Record in Web of Science</v>
      </c>
    </row>
    <row r="624" spans="1:72" x14ac:dyDescent="0.15">
      <c r="A624" t="s">
        <v>72</v>
      </c>
      <c r="B624" t="s">
        <v>11583</v>
      </c>
      <c r="C624" t="s">
        <v>74</v>
      </c>
      <c r="D624" t="s">
        <v>74</v>
      </c>
      <c r="E624" t="s">
        <v>74</v>
      </c>
      <c r="F624" t="s">
        <v>11584</v>
      </c>
      <c r="G624" t="s">
        <v>74</v>
      </c>
      <c r="H624" t="s">
        <v>74</v>
      </c>
      <c r="I624" t="s">
        <v>11585</v>
      </c>
      <c r="J624" t="s">
        <v>6072</v>
      </c>
      <c r="K624" t="s">
        <v>74</v>
      </c>
      <c r="L624" t="s">
        <v>74</v>
      </c>
      <c r="M624" t="s">
        <v>78</v>
      </c>
      <c r="N624" t="s">
        <v>79</v>
      </c>
      <c r="O624" t="s">
        <v>74</v>
      </c>
      <c r="P624" t="s">
        <v>74</v>
      </c>
      <c r="Q624" t="s">
        <v>74</v>
      </c>
      <c r="R624" t="s">
        <v>74</v>
      </c>
      <c r="S624" t="s">
        <v>74</v>
      </c>
      <c r="T624" t="s">
        <v>74</v>
      </c>
      <c r="U624" t="s">
        <v>11586</v>
      </c>
      <c r="V624" t="s">
        <v>11587</v>
      </c>
      <c r="W624" t="s">
        <v>11588</v>
      </c>
      <c r="X624" t="s">
        <v>11589</v>
      </c>
      <c r="Y624" t="s">
        <v>11590</v>
      </c>
      <c r="Z624" t="s">
        <v>11591</v>
      </c>
      <c r="AA624" t="s">
        <v>11592</v>
      </c>
      <c r="AB624" t="s">
        <v>11593</v>
      </c>
      <c r="AC624" t="s">
        <v>11594</v>
      </c>
      <c r="AD624" t="s">
        <v>11595</v>
      </c>
      <c r="AE624" t="s">
        <v>11596</v>
      </c>
      <c r="AF624" t="s">
        <v>74</v>
      </c>
      <c r="AG624">
        <v>99</v>
      </c>
      <c r="AH624">
        <v>79</v>
      </c>
      <c r="AI624">
        <v>80</v>
      </c>
      <c r="AJ624">
        <v>2</v>
      </c>
      <c r="AK624">
        <v>46</v>
      </c>
      <c r="AL624" t="s">
        <v>4248</v>
      </c>
      <c r="AM624" t="s">
        <v>4249</v>
      </c>
      <c r="AN624" t="s">
        <v>4250</v>
      </c>
      <c r="AO624" t="s">
        <v>6084</v>
      </c>
      <c r="AP624" t="s">
        <v>6085</v>
      </c>
      <c r="AQ624" t="s">
        <v>74</v>
      </c>
      <c r="AR624" t="s">
        <v>6086</v>
      </c>
      <c r="AS624" t="s">
        <v>6087</v>
      </c>
      <c r="AT624" t="s">
        <v>74</v>
      </c>
      <c r="AU624">
        <v>2013</v>
      </c>
      <c r="AV624">
        <v>9</v>
      </c>
      <c r="AW624">
        <v>6</v>
      </c>
      <c r="AX624" t="s">
        <v>74</v>
      </c>
      <c r="AY624" t="s">
        <v>74</v>
      </c>
      <c r="AZ624" t="s">
        <v>74</v>
      </c>
      <c r="BA624" t="s">
        <v>74</v>
      </c>
      <c r="BB624">
        <v>2507</v>
      </c>
      <c r="BC624">
        <v>2523</v>
      </c>
      <c r="BD624" t="s">
        <v>74</v>
      </c>
      <c r="BE624" t="s">
        <v>11597</v>
      </c>
      <c r="BF624" t="str">
        <f>HYPERLINK("http://dx.doi.org/10.5194/cp-9-2507-2013","http://dx.doi.org/10.5194/cp-9-2507-2013")</f>
        <v>http://dx.doi.org/10.5194/cp-9-2507-2013</v>
      </c>
      <c r="BG624" t="s">
        <v>74</v>
      </c>
      <c r="BH624" t="s">
        <v>74</v>
      </c>
      <c r="BI624">
        <v>17</v>
      </c>
      <c r="BJ624" t="s">
        <v>6089</v>
      </c>
      <c r="BK624" t="s">
        <v>102</v>
      </c>
      <c r="BL624" t="s">
        <v>6090</v>
      </c>
      <c r="BM624" t="s">
        <v>11581</v>
      </c>
      <c r="BN624" t="s">
        <v>74</v>
      </c>
      <c r="BO624" t="s">
        <v>2359</v>
      </c>
      <c r="BP624" t="s">
        <v>74</v>
      </c>
      <c r="BQ624" t="s">
        <v>74</v>
      </c>
      <c r="BR624" t="s">
        <v>105</v>
      </c>
      <c r="BS624" t="s">
        <v>11598</v>
      </c>
      <c r="BT624" t="str">
        <f>HYPERLINK("https%3A%2F%2Fwww.webofscience.com%2Fwos%2Fwoscc%2Ffull-record%2FWOS:000328274700007","View Full Record in Web of Science")</f>
        <v>View Full Record in Web of Science</v>
      </c>
    </row>
    <row r="625" spans="1:72" x14ac:dyDescent="0.15">
      <c r="A625" t="s">
        <v>72</v>
      </c>
      <c r="B625" t="s">
        <v>11599</v>
      </c>
      <c r="C625" t="s">
        <v>74</v>
      </c>
      <c r="D625" t="s">
        <v>74</v>
      </c>
      <c r="E625" t="s">
        <v>74</v>
      </c>
      <c r="F625" t="s">
        <v>11600</v>
      </c>
      <c r="G625" t="s">
        <v>74</v>
      </c>
      <c r="H625" t="s">
        <v>74</v>
      </c>
      <c r="I625" t="s">
        <v>11601</v>
      </c>
      <c r="J625" t="s">
        <v>6072</v>
      </c>
      <c r="K625" t="s">
        <v>74</v>
      </c>
      <c r="L625" t="s">
        <v>74</v>
      </c>
      <c r="M625" t="s">
        <v>78</v>
      </c>
      <c r="N625" t="s">
        <v>79</v>
      </c>
      <c r="O625" t="s">
        <v>74</v>
      </c>
      <c r="P625" t="s">
        <v>74</v>
      </c>
      <c r="Q625" t="s">
        <v>74</v>
      </c>
      <c r="R625" t="s">
        <v>74</v>
      </c>
      <c r="S625" t="s">
        <v>74</v>
      </c>
      <c r="T625" t="s">
        <v>74</v>
      </c>
      <c r="U625" t="s">
        <v>11602</v>
      </c>
      <c r="V625" t="s">
        <v>11603</v>
      </c>
      <c r="W625" t="s">
        <v>11604</v>
      </c>
      <c r="X625" t="s">
        <v>11605</v>
      </c>
      <c r="Y625" t="s">
        <v>11606</v>
      </c>
      <c r="Z625" t="s">
        <v>11607</v>
      </c>
      <c r="AA625" t="s">
        <v>11608</v>
      </c>
      <c r="AB625" t="s">
        <v>74</v>
      </c>
      <c r="AC625" t="s">
        <v>74</v>
      </c>
      <c r="AD625" t="s">
        <v>74</v>
      </c>
      <c r="AE625" t="s">
        <v>74</v>
      </c>
      <c r="AF625" t="s">
        <v>74</v>
      </c>
      <c r="AG625">
        <v>246</v>
      </c>
      <c r="AH625">
        <v>65</v>
      </c>
      <c r="AI625">
        <v>78</v>
      </c>
      <c r="AJ625">
        <v>2</v>
      </c>
      <c r="AK625">
        <v>101</v>
      </c>
      <c r="AL625" t="s">
        <v>4248</v>
      </c>
      <c r="AM625" t="s">
        <v>4249</v>
      </c>
      <c r="AN625" t="s">
        <v>4250</v>
      </c>
      <c r="AO625" t="s">
        <v>6084</v>
      </c>
      <c r="AP625" t="s">
        <v>6085</v>
      </c>
      <c r="AQ625" t="s">
        <v>74</v>
      </c>
      <c r="AR625" t="s">
        <v>6086</v>
      </c>
      <c r="AS625" t="s">
        <v>6087</v>
      </c>
      <c r="AT625" t="s">
        <v>74</v>
      </c>
      <c r="AU625">
        <v>2013</v>
      </c>
      <c r="AV625">
        <v>9</v>
      </c>
      <c r="AW625">
        <v>6</v>
      </c>
      <c r="AX625" t="s">
        <v>74</v>
      </c>
      <c r="AY625" t="s">
        <v>74</v>
      </c>
      <c r="AZ625" t="s">
        <v>74</v>
      </c>
      <c r="BA625" t="s">
        <v>74</v>
      </c>
      <c r="BB625">
        <v>2525</v>
      </c>
      <c r="BC625">
        <v>2547</v>
      </c>
      <c r="BD625" t="s">
        <v>74</v>
      </c>
      <c r="BE625" t="s">
        <v>11609</v>
      </c>
      <c r="BF625" t="str">
        <f>HYPERLINK("http://dx.doi.org/10.5194/cp-9-2525-2013","http://dx.doi.org/10.5194/cp-9-2525-2013")</f>
        <v>http://dx.doi.org/10.5194/cp-9-2525-2013</v>
      </c>
      <c r="BG625" t="s">
        <v>74</v>
      </c>
      <c r="BH625" t="s">
        <v>74</v>
      </c>
      <c r="BI625">
        <v>23</v>
      </c>
      <c r="BJ625" t="s">
        <v>6089</v>
      </c>
      <c r="BK625" t="s">
        <v>102</v>
      </c>
      <c r="BL625" t="s">
        <v>6090</v>
      </c>
      <c r="BM625" t="s">
        <v>11581</v>
      </c>
      <c r="BN625" t="s">
        <v>74</v>
      </c>
      <c r="BO625" t="s">
        <v>4132</v>
      </c>
      <c r="BP625" t="s">
        <v>74</v>
      </c>
      <c r="BQ625" t="s">
        <v>74</v>
      </c>
      <c r="BR625" t="s">
        <v>105</v>
      </c>
      <c r="BS625" t="s">
        <v>11610</v>
      </c>
      <c r="BT625" t="str">
        <f>HYPERLINK("https%3A%2F%2Fwww.webofscience.com%2Fwos%2Fwoscc%2Ffull-record%2FWOS:000328274700008","View Full Record in Web of Science")</f>
        <v>View Full Record in Web of Science</v>
      </c>
    </row>
    <row r="626" spans="1:72" x14ac:dyDescent="0.15">
      <c r="A626" t="s">
        <v>72</v>
      </c>
      <c r="B626" t="s">
        <v>11611</v>
      </c>
      <c r="C626" t="s">
        <v>74</v>
      </c>
      <c r="D626" t="s">
        <v>74</v>
      </c>
      <c r="E626" t="s">
        <v>74</v>
      </c>
      <c r="F626" t="s">
        <v>11612</v>
      </c>
      <c r="G626" t="s">
        <v>74</v>
      </c>
      <c r="H626" t="s">
        <v>74</v>
      </c>
      <c r="I626" t="s">
        <v>11613</v>
      </c>
      <c r="J626" t="s">
        <v>6072</v>
      </c>
      <c r="K626" t="s">
        <v>74</v>
      </c>
      <c r="L626" t="s">
        <v>74</v>
      </c>
      <c r="M626" t="s">
        <v>78</v>
      </c>
      <c r="N626" t="s">
        <v>79</v>
      </c>
      <c r="O626" t="s">
        <v>74</v>
      </c>
      <c r="P626" t="s">
        <v>74</v>
      </c>
      <c r="Q626" t="s">
        <v>74</v>
      </c>
      <c r="R626" t="s">
        <v>74</v>
      </c>
      <c r="S626" t="s">
        <v>74</v>
      </c>
      <c r="T626" t="s">
        <v>74</v>
      </c>
      <c r="U626" t="s">
        <v>11614</v>
      </c>
      <c r="V626" t="s">
        <v>11615</v>
      </c>
      <c r="W626" t="s">
        <v>11616</v>
      </c>
      <c r="X626" t="s">
        <v>11617</v>
      </c>
      <c r="Y626" t="s">
        <v>11618</v>
      </c>
      <c r="Z626" t="s">
        <v>11619</v>
      </c>
      <c r="AA626" t="s">
        <v>11620</v>
      </c>
      <c r="AB626" t="s">
        <v>11621</v>
      </c>
      <c r="AC626" t="s">
        <v>11622</v>
      </c>
      <c r="AD626" t="s">
        <v>11623</v>
      </c>
      <c r="AE626" t="s">
        <v>11624</v>
      </c>
      <c r="AF626" t="s">
        <v>74</v>
      </c>
      <c r="AG626">
        <v>26</v>
      </c>
      <c r="AH626">
        <v>11</v>
      </c>
      <c r="AI626">
        <v>11</v>
      </c>
      <c r="AJ626">
        <v>0</v>
      </c>
      <c r="AK626">
        <v>27</v>
      </c>
      <c r="AL626" t="s">
        <v>4248</v>
      </c>
      <c r="AM626" t="s">
        <v>4249</v>
      </c>
      <c r="AN626" t="s">
        <v>4250</v>
      </c>
      <c r="AO626" t="s">
        <v>6084</v>
      </c>
      <c r="AP626" t="s">
        <v>6085</v>
      </c>
      <c r="AQ626" t="s">
        <v>74</v>
      </c>
      <c r="AR626" t="s">
        <v>6086</v>
      </c>
      <c r="AS626" t="s">
        <v>6087</v>
      </c>
      <c r="AT626" t="s">
        <v>74</v>
      </c>
      <c r="AU626">
        <v>2013</v>
      </c>
      <c r="AV626">
        <v>9</v>
      </c>
      <c r="AW626">
        <v>6</v>
      </c>
      <c r="AX626" t="s">
        <v>74</v>
      </c>
      <c r="AY626" t="s">
        <v>74</v>
      </c>
      <c r="AZ626" t="s">
        <v>74</v>
      </c>
      <c r="BA626" t="s">
        <v>74</v>
      </c>
      <c r="BB626">
        <v>2549</v>
      </c>
      <c r="BC626">
        <v>2554</v>
      </c>
      <c r="BD626" t="s">
        <v>74</v>
      </c>
      <c r="BE626" t="s">
        <v>11625</v>
      </c>
      <c r="BF626" t="str">
        <f>HYPERLINK("http://dx.doi.org/10.5194/cp-9-2549-2013","http://dx.doi.org/10.5194/cp-9-2549-2013")</f>
        <v>http://dx.doi.org/10.5194/cp-9-2549-2013</v>
      </c>
      <c r="BG626" t="s">
        <v>74</v>
      </c>
      <c r="BH626" t="s">
        <v>74</v>
      </c>
      <c r="BI626">
        <v>6</v>
      </c>
      <c r="BJ626" t="s">
        <v>6089</v>
      </c>
      <c r="BK626" t="s">
        <v>102</v>
      </c>
      <c r="BL626" t="s">
        <v>6090</v>
      </c>
      <c r="BM626" t="s">
        <v>11581</v>
      </c>
      <c r="BN626" t="s">
        <v>74</v>
      </c>
      <c r="BO626" t="s">
        <v>4132</v>
      </c>
      <c r="BP626" t="s">
        <v>74</v>
      </c>
      <c r="BQ626" t="s">
        <v>74</v>
      </c>
      <c r="BR626" t="s">
        <v>105</v>
      </c>
      <c r="BS626" t="s">
        <v>11626</v>
      </c>
      <c r="BT626" t="str">
        <f>HYPERLINK("https%3A%2F%2Fwww.webofscience.com%2Fwos%2Fwoscc%2Ffull-record%2FWOS:000328274700009","View Full Record in Web of Science")</f>
        <v>View Full Record in Web of Science</v>
      </c>
    </row>
    <row r="627" spans="1:72" x14ac:dyDescent="0.15">
      <c r="A627" t="s">
        <v>72</v>
      </c>
      <c r="B627" t="s">
        <v>11627</v>
      </c>
      <c r="C627" t="s">
        <v>74</v>
      </c>
      <c r="D627" t="s">
        <v>74</v>
      </c>
      <c r="E627" t="s">
        <v>74</v>
      </c>
      <c r="F627" t="s">
        <v>11628</v>
      </c>
      <c r="G627" t="s">
        <v>74</v>
      </c>
      <c r="H627" t="s">
        <v>74</v>
      </c>
      <c r="I627" t="s">
        <v>11629</v>
      </c>
      <c r="J627" t="s">
        <v>6072</v>
      </c>
      <c r="K627" t="s">
        <v>74</v>
      </c>
      <c r="L627" t="s">
        <v>74</v>
      </c>
      <c r="M627" t="s">
        <v>78</v>
      </c>
      <c r="N627" t="s">
        <v>79</v>
      </c>
      <c r="O627" t="s">
        <v>74</v>
      </c>
      <c r="P627" t="s">
        <v>74</v>
      </c>
      <c r="Q627" t="s">
        <v>74</v>
      </c>
      <c r="R627" t="s">
        <v>74</v>
      </c>
      <c r="S627" t="s">
        <v>74</v>
      </c>
      <c r="T627" t="s">
        <v>74</v>
      </c>
      <c r="U627" t="s">
        <v>11630</v>
      </c>
      <c r="V627" t="s">
        <v>11631</v>
      </c>
      <c r="W627" t="s">
        <v>11632</v>
      </c>
      <c r="X627" t="s">
        <v>11633</v>
      </c>
      <c r="Y627" t="s">
        <v>11634</v>
      </c>
      <c r="Z627" t="s">
        <v>11635</v>
      </c>
      <c r="AA627" t="s">
        <v>11636</v>
      </c>
      <c r="AB627" t="s">
        <v>11637</v>
      </c>
      <c r="AC627" t="s">
        <v>11638</v>
      </c>
      <c r="AD627" t="s">
        <v>11639</v>
      </c>
      <c r="AE627" t="s">
        <v>11640</v>
      </c>
      <c r="AF627" t="s">
        <v>74</v>
      </c>
      <c r="AG627">
        <v>70</v>
      </c>
      <c r="AH627">
        <v>103</v>
      </c>
      <c r="AI627">
        <v>108</v>
      </c>
      <c r="AJ627">
        <v>3</v>
      </c>
      <c r="AK627">
        <v>48</v>
      </c>
      <c r="AL627" t="s">
        <v>4248</v>
      </c>
      <c r="AM627" t="s">
        <v>4249</v>
      </c>
      <c r="AN627" t="s">
        <v>4250</v>
      </c>
      <c r="AO627" t="s">
        <v>6084</v>
      </c>
      <c r="AP627" t="s">
        <v>6085</v>
      </c>
      <c r="AQ627" t="s">
        <v>74</v>
      </c>
      <c r="AR627" t="s">
        <v>6086</v>
      </c>
      <c r="AS627" t="s">
        <v>6087</v>
      </c>
      <c r="AT627" t="s">
        <v>74</v>
      </c>
      <c r="AU627">
        <v>2013</v>
      </c>
      <c r="AV627">
        <v>9</v>
      </c>
      <c r="AW627">
        <v>6</v>
      </c>
      <c r="AX627" t="s">
        <v>74</v>
      </c>
      <c r="AY627" t="s">
        <v>74</v>
      </c>
      <c r="AZ627" t="s">
        <v>74</v>
      </c>
      <c r="BA627" t="s">
        <v>74</v>
      </c>
      <c r="BB627">
        <v>2687</v>
      </c>
      <c r="BC627">
        <v>2702</v>
      </c>
      <c r="BD627" t="s">
        <v>74</v>
      </c>
      <c r="BE627" t="s">
        <v>11641</v>
      </c>
      <c r="BF627" t="str">
        <f>HYPERLINK("http://dx.doi.org/10.5194/cp-9-2687-2013","http://dx.doi.org/10.5194/cp-9-2687-2013")</f>
        <v>http://dx.doi.org/10.5194/cp-9-2687-2013</v>
      </c>
      <c r="BG627" t="s">
        <v>74</v>
      </c>
      <c r="BH627" t="s">
        <v>74</v>
      </c>
      <c r="BI627">
        <v>16</v>
      </c>
      <c r="BJ627" t="s">
        <v>6089</v>
      </c>
      <c r="BK627" t="s">
        <v>102</v>
      </c>
      <c r="BL627" t="s">
        <v>6090</v>
      </c>
      <c r="BM627" t="s">
        <v>11581</v>
      </c>
      <c r="BN627" t="s">
        <v>74</v>
      </c>
      <c r="BO627" t="s">
        <v>4132</v>
      </c>
      <c r="BP627" t="s">
        <v>74</v>
      </c>
      <c r="BQ627" t="s">
        <v>74</v>
      </c>
      <c r="BR627" t="s">
        <v>105</v>
      </c>
      <c r="BS627" t="s">
        <v>11642</v>
      </c>
      <c r="BT627" t="str">
        <f>HYPERLINK("https%3A%2F%2Fwww.webofscience.com%2Fwos%2Fwoscc%2Ffull-record%2FWOS:000328274700018","View Full Record in Web of Science")</f>
        <v>View Full Record in Web of Science</v>
      </c>
    </row>
    <row r="628" spans="1:72" x14ac:dyDescent="0.15">
      <c r="A628" t="s">
        <v>72</v>
      </c>
      <c r="B628" t="s">
        <v>11643</v>
      </c>
      <c r="C628" t="s">
        <v>74</v>
      </c>
      <c r="D628" t="s">
        <v>74</v>
      </c>
      <c r="E628" t="s">
        <v>74</v>
      </c>
      <c r="F628" t="s">
        <v>11644</v>
      </c>
      <c r="G628" t="s">
        <v>74</v>
      </c>
      <c r="H628" t="s">
        <v>74</v>
      </c>
      <c r="I628" t="s">
        <v>11645</v>
      </c>
      <c r="J628" t="s">
        <v>6072</v>
      </c>
      <c r="K628" t="s">
        <v>74</v>
      </c>
      <c r="L628" t="s">
        <v>74</v>
      </c>
      <c r="M628" t="s">
        <v>78</v>
      </c>
      <c r="N628" t="s">
        <v>79</v>
      </c>
      <c r="O628" t="s">
        <v>74</v>
      </c>
      <c r="P628" t="s">
        <v>74</v>
      </c>
      <c r="Q628" t="s">
        <v>74</v>
      </c>
      <c r="R628" t="s">
        <v>74</v>
      </c>
      <c r="S628" t="s">
        <v>74</v>
      </c>
      <c r="T628" t="s">
        <v>74</v>
      </c>
      <c r="U628" t="s">
        <v>11646</v>
      </c>
      <c r="V628" t="s">
        <v>11647</v>
      </c>
      <c r="W628" t="s">
        <v>11648</v>
      </c>
      <c r="X628" t="s">
        <v>11649</v>
      </c>
      <c r="Y628" t="s">
        <v>11650</v>
      </c>
      <c r="Z628" t="s">
        <v>11651</v>
      </c>
      <c r="AA628" t="s">
        <v>74</v>
      </c>
      <c r="AB628" t="s">
        <v>11652</v>
      </c>
      <c r="AC628" t="s">
        <v>11653</v>
      </c>
      <c r="AD628" t="s">
        <v>11654</v>
      </c>
      <c r="AE628" t="s">
        <v>11655</v>
      </c>
      <c r="AF628" t="s">
        <v>74</v>
      </c>
      <c r="AG628">
        <v>83</v>
      </c>
      <c r="AH628">
        <v>18</v>
      </c>
      <c r="AI628">
        <v>21</v>
      </c>
      <c r="AJ628">
        <v>0</v>
      </c>
      <c r="AK628">
        <v>23</v>
      </c>
      <c r="AL628" t="s">
        <v>4248</v>
      </c>
      <c r="AM628" t="s">
        <v>4249</v>
      </c>
      <c r="AN628" t="s">
        <v>4250</v>
      </c>
      <c r="AO628" t="s">
        <v>6084</v>
      </c>
      <c r="AP628" t="s">
        <v>6085</v>
      </c>
      <c r="AQ628" t="s">
        <v>74</v>
      </c>
      <c r="AR628" t="s">
        <v>6086</v>
      </c>
      <c r="AS628" t="s">
        <v>6087</v>
      </c>
      <c r="AT628" t="s">
        <v>74</v>
      </c>
      <c r="AU628">
        <v>2013</v>
      </c>
      <c r="AV628">
        <v>9</v>
      </c>
      <c r="AW628">
        <v>6</v>
      </c>
      <c r="AX628" t="s">
        <v>74</v>
      </c>
      <c r="AY628" t="s">
        <v>74</v>
      </c>
      <c r="AZ628" t="s">
        <v>74</v>
      </c>
      <c r="BA628" t="s">
        <v>74</v>
      </c>
      <c r="BB628">
        <v>2741</v>
      </c>
      <c r="BC628">
        <v>2757</v>
      </c>
      <c r="BD628" t="s">
        <v>74</v>
      </c>
      <c r="BE628" t="s">
        <v>11656</v>
      </c>
      <c r="BF628" t="str">
        <f>HYPERLINK("http://dx.doi.org/10.5194/cp-9-2741-2013","http://dx.doi.org/10.5194/cp-9-2741-2013")</f>
        <v>http://dx.doi.org/10.5194/cp-9-2741-2013</v>
      </c>
      <c r="BG628" t="s">
        <v>74</v>
      </c>
      <c r="BH628" t="s">
        <v>74</v>
      </c>
      <c r="BI628">
        <v>17</v>
      </c>
      <c r="BJ628" t="s">
        <v>6089</v>
      </c>
      <c r="BK628" t="s">
        <v>102</v>
      </c>
      <c r="BL628" t="s">
        <v>6090</v>
      </c>
      <c r="BM628" t="s">
        <v>11581</v>
      </c>
      <c r="BN628" t="s">
        <v>74</v>
      </c>
      <c r="BO628" t="s">
        <v>11657</v>
      </c>
      <c r="BP628" t="s">
        <v>74</v>
      </c>
      <c r="BQ628" t="s">
        <v>74</v>
      </c>
      <c r="BR628" t="s">
        <v>105</v>
      </c>
      <c r="BS628" t="s">
        <v>11658</v>
      </c>
      <c r="BT628" t="str">
        <f>HYPERLINK("https%3A%2F%2Fwww.webofscience.com%2Fwos%2Fwoscc%2Ffull-record%2FWOS:000328274700022","View Full Record in Web of Science")</f>
        <v>View Full Record in Web of Science</v>
      </c>
    </row>
    <row r="629" spans="1:72" x14ac:dyDescent="0.15">
      <c r="A629" t="s">
        <v>72</v>
      </c>
      <c r="B629" t="s">
        <v>11659</v>
      </c>
      <c r="C629" t="s">
        <v>74</v>
      </c>
      <c r="D629" t="s">
        <v>74</v>
      </c>
      <c r="E629" t="s">
        <v>74</v>
      </c>
      <c r="F629" t="s">
        <v>11660</v>
      </c>
      <c r="G629" t="s">
        <v>74</v>
      </c>
      <c r="H629" t="s">
        <v>74</v>
      </c>
      <c r="I629" t="s">
        <v>11661</v>
      </c>
      <c r="J629" t="s">
        <v>6072</v>
      </c>
      <c r="K629" t="s">
        <v>74</v>
      </c>
      <c r="L629" t="s">
        <v>74</v>
      </c>
      <c r="M629" t="s">
        <v>78</v>
      </c>
      <c r="N629" t="s">
        <v>79</v>
      </c>
      <c r="O629" t="s">
        <v>74</v>
      </c>
      <c r="P629" t="s">
        <v>74</v>
      </c>
      <c r="Q629" t="s">
        <v>74</v>
      </c>
      <c r="R629" t="s">
        <v>74</v>
      </c>
      <c r="S629" t="s">
        <v>74</v>
      </c>
      <c r="T629" t="s">
        <v>74</v>
      </c>
      <c r="U629" t="s">
        <v>11662</v>
      </c>
      <c r="V629" t="s">
        <v>11663</v>
      </c>
      <c r="W629" t="s">
        <v>11664</v>
      </c>
      <c r="X629" t="s">
        <v>11665</v>
      </c>
      <c r="Y629" t="s">
        <v>11666</v>
      </c>
      <c r="Z629" t="s">
        <v>11667</v>
      </c>
      <c r="AA629" t="s">
        <v>11668</v>
      </c>
      <c r="AB629" t="s">
        <v>11669</v>
      </c>
      <c r="AC629" t="s">
        <v>11670</v>
      </c>
      <c r="AD629" t="s">
        <v>11671</v>
      </c>
      <c r="AE629" t="s">
        <v>11672</v>
      </c>
      <c r="AF629" t="s">
        <v>74</v>
      </c>
      <c r="AG629">
        <v>80</v>
      </c>
      <c r="AH629">
        <v>23</v>
      </c>
      <c r="AI629">
        <v>24</v>
      </c>
      <c r="AJ629">
        <v>0</v>
      </c>
      <c r="AK629">
        <v>29</v>
      </c>
      <c r="AL629" t="s">
        <v>4248</v>
      </c>
      <c r="AM629" t="s">
        <v>4249</v>
      </c>
      <c r="AN629" t="s">
        <v>4250</v>
      </c>
      <c r="AO629" t="s">
        <v>6084</v>
      </c>
      <c r="AP629" t="s">
        <v>6085</v>
      </c>
      <c r="AQ629" t="s">
        <v>74</v>
      </c>
      <c r="AR629" t="s">
        <v>6086</v>
      </c>
      <c r="AS629" t="s">
        <v>6087</v>
      </c>
      <c r="AT629" t="s">
        <v>74</v>
      </c>
      <c r="AU629">
        <v>2013</v>
      </c>
      <c r="AV629">
        <v>9</v>
      </c>
      <c r="AW629">
        <v>6</v>
      </c>
      <c r="AX629" t="s">
        <v>74</v>
      </c>
      <c r="AY629" t="s">
        <v>74</v>
      </c>
      <c r="AZ629" t="s">
        <v>74</v>
      </c>
      <c r="BA629" t="s">
        <v>74</v>
      </c>
      <c r="BB629">
        <v>2789</v>
      </c>
      <c r="BC629">
        <v>2807</v>
      </c>
      <c r="BD629" t="s">
        <v>74</v>
      </c>
      <c r="BE629" t="s">
        <v>11673</v>
      </c>
      <c r="BF629" t="str">
        <f>HYPERLINK("http://dx.doi.org/10.5194/cp-9-2789-2013","http://dx.doi.org/10.5194/cp-9-2789-2013")</f>
        <v>http://dx.doi.org/10.5194/cp-9-2789-2013</v>
      </c>
      <c r="BG629" t="s">
        <v>74</v>
      </c>
      <c r="BH629" t="s">
        <v>74</v>
      </c>
      <c r="BI629">
        <v>19</v>
      </c>
      <c r="BJ629" t="s">
        <v>6089</v>
      </c>
      <c r="BK629" t="s">
        <v>102</v>
      </c>
      <c r="BL629" t="s">
        <v>6090</v>
      </c>
      <c r="BM629" t="s">
        <v>11674</v>
      </c>
      <c r="BN629" t="s">
        <v>74</v>
      </c>
      <c r="BO629" t="s">
        <v>5344</v>
      </c>
      <c r="BP629" t="s">
        <v>74</v>
      </c>
      <c r="BQ629" t="s">
        <v>74</v>
      </c>
      <c r="BR629" t="s">
        <v>105</v>
      </c>
      <c r="BS629" t="s">
        <v>11675</v>
      </c>
      <c r="BT629" t="str">
        <f>HYPERLINK("https%3A%2F%2Fwww.webofscience.com%2Fwos%2Fwoscc%2Ffull-record%2FWOS:000330830500001","View Full Record in Web of Science")</f>
        <v>View Full Record in Web of Science</v>
      </c>
    </row>
    <row r="630" spans="1:72" x14ac:dyDescent="0.15">
      <c r="A630" t="s">
        <v>3251</v>
      </c>
      <c r="B630" t="s">
        <v>11676</v>
      </c>
      <c r="C630" t="s">
        <v>74</v>
      </c>
      <c r="D630" t="s">
        <v>11677</v>
      </c>
      <c r="E630" t="s">
        <v>74</v>
      </c>
      <c r="F630" t="s">
        <v>11678</v>
      </c>
      <c r="G630" t="s">
        <v>74</v>
      </c>
      <c r="H630" t="s">
        <v>74</v>
      </c>
      <c r="I630" t="s">
        <v>11679</v>
      </c>
      <c r="J630" t="s">
        <v>11680</v>
      </c>
      <c r="K630" t="s">
        <v>74</v>
      </c>
      <c r="L630" t="s">
        <v>74</v>
      </c>
      <c r="M630" t="s">
        <v>78</v>
      </c>
      <c r="N630" t="s">
        <v>3258</v>
      </c>
      <c r="O630" t="s">
        <v>74</v>
      </c>
      <c r="P630" t="s">
        <v>74</v>
      </c>
      <c r="Q630" t="s">
        <v>74</v>
      </c>
      <c r="R630" t="s">
        <v>74</v>
      </c>
      <c r="S630" t="s">
        <v>74</v>
      </c>
      <c r="T630" t="s">
        <v>74</v>
      </c>
      <c r="U630" t="s">
        <v>11681</v>
      </c>
      <c r="V630" t="s">
        <v>11682</v>
      </c>
      <c r="W630" t="s">
        <v>11683</v>
      </c>
      <c r="X630" t="s">
        <v>11684</v>
      </c>
      <c r="Y630" t="s">
        <v>11685</v>
      </c>
      <c r="Z630" t="s">
        <v>11686</v>
      </c>
      <c r="AA630" t="s">
        <v>74</v>
      </c>
      <c r="AB630" t="s">
        <v>74</v>
      </c>
      <c r="AC630" t="s">
        <v>74</v>
      </c>
      <c r="AD630" t="s">
        <v>74</v>
      </c>
      <c r="AE630" t="s">
        <v>74</v>
      </c>
      <c r="AF630" t="s">
        <v>74</v>
      </c>
      <c r="AG630">
        <v>82</v>
      </c>
      <c r="AH630">
        <v>4</v>
      </c>
      <c r="AI630">
        <v>5</v>
      </c>
      <c r="AJ630">
        <v>0</v>
      </c>
      <c r="AK630">
        <v>5</v>
      </c>
      <c r="AL630" t="s">
        <v>11687</v>
      </c>
      <c r="AM630" t="s">
        <v>11688</v>
      </c>
      <c r="AN630" t="s">
        <v>11689</v>
      </c>
      <c r="AO630" t="s">
        <v>74</v>
      </c>
      <c r="AP630" t="s">
        <v>74</v>
      </c>
      <c r="AQ630" t="s">
        <v>11690</v>
      </c>
      <c r="AR630" t="s">
        <v>74</v>
      </c>
      <c r="AS630" t="s">
        <v>74</v>
      </c>
      <c r="AT630" t="s">
        <v>74</v>
      </c>
      <c r="AU630">
        <v>2013</v>
      </c>
      <c r="AV630" t="s">
        <v>74</v>
      </c>
      <c r="AW630" t="s">
        <v>74</v>
      </c>
      <c r="AX630" t="s">
        <v>74</v>
      </c>
      <c r="AY630" t="s">
        <v>74</v>
      </c>
      <c r="AZ630" t="s">
        <v>74</v>
      </c>
      <c r="BA630" t="s">
        <v>74</v>
      </c>
      <c r="BB630">
        <v>71</v>
      </c>
      <c r="BC630">
        <v>95</v>
      </c>
      <c r="BD630" t="s">
        <v>74</v>
      </c>
      <c r="BE630" t="s">
        <v>74</v>
      </c>
      <c r="BF630" t="s">
        <v>74</v>
      </c>
      <c r="BG630" t="s">
        <v>74</v>
      </c>
      <c r="BH630" t="s">
        <v>74</v>
      </c>
      <c r="BI630">
        <v>25</v>
      </c>
      <c r="BJ630" t="s">
        <v>1139</v>
      </c>
      <c r="BK630" t="s">
        <v>3379</v>
      </c>
      <c r="BL630" t="s">
        <v>1139</v>
      </c>
      <c r="BM630" t="s">
        <v>11691</v>
      </c>
      <c r="BN630" t="s">
        <v>74</v>
      </c>
      <c r="BO630" t="s">
        <v>74</v>
      </c>
      <c r="BP630" t="s">
        <v>74</v>
      </c>
      <c r="BQ630" t="s">
        <v>74</v>
      </c>
      <c r="BR630" t="s">
        <v>105</v>
      </c>
      <c r="BS630" t="s">
        <v>11692</v>
      </c>
      <c r="BT630" t="str">
        <f>HYPERLINK("https%3A%2F%2Fwww.webofscience.com%2Fwos%2Fwoscc%2Ffull-record%2FWOS:000383037600006","View Full Record in Web of Science")</f>
        <v>View Full Record in Web of Science</v>
      </c>
    </row>
    <row r="631" spans="1:72" x14ac:dyDescent="0.15">
      <c r="A631" t="s">
        <v>3251</v>
      </c>
      <c r="B631" t="s">
        <v>11693</v>
      </c>
      <c r="C631" t="s">
        <v>74</v>
      </c>
      <c r="D631" t="s">
        <v>11677</v>
      </c>
      <c r="E631" t="s">
        <v>74</v>
      </c>
      <c r="F631" t="s">
        <v>11694</v>
      </c>
      <c r="G631" t="s">
        <v>74</v>
      </c>
      <c r="H631" t="s">
        <v>74</v>
      </c>
      <c r="I631" t="s">
        <v>11695</v>
      </c>
      <c r="J631" t="s">
        <v>11680</v>
      </c>
      <c r="K631" t="s">
        <v>74</v>
      </c>
      <c r="L631" t="s">
        <v>74</v>
      </c>
      <c r="M631" t="s">
        <v>78</v>
      </c>
      <c r="N631" t="s">
        <v>3258</v>
      </c>
      <c r="O631" t="s">
        <v>74</v>
      </c>
      <c r="P631" t="s">
        <v>74</v>
      </c>
      <c r="Q631" t="s">
        <v>74</v>
      </c>
      <c r="R631" t="s">
        <v>74</v>
      </c>
      <c r="S631" t="s">
        <v>74</v>
      </c>
      <c r="T631" t="s">
        <v>74</v>
      </c>
      <c r="U631" t="s">
        <v>11696</v>
      </c>
      <c r="V631" t="s">
        <v>11697</v>
      </c>
      <c r="W631" t="s">
        <v>11698</v>
      </c>
      <c r="X631" t="s">
        <v>11699</v>
      </c>
      <c r="Y631" t="s">
        <v>11700</v>
      </c>
      <c r="Z631" t="s">
        <v>11701</v>
      </c>
      <c r="AA631" t="s">
        <v>11702</v>
      </c>
      <c r="AB631" t="s">
        <v>74</v>
      </c>
      <c r="AC631" t="s">
        <v>74</v>
      </c>
      <c r="AD631" t="s">
        <v>74</v>
      </c>
      <c r="AE631" t="s">
        <v>74</v>
      </c>
      <c r="AF631" t="s">
        <v>74</v>
      </c>
      <c r="AG631">
        <v>65</v>
      </c>
      <c r="AH631">
        <v>2</v>
      </c>
      <c r="AI631">
        <v>2</v>
      </c>
      <c r="AJ631">
        <v>0</v>
      </c>
      <c r="AK631">
        <v>4</v>
      </c>
      <c r="AL631" t="s">
        <v>11687</v>
      </c>
      <c r="AM631" t="s">
        <v>11688</v>
      </c>
      <c r="AN631" t="s">
        <v>11689</v>
      </c>
      <c r="AO631" t="s">
        <v>74</v>
      </c>
      <c r="AP631" t="s">
        <v>74</v>
      </c>
      <c r="AQ631" t="s">
        <v>11690</v>
      </c>
      <c r="AR631" t="s">
        <v>74</v>
      </c>
      <c r="AS631" t="s">
        <v>74</v>
      </c>
      <c r="AT631" t="s">
        <v>74</v>
      </c>
      <c r="AU631">
        <v>2013</v>
      </c>
      <c r="AV631" t="s">
        <v>74</v>
      </c>
      <c r="AW631" t="s">
        <v>74</v>
      </c>
      <c r="AX631" t="s">
        <v>74</v>
      </c>
      <c r="AY631" t="s">
        <v>74</v>
      </c>
      <c r="AZ631" t="s">
        <v>74</v>
      </c>
      <c r="BA631" t="s">
        <v>74</v>
      </c>
      <c r="BB631">
        <v>97</v>
      </c>
      <c r="BC631">
        <v>110</v>
      </c>
      <c r="BD631" t="s">
        <v>74</v>
      </c>
      <c r="BE631" t="s">
        <v>74</v>
      </c>
      <c r="BF631" t="s">
        <v>74</v>
      </c>
      <c r="BG631" t="s">
        <v>74</v>
      </c>
      <c r="BH631" t="s">
        <v>74</v>
      </c>
      <c r="BI631">
        <v>14</v>
      </c>
      <c r="BJ631" t="s">
        <v>1139</v>
      </c>
      <c r="BK631" t="s">
        <v>3379</v>
      </c>
      <c r="BL631" t="s">
        <v>1139</v>
      </c>
      <c r="BM631" t="s">
        <v>11691</v>
      </c>
      <c r="BN631" t="s">
        <v>74</v>
      </c>
      <c r="BO631" t="s">
        <v>74</v>
      </c>
      <c r="BP631" t="s">
        <v>74</v>
      </c>
      <c r="BQ631" t="s">
        <v>74</v>
      </c>
      <c r="BR631" t="s">
        <v>105</v>
      </c>
      <c r="BS631" t="s">
        <v>11703</v>
      </c>
      <c r="BT631" t="str">
        <f>HYPERLINK("https%3A%2F%2Fwww.webofscience.com%2Fwos%2Fwoscc%2Ffull-record%2FWOS:000383037600007","View Full Record in Web of Science")</f>
        <v>View Full Record in Web of Science</v>
      </c>
    </row>
    <row r="632" spans="1:72" x14ac:dyDescent="0.15">
      <c r="A632" t="s">
        <v>3251</v>
      </c>
      <c r="B632" t="s">
        <v>11704</v>
      </c>
      <c r="C632" t="s">
        <v>74</v>
      </c>
      <c r="D632" t="s">
        <v>11677</v>
      </c>
      <c r="E632" t="s">
        <v>74</v>
      </c>
      <c r="F632" t="s">
        <v>11705</v>
      </c>
      <c r="G632" t="s">
        <v>74</v>
      </c>
      <c r="H632" t="s">
        <v>74</v>
      </c>
      <c r="I632" t="s">
        <v>11706</v>
      </c>
      <c r="J632" t="s">
        <v>11680</v>
      </c>
      <c r="K632" t="s">
        <v>74</v>
      </c>
      <c r="L632" t="s">
        <v>74</v>
      </c>
      <c r="M632" t="s">
        <v>78</v>
      </c>
      <c r="N632" t="s">
        <v>3258</v>
      </c>
      <c r="O632" t="s">
        <v>74</v>
      </c>
      <c r="P632" t="s">
        <v>74</v>
      </c>
      <c r="Q632" t="s">
        <v>74</v>
      </c>
      <c r="R632" t="s">
        <v>74</v>
      </c>
      <c r="S632" t="s">
        <v>74</v>
      </c>
      <c r="T632" t="s">
        <v>74</v>
      </c>
      <c r="U632" t="s">
        <v>11707</v>
      </c>
      <c r="V632" t="s">
        <v>11708</v>
      </c>
      <c r="W632" t="s">
        <v>11709</v>
      </c>
      <c r="X632" t="s">
        <v>11710</v>
      </c>
      <c r="Y632" t="s">
        <v>11711</v>
      </c>
      <c r="Z632" t="s">
        <v>11712</v>
      </c>
      <c r="AA632" t="s">
        <v>74</v>
      </c>
      <c r="AB632" t="s">
        <v>74</v>
      </c>
      <c r="AC632" t="s">
        <v>74</v>
      </c>
      <c r="AD632" t="s">
        <v>74</v>
      </c>
      <c r="AE632" t="s">
        <v>74</v>
      </c>
      <c r="AF632" t="s">
        <v>74</v>
      </c>
      <c r="AG632">
        <v>109</v>
      </c>
      <c r="AH632">
        <v>0</v>
      </c>
      <c r="AI632">
        <v>1</v>
      </c>
      <c r="AJ632">
        <v>0</v>
      </c>
      <c r="AK632">
        <v>1</v>
      </c>
      <c r="AL632" t="s">
        <v>11687</v>
      </c>
      <c r="AM632" t="s">
        <v>11688</v>
      </c>
      <c r="AN632" t="s">
        <v>11689</v>
      </c>
      <c r="AO632" t="s">
        <v>74</v>
      </c>
      <c r="AP632" t="s">
        <v>74</v>
      </c>
      <c r="AQ632" t="s">
        <v>11690</v>
      </c>
      <c r="AR632" t="s">
        <v>74</v>
      </c>
      <c r="AS632" t="s">
        <v>74</v>
      </c>
      <c r="AT632" t="s">
        <v>74</v>
      </c>
      <c r="AU632">
        <v>2013</v>
      </c>
      <c r="AV632" t="s">
        <v>74</v>
      </c>
      <c r="AW632" t="s">
        <v>74</v>
      </c>
      <c r="AX632" t="s">
        <v>74</v>
      </c>
      <c r="AY632" t="s">
        <v>74</v>
      </c>
      <c r="AZ632" t="s">
        <v>74</v>
      </c>
      <c r="BA632" t="s">
        <v>74</v>
      </c>
      <c r="BB632">
        <v>111</v>
      </c>
      <c r="BC632">
        <v>135</v>
      </c>
      <c r="BD632" t="s">
        <v>74</v>
      </c>
      <c r="BE632" t="s">
        <v>74</v>
      </c>
      <c r="BF632" t="s">
        <v>74</v>
      </c>
      <c r="BG632" t="s">
        <v>74</v>
      </c>
      <c r="BH632" t="s">
        <v>74</v>
      </c>
      <c r="BI632">
        <v>25</v>
      </c>
      <c r="BJ632" t="s">
        <v>1139</v>
      </c>
      <c r="BK632" t="s">
        <v>3379</v>
      </c>
      <c r="BL632" t="s">
        <v>1139</v>
      </c>
      <c r="BM632" t="s">
        <v>11691</v>
      </c>
      <c r="BN632" t="s">
        <v>74</v>
      </c>
      <c r="BO632" t="s">
        <v>74</v>
      </c>
      <c r="BP632" t="s">
        <v>74</v>
      </c>
      <c r="BQ632" t="s">
        <v>74</v>
      </c>
      <c r="BR632" t="s">
        <v>105</v>
      </c>
      <c r="BS632" t="s">
        <v>11713</v>
      </c>
      <c r="BT632" t="str">
        <f>HYPERLINK("https%3A%2F%2Fwww.webofscience.com%2Fwos%2Fwoscc%2Ffull-record%2FWOS:000383037600008","View Full Record in Web of Science")</f>
        <v>View Full Record in Web of Science</v>
      </c>
    </row>
    <row r="633" spans="1:72" x14ac:dyDescent="0.15">
      <c r="A633" t="s">
        <v>72</v>
      </c>
      <c r="B633" t="s">
        <v>11714</v>
      </c>
      <c r="C633" t="s">
        <v>74</v>
      </c>
      <c r="D633" t="s">
        <v>74</v>
      </c>
      <c r="E633" t="s">
        <v>74</v>
      </c>
      <c r="F633" t="s">
        <v>11715</v>
      </c>
      <c r="G633" t="s">
        <v>74</v>
      </c>
      <c r="H633" t="s">
        <v>74</v>
      </c>
      <c r="I633" t="s">
        <v>11716</v>
      </c>
      <c r="J633" t="s">
        <v>11717</v>
      </c>
      <c r="K633" t="s">
        <v>74</v>
      </c>
      <c r="L633" t="s">
        <v>74</v>
      </c>
      <c r="M633" t="s">
        <v>78</v>
      </c>
      <c r="N633" t="s">
        <v>1120</v>
      </c>
      <c r="O633" t="s">
        <v>74</v>
      </c>
      <c r="P633" t="s">
        <v>74</v>
      </c>
      <c r="Q633" t="s">
        <v>74</v>
      </c>
      <c r="R633" t="s">
        <v>74</v>
      </c>
      <c r="S633" t="s">
        <v>74</v>
      </c>
      <c r="T633" t="s">
        <v>11718</v>
      </c>
      <c r="U633" t="s">
        <v>11719</v>
      </c>
      <c r="V633" t="s">
        <v>11720</v>
      </c>
      <c r="W633" t="s">
        <v>11721</v>
      </c>
      <c r="X633" t="s">
        <v>11722</v>
      </c>
      <c r="Y633" t="s">
        <v>11723</v>
      </c>
      <c r="Z633" t="s">
        <v>11724</v>
      </c>
      <c r="AA633" t="s">
        <v>11725</v>
      </c>
      <c r="AB633" t="s">
        <v>11726</v>
      </c>
      <c r="AC633" t="s">
        <v>74</v>
      </c>
      <c r="AD633" t="s">
        <v>74</v>
      </c>
      <c r="AE633" t="s">
        <v>74</v>
      </c>
      <c r="AF633" t="s">
        <v>74</v>
      </c>
      <c r="AG633">
        <v>142</v>
      </c>
      <c r="AH633">
        <v>33</v>
      </c>
      <c r="AI633">
        <v>34</v>
      </c>
      <c r="AJ633">
        <v>5</v>
      </c>
      <c r="AK633">
        <v>260</v>
      </c>
      <c r="AL633" t="s">
        <v>11727</v>
      </c>
      <c r="AM633" t="s">
        <v>1646</v>
      </c>
      <c r="AN633" t="s">
        <v>11728</v>
      </c>
      <c r="AO633" t="s">
        <v>11729</v>
      </c>
      <c r="AP633" t="s">
        <v>11730</v>
      </c>
      <c r="AQ633" t="s">
        <v>74</v>
      </c>
      <c r="AR633" t="s">
        <v>11731</v>
      </c>
      <c r="AS633" t="s">
        <v>11732</v>
      </c>
      <c r="AT633" t="s">
        <v>5170</v>
      </c>
      <c r="AU633">
        <v>2013</v>
      </c>
      <c r="AV633">
        <v>336</v>
      </c>
      <c r="AW633">
        <v>1</v>
      </c>
      <c r="AX633" t="s">
        <v>74</v>
      </c>
      <c r="AY633" t="s">
        <v>74</v>
      </c>
      <c r="AZ633" t="s">
        <v>74</v>
      </c>
      <c r="BA633" t="s">
        <v>74</v>
      </c>
      <c r="BB633">
        <v>1</v>
      </c>
      <c r="BC633">
        <v>12</v>
      </c>
      <c r="BD633" t="s">
        <v>74</v>
      </c>
      <c r="BE633" t="s">
        <v>11733</v>
      </c>
      <c r="BF633" t="str">
        <f>HYPERLINK("http://dx.doi.org/10.1016/j.crvi.2013.02.002","http://dx.doi.org/10.1016/j.crvi.2013.02.002")</f>
        <v>http://dx.doi.org/10.1016/j.crvi.2013.02.002</v>
      </c>
      <c r="BG633" t="s">
        <v>74</v>
      </c>
      <c r="BH633" t="s">
        <v>74</v>
      </c>
      <c r="BI633">
        <v>12</v>
      </c>
      <c r="BJ633" t="s">
        <v>1579</v>
      </c>
      <c r="BK633" t="s">
        <v>102</v>
      </c>
      <c r="BL633" t="s">
        <v>1580</v>
      </c>
      <c r="BM633" t="s">
        <v>11734</v>
      </c>
      <c r="BN633">
        <v>23537764</v>
      </c>
      <c r="BO633" t="s">
        <v>5759</v>
      </c>
      <c r="BP633" t="s">
        <v>74</v>
      </c>
      <c r="BQ633" t="s">
        <v>74</v>
      </c>
      <c r="BR633" t="s">
        <v>105</v>
      </c>
      <c r="BS633" t="s">
        <v>11735</v>
      </c>
      <c r="BT633" t="str">
        <f>HYPERLINK("https%3A%2F%2Fwww.webofscience.com%2Fwos%2Fwoscc%2Ffull-record%2FWOS:000317552300001","View Full Record in Web of Science")</f>
        <v>View Full Record in Web of Science</v>
      </c>
    </row>
    <row r="634" spans="1:72" x14ac:dyDescent="0.15">
      <c r="A634" t="s">
        <v>72</v>
      </c>
      <c r="B634" t="s">
        <v>11736</v>
      </c>
      <c r="C634" t="s">
        <v>74</v>
      </c>
      <c r="D634" t="s">
        <v>74</v>
      </c>
      <c r="E634" t="s">
        <v>74</v>
      </c>
      <c r="F634" t="s">
        <v>11737</v>
      </c>
      <c r="G634" t="s">
        <v>74</v>
      </c>
      <c r="H634" t="s">
        <v>74</v>
      </c>
      <c r="I634" t="s">
        <v>11738</v>
      </c>
      <c r="J634" t="s">
        <v>11739</v>
      </c>
      <c r="K634" t="s">
        <v>74</v>
      </c>
      <c r="L634" t="s">
        <v>74</v>
      </c>
      <c r="M634" t="s">
        <v>78</v>
      </c>
      <c r="N634" t="s">
        <v>79</v>
      </c>
      <c r="O634" t="s">
        <v>74</v>
      </c>
      <c r="P634" t="s">
        <v>74</v>
      </c>
      <c r="Q634" t="s">
        <v>74</v>
      </c>
      <c r="R634" t="s">
        <v>74</v>
      </c>
      <c r="S634" t="s">
        <v>74</v>
      </c>
      <c r="T634" t="s">
        <v>11740</v>
      </c>
      <c r="U634" t="s">
        <v>11741</v>
      </c>
      <c r="V634" t="s">
        <v>11742</v>
      </c>
      <c r="W634" t="s">
        <v>11743</v>
      </c>
      <c r="X634" t="s">
        <v>11744</v>
      </c>
      <c r="Y634" t="s">
        <v>11745</v>
      </c>
      <c r="Z634" t="s">
        <v>11746</v>
      </c>
      <c r="AA634" t="s">
        <v>11747</v>
      </c>
      <c r="AB634" t="s">
        <v>11748</v>
      </c>
      <c r="AC634" t="s">
        <v>11749</v>
      </c>
      <c r="AD634" t="s">
        <v>11750</v>
      </c>
      <c r="AE634" t="s">
        <v>11751</v>
      </c>
      <c r="AF634" t="s">
        <v>74</v>
      </c>
      <c r="AG634">
        <v>35</v>
      </c>
      <c r="AH634">
        <v>32</v>
      </c>
      <c r="AI634">
        <v>32</v>
      </c>
      <c r="AJ634">
        <v>0</v>
      </c>
      <c r="AK634">
        <v>9</v>
      </c>
      <c r="AL634" t="s">
        <v>1132</v>
      </c>
      <c r="AM634" t="s">
        <v>147</v>
      </c>
      <c r="AN634" t="s">
        <v>1133</v>
      </c>
      <c r="AO634" t="s">
        <v>11752</v>
      </c>
      <c r="AP634" t="s">
        <v>74</v>
      </c>
      <c r="AQ634" t="s">
        <v>74</v>
      </c>
      <c r="AR634" t="s">
        <v>11753</v>
      </c>
      <c r="AS634" t="s">
        <v>11754</v>
      </c>
      <c r="AT634" t="s">
        <v>74</v>
      </c>
      <c r="AU634">
        <v>2013</v>
      </c>
      <c r="AV634">
        <v>1</v>
      </c>
      <c r="AW634">
        <v>1</v>
      </c>
      <c r="AX634" t="s">
        <v>74</v>
      </c>
      <c r="AY634" t="s">
        <v>74</v>
      </c>
      <c r="AZ634" t="s">
        <v>74</v>
      </c>
      <c r="BA634" t="s">
        <v>74</v>
      </c>
      <c r="BB634" t="s">
        <v>74</v>
      </c>
      <c r="BC634" t="s">
        <v>74</v>
      </c>
      <c r="BD634" t="s">
        <v>11755</v>
      </c>
      <c r="BE634" t="s">
        <v>11756</v>
      </c>
      <c r="BF634" t="str">
        <f>HYPERLINK("http://dx.doi.org/10.1093/conphys/cot004","http://dx.doi.org/10.1093/conphys/cot004")</f>
        <v>http://dx.doi.org/10.1093/conphys/cot004</v>
      </c>
      <c r="BG634" t="s">
        <v>74</v>
      </c>
      <c r="BH634" t="s">
        <v>74</v>
      </c>
      <c r="BI634">
        <v>6</v>
      </c>
      <c r="BJ634" t="s">
        <v>11757</v>
      </c>
      <c r="BK634" t="s">
        <v>102</v>
      </c>
      <c r="BL634" t="s">
        <v>11758</v>
      </c>
      <c r="BM634" t="s">
        <v>11759</v>
      </c>
      <c r="BN634">
        <v>27293588</v>
      </c>
      <c r="BO634" t="s">
        <v>2359</v>
      </c>
      <c r="BP634" t="s">
        <v>74</v>
      </c>
      <c r="BQ634" t="s">
        <v>74</v>
      </c>
      <c r="BR634" t="s">
        <v>105</v>
      </c>
      <c r="BS634" t="s">
        <v>11760</v>
      </c>
      <c r="BT634" t="str">
        <f>HYPERLINK("https%3A%2F%2Fwww.webofscience.com%2Fwos%2Fwoscc%2Ffull-record%2FWOS:000209703700002","View Full Record in Web of Science")</f>
        <v>View Full Record in Web of Science</v>
      </c>
    </row>
    <row r="635" spans="1:72" x14ac:dyDescent="0.15">
      <c r="A635" t="s">
        <v>72</v>
      </c>
      <c r="B635" t="s">
        <v>11761</v>
      </c>
      <c r="C635" t="s">
        <v>74</v>
      </c>
      <c r="D635" t="s">
        <v>74</v>
      </c>
      <c r="E635" t="s">
        <v>74</v>
      </c>
      <c r="F635" t="s">
        <v>11762</v>
      </c>
      <c r="G635" t="s">
        <v>74</v>
      </c>
      <c r="H635" t="s">
        <v>74</v>
      </c>
      <c r="I635" t="s">
        <v>11763</v>
      </c>
      <c r="J635" t="s">
        <v>4238</v>
      </c>
      <c r="K635" t="s">
        <v>74</v>
      </c>
      <c r="L635" t="s">
        <v>74</v>
      </c>
      <c r="M635" t="s">
        <v>78</v>
      </c>
      <c r="N635" t="s">
        <v>79</v>
      </c>
      <c r="O635" t="s">
        <v>74</v>
      </c>
      <c r="P635" t="s">
        <v>74</v>
      </c>
      <c r="Q635" t="s">
        <v>74</v>
      </c>
      <c r="R635" t="s">
        <v>74</v>
      </c>
      <c r="S635" t="s">
        <v>74</v>
      </c>
      <c r="T635" t="s">
        <v>74</v>
      </c>
      <c r="U635" t="s">
        <v>11764</v>
      </c>
      <c r="V635" t="s">
        <v>11765</v>
      </c>
      <c r="W635" t="s">
        <v>11766</v>
      </c>
      <c r="X635" t="s">
        <v>11767</v>
      </c>
      <c r="Y635" t="s">
        <v>11768</v>
      </c>
      <c r="Z635" t="s">
        <v>11769</v>
      </c>
      <c r="AA635" t="s">
        <v>11770</v>
      </c>
      <c r="AB635" t="s">
        <v>11771</v>
      </c>
      <c r="AC635" t="s">
        <v>11772</v>
      </c>
      <c r="AD635" t="s">
        <v>11773</v>
      </c>
      <c r="AE635" t="s">
        <v>11774</v>
      </c>
      <c r="AF635" t="s">
        <v>74</v>
      </c>
      <c r="AG635">
        <v>100</v>
      </c>
      <c r="AH635">
        <v>84</v>
      </c>
      <c r="AI635">
        <v>90</v>
      </c>
      <c r="AJ635">
        <v>0</v>
      </c>
      <c r="AK635">
        <v>35</v>
      </c>
      <c r="AL635" t="s">
        <v>4248</v>
      </c>
      <c r="AM635" t="s">
        <v>4249</v>
      </c>
      <c r="AN635" t="s">
        <v>4250</v>
      </c>
      <c r="AO635" t="s">
        <v>4251</v>
      </c>
      <c r="AP635" t="s">
        <v>4252</v>
      </c>
      <c r="AQ635" t="s">
        <v>74</v>
      </c>
      <c r="AR635" t="s">
        <v>4238</v>
      </c>
      <c r="AS635" t="s">
        <v>4253</v>
      </c>
      <c r="AT635" t="s">
        <v>74</v>
      </c>
      <c r="AU635">
        <v>2013</v>
      </c>
      <c r="AV635">
        <v>7</v>
      </c>
      <c r="AW635">
        <v>1</v>
      </c>
      <c r="AX635" t="s">
        <v>74</v>
      </c>
      <c r="AY635" t="s">
        <v>74</v>
      </c>
      <c r="AZ635" t="s">
        <v>74</v>
      </c>
      <c r="BA635" t="s">
        <v>74</v>
      </c>
      <c r="BB635">
        <v>249</v>
      </c>
      <c r="BC635">
        <v>262</v>
      </c>
      <c r="BD635" t="s">
        <v>74</v>
      </c>
      <c r="BE635" t="s">
        <v>11775</v>
      </c>
      <c r="BF635" t="str">
        <f>HYPERLINK("http://dx.doi.org/10.5194/tc-7-249-2013","http://dx.doi.org/10.5194/tc-7-249-2013")</f>
        <v>http://dx.doi.org/10.5194/tc-7-249-2013</v>
      </c>
      <c r="BG635" t="s">
        <v>74</v>
      </c>
      <c r="BH635" t="s">
        <v>74</v>
      </c>
      <c r="BI635">
        <v>14</v>
      </c>
      <c r="BJ635" t="s">
        <v>2261</v>
      </c>
      <c r="BK635" t="s">
        <v>102</v>
      </c>
      <c r="BL635" t="s">
        <v>2262</v>
      </c>
      <c r="BM635" t="s">
        <v>8826</v>
      </c>
      <c r="BN635" t="s">
        <v>74</v>
      </c>
      <c r="BO635" t="s">
        <v>11776</v>
      </c>
      <c r="BP635" t="s">
        <v>74</v>
      </c>
      <c r="BQ635" t="s">
        <v>74</v>
      </c>
      <c r="BR635" t="s">
        <v>105</v>
      </c>
      <c r="BS635" t="s">
        <v>11777</v>
      </c>
      <c r="BT635" t="str">
        <f>HYPERLINK("https%3A%2F%2Fwww.webofscience.com%2Fwos%2Fwoscc%2Ffull-record%2FWOS:000314800400019","View Full Record in Web of Science")</f>
        <v>View Full Record in Web of Science</v>
      </c>
    </row>
    <row r="636" spans="1:72" x14ac:dyDescent="0.15">
      <c r="A636" t="s">
        <v>72</v>
      </c>
      <c r="B636" t="s">
        <v>11778</v>
      </c>
      <c r="C636" t="s">
        <v>74</v>
      </c>
      <c r="D636" t="s">
        <v>74</v>
      </c>
      <c r="E636" t="s">
        <v>74</v>
      </c>
      <c r="F636" t="s">
        <v>11779</v>
      </c>
      <c r="G636" t="s">
        <v>74</v>
      </c>
      <c r="H636" t="s">
        <v>74</v>
      </c>
      <c r="I636" t="s">
        <v>11780</v>
      </c>
      <c r="J636" t="s">
        <v>4238</v>
      </c>
      <c r="K636" t="s">
        <v>74</v>
      </c>
      <c r="L636" t="s">
        <v>74</v>
      </c>
      <c r="M636" t="s">
        <v>78</v>
      </c>
      <c r="N636" t="s">
        <v>79</v>
      </c>
      <c r="O636" t="s">
        <v>74</v>
      </c>
      <c r="P636" t="s">
        <v>74</v>
      </c>
      <c r="Q636" t="s">
        <v>74</v>
      </c>
      <c r="R636" t="s">
        <v>74</v>
      </c>
      <c r="S636" t="s">
        <v>74</v>
      </c>
      <c r="T636" t="s">
        <v>74</v>
      </c>
      <c r="U636" t="s">
        <v>11781</v>
      </c>
      <c r="V636" t="s">
        <v>11782</v>
      </c>
      <c r="W636" t="s">
        <v>11783</v>
      </c>
      <c r="X636" t="s">
        <v>11784</v>
      </c>
      <c r="Y636" t="s">
        <v>11785</v>
      </c>
      <c r="Z636" t="s">
        <v>11786</v>
      </c>
      <c r="AA636" t="s">
        <v>11787</v>
      </c>
      <c r="AB636" t="s">
        <v>11788</v>
      </c>
      <c r="AC636" t="s">
        <v>11789</v>
      </c>
      <c r="AD636" t="s">
        <v>11790</v>
      </c>
      <c r="AE636" t="s">
        <v>11791</v>
      </c>
      <c r="AF636" t="s">
        <v>74</v>
      </c>
      <c r="AG636">
        <v>115</v>
      </c>
      <c r="AH636">
        <v>61</v>
      </c>
      <c r="AI636">
        <v>65</v>
      </c>
      <c r="AJ636">
        <v>2</v>
      </c>
      <c r="AK636">
        <v>35</v>
      </c>
      <c r="AL636" t="s">
        <v>4248</v>
      </c>
      <c r="AM636" t="s">
        <v>4249</v>
      </c>
      <c r="AN636" t="s">
        <v>4250</v>
      </c>
      <c r="AO636" t="s">
        <v>4251</v>
      </c>
      <c r="AP636" t="s">
        <v>4252</v>
      </c>
      <c r="AQ636" t="s">
        <v>74</v>
      </c>
      <c r="AR636" t="s">
        <v>4238</v>
      </c>
      <c r="AS636" t="s">
        <v>4253</v>
      </c>
      <c r="AT636" t="s">
        <v>74</v>
      </c>
      <c r="AU636">
        <v>2013</v>
      </c>
      <c r="AV636">
        <v>7</v>
      </c>
      <c r="AW636">
        <v>1</v>
      </c>
      <c r="AX636" t="s">
        <v>74</v>
      </c>
      <c r="AY636" t="s">
        <v>74</v>
      </c>
      <c r="AZ636" t="s">
        <v>74</v>
      </c>
      <c r="BA636" t="s">
        <v>74</v>
      </c>
      <c r="BB636">
        <v>303</v>
      </c>
      <c r="BC636">
        <v>319</v>
      </c>
      <c r="BD636" t="s">
        <v>74</v>
      </c>
      <c r="BE636" t="s">
        <v>11792</v>
      </c>
      <c r="BF636" t="str">
        <f>HYPERLINK("http://dx.doi.org/10.5194/tc-7-303-2013","http://dx.doi.org/10.5194/tc-7-303-2013")</f>
        <v>http://dx.doi.org/10.5194/tc-7-303-2013</v>
      </c>
      <c r="BG636" t="s">
        <v>74</v>
      </c>
      <c r="BH636" t="s">
        <v>74</v>
      </c>
      <c r="BI636">
        <v>17</v>
      </c>
      <c r="BJ636" t="s">
        <v>2261</v>
      </c>
      <c r="BK636" t="s">
        <v>102</v>
      </c>
      <c r="BL636" t="s">
        <v>2262</v>
      </c>
      <c r="BM636" t="s">
        <v>7891</v>
      </c>
      <c r="BN636" t="s">
        <v>74</v>
      </c>
      <c r="BO636" t="s">
        <v>4621</v>
      </c>
      <c r="BP636" t="s">
        <v>74</v>
      </c>
      <c r="BQ636" t="s">
        <v>74</v>
      </c>
      <c r="BR636" t="s">
        <v>105</v>
      </c>
      <c r="BS636" t="s">
        <v>11793</v>
      </c>
      <c r="BT636" t="str">
        <f>HYPERLINK("https%3A%2F%2Fwww.webofscience.com%2Fwos%2Fwoscc%2Ffull-record%2FWOS:000317005200002","View Full Record in Web of Science")</f>
        <v>View Full Record in Web of Science</v>
      </c>
    </row>
    <row r="637" spans="1:72" x14ac:dyDescent="0.15">
      <c r="A637" t="s">
        <v>72</v>
      </c>
      <c r="B637" t="s">
        <v>11794</v>
      </c>
      <c r="C637" t="s">
        <v>74</v>
      </c>
      <c r="D637" t="s">
        <v>74</v>
      </c>
      <c r="E637" t="s">
        <v>74</v>
      </c>
      <c r="F637" t="s">
        <v>11795</v>
      </c>
      <c r="G637" t="s">
        <v>74</v>
      </c>
      <c r="H637" t="s">
        <v>74</v>
      </c>
      <c r="I637" t="s">
        <v>11796</v>
      </c>
      <c r="J637" t="s">
        <v>4238</v>
      </c>
      <c r="K637" t="s">
        <v>74</v>
      </c>
      <c r="L637" t="s">
        <v>74</v>
      </c>
      <c r="M637" t="s">
        <v>78</v>
      </c>
      <c r="N637" t="s">
        <v>79</v>
      </c>
      <c r="O637" t="s">
        <v>74</v>
      </c>
      <c r="P637" t="s">
        <v>74</v>
      </c>
      <c r="Q637" t="s">
        <v>74</v>
      </c>
      <c r="R637" t="s">
        <v>74</v>
      </c>
      <c r="S637" t="s">
        <v>74</v>
      </c>
      <c r="T637" t="s">
        <v>74</v>
      </c>
      <c r="U637" t="s">
        <v>11797</v>
      </c>
      <c r="V637" t="s">
        <v>11798</v>
      </c>
      <c r="W637" t="s">
        <v>11799</v>
      </c>
      <c r="X637" t="s">
        <v>11800</v>
      </c>
      <c r="Y637" t="s">
        <v>11801</v>
      </c>
      <c r="Z637" t="s">
        <v>11802</v>
      </c>
      <c r="AA637" t="s">
        <v>11803</v>
      </c>
      <c r="AB637" t="s">
        <v>11804</v>
      </c>
      <c r="AC637" t="s">
        <v>11805</v>
      </c>
      <c r="AD637" t="s">
        <v>11806</v>
      </c>
      <c r="AE637" t="s">
        <v>11807</v>
      </c>
      <c r="AF637" t="s">
        <v>74</v>
      </c>
      <c r="AG637">
        <v>61</v>
      </c>
      <c r="AH637">
        <v>47</v>
      </c>
      <c r="AI637">
        <v>56</v>
      </c>
      <c r="AJ637">
        <v>1</v>
      </c>
      <c r="AK637">
        <v>28</v>
      </c>
      <c r="AL637" t="s">
        <v>4248</v>
      </c>
      <c r="AM637" t="s">
        <v>4249</v>
      </c>
      <c r="AN637" t="s">
        <v>4250</v>
      </c>
      <c r="AO637" t="s">
        <v>4251</v>
      </c>
      <c r="AP637" t="s">
        <v>4252</v>
      </c>
      <c r="AQ637" t="s">
        <v>74</v>
      </c>
      <c r="AR637" t="s">
        <v>4238</v>
      </c>
      <c r="AS637" t="s">
        <v>4253</v>
      </c>
      <c r="AT637" t="s">
        <v>74</v>
      </c>
      <c r="AU637">
        <v>2013</v>
      </c>
      <c r="AV637">
        <v>7</v>
      </c>
      <c r="AW637">
        <v>1</v>
      </c>
      <c r="AX637" t="s">
        <v>74</v>
      </c>
      <c r="AY637" t="s">
        <v>74</v>
      </c>
      <c r="AZ637" t="s">
        <v>74</v>
      </c>
      <c r="BA637" t="s">
        <v>74</v>
      </c>
      <c r="BB637">
        <v>349</v>
      </c>
      <c r="BC637">
        <v>363</v>
      </c>
      <c r="BD637" t="s">
        <v>74</v>
      </c>
      <c r="BE637" t="s">
        <v>11808</v>
      </c>
      <c r="BF637" t="str">
        <f>HYPERLINK("http://dx.doi.org/10.5194/tc-7-349-2013","http://dx.doi.org/10.5194/tc-7-349-2013")</f>
        <v>http://dx.doi.org/10.5194/tc-7-349-2013</v>
      </c>
      <c r="BG637" t="s">
        <v>74</v>
      </c>
      <c r="BH637" t="s">
        <v>74</v>
      </c>
      <c r="BI637">
        <v>15</v>
      </c>
      <c r="BJ637" t="s">
        <v>2261</v>
      </c>
      <c r="BK637" t="s">
        <v>102</v>
      </c>
      <c r="BL637" t="s">
        <v>2262</v>
      </c>
      <c r="BM637" t="s">
        <v>7891</v>
      </c>
      <c r="BN637" t="s">
        <v>74</v>
      </c>
      <c r="BO637" t="s">
        <v>11061</v>
      </c>
      <c r="BP637" t="s">
        <v>74</v>
      </c>
      <c r="BQ637" t="s">
        <v>74</v>
      </c>
      <c r="BR637" t="s">
        <v>105</v>
      </c>
      <c r="BS637" t="s">
        <v>11809</v>
      </c>
      <c r="BT637" t="str">
        <f>HYPERLINK("https%3A%2F%2Fwww.webofscience.com%2Fwos%2Fwoscc%2Ffull-record%2FWOS:000317005200005","View Full Record in Web of Science")</f>
        <v>View Full Record in Web of Science</v>
      </c>
    </row>
    <row r="638" spans="1:72" x14ac:dyDescent="0.15">
      <c r="A638" t="s">
        <v>72</v>
      </c>
      <c r="B638" t="s">
        <v>11810</v>
      </c>
      <c r="C638" t="s">
        <v>74</v>
      </c>
      <c r="D638" t="s">
        <v>74</v>
      </c>
      <c r="E638" t="s">
        <v>74</v>
      </c>
      <c r="F638" t="s">
        <v>11811</v>
      </c>
      <c r="G638" t="s">
        <v>74</v>
      </c>
      <c r="H638" t="s">
        <v>74</v>
      </c>
      <c r="I638" t="s">
        <v>11812</v>
      </c>
      <c r="J638" t="s">
        <v>4238</v>
      </c>
      <c r="K638" t="s">
        <v>74</v>
      </c>
      <c r="L638" t="s">
        <v>74</v>
      </c>
      <c r="M638" t="s">
        <v>78</v>
      </c>
      <c r="N638" t="s">
        <v>79</v>
      </c>
      <c r="O638" t="s">
        <v>74</v>
      </c>
      <c r="P638" t="s">
        <v>74</v>
      </c>
      <c r="Q638" t="s">
        <v>74</v>
      </c>
      <c r="R638" t="s">
        <v>74</v>
      </c>
      <c r="S638" t="s">
        <v>74</v>
      </c>
      <c r="T638" t="s">
        <v>74</v>
      </c>
      <c r="U638" t="s">
        <v>11813</v>
      </c>
      <c r="V638" t="s">
        <v>11814</v>
      </c>
      <c r="W638" t="s">
        <v>11815</v>
      </c>
      <c r="X638" t="s">
        <v>11816</v>
      </c>
      <c r="Y638" t="s">
        <v>11817</v>
      </c>
      <c r="Z638" t="s">
        <v>11818</v>
      </c>
      <c r="AA638" t="s">
        <v>11819</v>
      </c>
      <c r="AB638" t="s">
        <v>11820</v>
      </c>
      <c r="AC638" t="s">
        <v>11821</v>
      </c>
      <c r="AD638" t="s">
        <v>11822</v>
      </c>
      <c r="AE638" t="s">
        <v>74</v>
      </c>
      <c r="AF638" t="s">
        <v>74</v>
      </c>
      <c r="AG638">
        <v>64</v>
      </c>
      <c r="AH638">
        <v>1375</v>
      </c>
      <c r="AI638">
        <v>1556</v>
      </c>
      <c r="AJ638">
        <v>10</v>
      </c>
      <c r="AK638">
        <v>314</v>
      </c>
      <c r="AL638" t="s">
        <v>4248</v>
      </c>
      <c r="AM638" t="s">
        <v>4249</v>
      </c>
      <c r="AN638" t="s">
        <v>4250</v>
      </c>
      <c r="AO638" t="s">
        <v>4251</v>
      </c>
      <c r="AP638" t="s">
        <v>4252</v>
      </c>
      <c r="AQ638" t="s">
        <v>74</v>
      </c>
      <c r="AR638" t="s">
        <v>4238</v>
      </c>
      <c r="AS638" t="s">
        <v>4253</v>
      </c>
      <c r="AT638" t="s">
        <v>74</v>
      </c>
      <c r="AU638">
        <v>2013</v>
      </c>
      <c r="AV638">
        <v>7</v>
      </c>
      <c r="AW638">
        <v>1</v>
      </c>
      <c r="AX638" t="s">
        <v>74</v>
      </c>
      <c r="AY638" t="s">
        <v>74</v>
      </c>
      <c r="AZ638" t="s">
        <v>74</v>
      </c>
      <c r="BA638" t="s">
        <v>74</v>
      </c>
      <c r="BB638">
        <v>375</v>
      </c>
      <c r="BC638">
        <v>393</v>
      </c>
      <c r="BD638" t="s">
        <v>74</v>
      </c>
      <c r="BE638" t="s">
        <v>11823</v>
      </c>
      <c r="BF638" t="str">
        <f>HYPERLINK("http://dx.doi.org/10.5194/tc-7-375-2013","http://dx.doi.org/10.5194/tc-7-375-2013")</f>
        <v>http://dx.doi.org/10.5194/tc-7-375-2013</v>
      </c>
      <c r="BG638" t="s">
        <v>74</v>
      </c>
      <c r="BH638" t="s">
        <v>74</v>
      </c>
      <c r="BI638">
        <v>19</v>
      </c>
      <c r="BJ638" t="s">
        <v>2261</v>
      </c>
      <c r="BK638" t="s">
        <v>102</v>
      </c>
      <c r="BL638" t="s">
        <v>2262</v>
      </c>
      <c r="BM638" t="s">
        <v>7891</v>
      </c>
      <c r="BN638" t="s">
        <v>74</v>
      </c>
      <c r="BO638" t="s">
        <v>10829</v>
      </c>
      <c r="BP638" t="s">
        <v>1779</v>
      </c>
      <c r="BQ638" t="s">
        <v>1780</v>
      </c>
      <c r="BR638" t="s">
        <v>105</v>
      </c>
      <c r="BS638" t="s">
        <v>11824</v>
      </c>
      <c r="BT638" t="str">
        <f>HYPERLINK("https%3A%2F%2Fwww.webofscience.com%2Fwos%2Fwoscc%2Ffull-record%2FWOS:000317005200007","View Full Record in Web of Science")</f>
        <v>View Full Record in Web of Science</v>
      </c>
    </row>
    <row r="639" spans="1:72" x14ac:dyDescent="0.15">
      <c r="A639" t="s">
        <v>72</v>
      </c>
      <c r="B639" t="s">
        <v>11825</v>
      </c>
      <c r="C639" t="s">
        <v>74</v>
      </c>
      <c r="D639" t="s">
        <v>74</v>
      </c>
      <c r="E639" t="s">
        <v>74</v>
      </c>
      <c r="F639" t="s">
        <v>11826</v>
      </c>
      <c r="G639" t="s">
        <v>74</v>
      </c>
      <c r="H639" t="s">
        <v>74</v>
      </c>
      <c r="I639" t="s">
        <v>11827</v>
      </c>
      <c r="J639" t="s">
        <v>4238</v>
      </c>
      <c r="K639" t="s">
        <v>74</v>
      </c>
      <c r="L639" t="s">
        <v>74</v>
      </c>
      <c r="M639" t="s">
        <v>78</v>
      </c>
      <c r="N639" t="s">
        <v>79</v>
      </c>
      <c r="O639" t="s">
        <v>74</v>
      </c>
      <c r="P639" t="s">
        <v>74</v>
      </c>
      <c r="Q639" t="s">
        <v>74</v>
      </c>
      <c r="R639" t="s">
        <v>74</v>
      </c>
      <c r="S639" t="s">
        <v>74</v>
      </c>
      <c r="T639" t="s">
        <v>74</v>
      </c>
      <c r="U639" t="s">
        <v>11828</v>
      </c>
      <c r="V639" t="s">
        <v>11829</v>
      </c>
      <c r="W639" t="s">
        <v>11830</v>
      </c>
      <c r="X639" t="s">
        <v>11831</v>
      </c>
      <c r="Y639" t="s">
        <v>11832</v>
      </c>
      <c r="Z639" t="s">
        <v>11833</v>
      </c>
      <c r="AA639" t="s">
        <v>11834</v>
      </c>
      <c r="AB639" t="s">
        <v>11835</v>
      </c>
      <c r="AC639" t="s">
        <v>11836</v>
      </c>
      <c r="AD639" t="s">
        <v>11837</v>
      </c>
      <c r="AE639" t="s">
        <v>11838</v>
      </c>
      <c r="AF639" t="s">
        <v>74</v>
      </c>
      <c r="AG639">
        <v>35</v>
      </c>
      <c r="AH639">
        <v>24</v>
      </c>
      <c r="AI639">
        <v>26</v>
      </c>
      <c r="AJ639">
        <v>0</v>
      </c>
      <c r="AK639">
        <v>12</v>
      </c>
      <c r="AL639" t="s">
        <v>4248</v>
      </c>
      <c r="AM639" t="s">
        <v>4249</v>
      </c>
      <c r="AN639" t="s">
        <v>4250</v>
      </c>
      <c r="AO639" t="s">
        <v>4251</v>
      </c>
      <c r="AP639" t="s">
        <v>4252</v>
      </c>
      <c r="AQ639" t="s">
        <v>74</v>
      </c>
      <c r="AR639" t="s">
        <v>4238</v>
      </c>
      <c r="AS639" t="s">
        <v>4253</v>
      </c>
      <c r="AT639" t="s">
        <v>74</v>
      </c>
      <c r="AU639">
        <v>2013</v>
      </c>
      <c r="AV639">
        <v>7</v>
      </c>
      <c r="AW639">
        <v>2</v>
      </c>
      <c r="AX639" t="s">
        <v>74</v>
      </c>
      <c r="AY639" t="s">
        <v>74</v>
      </c>
      <c r="AZ639" t="s">
        <v>74</v>
      </c>
      <c r="BA639" t="s">
        <v>74</v>
      </c>
      <c r="BB639">
        <v>395</v>
      </c>
      <c r="BC639">
        <v>406</v>
      </c>
      <c r="BD639" t="s">
        <v>74</v>
      </c>
      <c r="BE639" t="s">
        <v>11839</v>
      </c>
      <c r="BF639" t="str">
        <f>HYPERLINK("http://dx.doi.org/10.5194/tc-7-395-2013","http://dx.doi.org/10.5194/tc-7-395-2013")</f>
        <v>http://dx.doi.org/10.5194/tc-7-395-2013</v>
      </c>
      <c r="BG639" t="s">
        <v>74</v>
      </c>
      <c r="BH639" t="s">
        <v>74</v>
      </c>
      <c r="BI639">
        <v>12</v>
      </c>
      <c r="BJ639" t="s">
        <v>2261</v>
      </c>
      <c r="BK639" t="s">
        <v>102</v>
      </c>
      <c r="BL639" t="s">
        <v>2262</v>
      </c>
      <c r="BM639" t="s">
        <v>8063</v>
      </c>
      <c r="BN639" t="s">
        <v>74</v>
      </c>
      <c r="BO639" t="s">
        <v>11840</v>
      </c>
      <c r="BP639" t="s">
        <v>74</v>
      </c>
      <c r="BQ639" t="s">
        <v>74</v>
      </c>
      <c r="BR639" t="s">
        <v>105</v>
      </c>
      <c r="BS639" t="s">
        <v>11841</v>
      </c>
      <c r="BT639" t="str">
        <f>HYPERLINK("https%3A%2F%2Fwww.webofscience.com%2Fwos%2Fwoscc%2Ffull-record%2FWOS:000317005500001","View Full Record in Web of Science")</f>
        <v>View Full Record in Web of Science</v>
      </c>
    </row>
    <row r="640" spans="1:72" x14ac:dyDescent="0.15">
      <c r="A640" t="s">
        <v>72</v>
      </c>
      <c r="B640" t="s">
        <v>11842</v>
      </c>
      <c r="C640" t="s">
        <v>74</v>
      </c>
      <c r="D640" t="s">
        <v>74</v>
      </c>
      <c r="E640" t="s">
        <v>74</v>
      </c>
      <c r="F640" t="s">
        <v>11843</v>
      </c>
      <c r="G640" t="s">
        <v>74</v>
      </c>
      <c r="H640" t="s">
        <v>74</v>
      </c>
      <c r="I640" t="s">
        <v>11844</v>
      </c>
      <c r="J640" t="s">
        <v>4238</v>
      </c>
      <c r="K640" t="s">
        <v>74</v>
      </c>
      <c r="L640" t="s">
        <v>74</v>
      </c>
      <c r="M640" t="s">
        <v>78</v>
      </c>
      <c r="N640" t="s">
        <v>79</v>
      </c>
      <c r="O640" t="s">
        <v>74</v>
      </c>
      <c r="P640" t="s">
        <v>74</v>
      </c>
      <c r="Q640" t="s">
        <v>74</v>
      </c>
      <c r="R640" t="s">
        <v>74</v>
      </c>
      <c r="S640" t="s">
        <v>74</v>
      </c>
      <c r="T640" t="s">
        <v>74</v>
      </c>
      <c r="U640" t="s">
        <v>11845</v>
      </c>
      <c r="V640" t="s">
        <v>11846</v>
      </c>
      <c r="W640" t="s">
        <v>11847</v>
      </c>
      <c r="X640" t="s">
        <v>11848</v>
      </c>
      <c r="Y640" t="s">
        <v>11849</v>
      </c>
      <c r="Z640" t="s">
        <v>11850</v>
      </c>
      <c r="AA640" t="s">
        <v>11851</v>
      </c>
      <c r="AB640" t="s">
        <v>11852</v>
      </c>
      <c r="AC640" t="s">
        <v>11853</v>
      </c>
      <c r="AD640" t="s">
        <v>1550</v>
      </c>
      <c r="AE640" t="s">
        <v>74</v>
      </c>
      <c r="AF640" t="s">
        <v>74</v>
      </c>
      <c r="AG640">
        <v>29</v>
      </c>
      <c r="AH640">
        <v>20</v>
      </c>
      <c r="AI640">
        <v>24</v>
      </c>
      <c r="AJ640">
        <v>0</v>
      </c>
      <c r="AK640">
        <v>15</v>
      </c>
      <c r="AL640" t="s">
        <v>4248</v>
      </c>
      <c r="AM640" t="s">
        <v>4249</v>
      </c>
      <c r="AN640" t="s">
        <v>4250</v>
      </c>
      <c r="AO640" t="s">
        <v>4251</v>
      </c>
      <c r="AP640" t="s">
        <v>4252</v>
      </c>
      <c r="AQ640" t="s">
        <v>74</v>
      </c>
      <c r="AR640" t="s">
        <v>4238</v>
      </c>
      <c r="AS640" t="s">
        <v>4253</v>
      </c>
      <c r="AT640" t="s">
        <v>74</v>
      </c>
      <c r="AU640">
        <v>2013</v>
      </c>
      <c r="AV640">
        <v>7</v>
      </c>
      <c r="AW640">
        <v>2</v>
      </c>
      <c r="AX640" t="s">
        <v>74</v>
      </c>
      <c r="AY640" t="s">
        <v>74</v>
      </c>
      <c r="AZ640" t="s">
        <v>74</v>
      </c>
      <c r="BA640" t="s">
        <v>74</v>
      </c>
      <c r="BB640">
        <v>407</v>
      </c>
      <c r="BC640">
        <v>417</v>
      </c>
      <c r="BD640" t="s">
        <v>74</v>
      </c>
      <c r="BE640" t="s">
        <v>11854</v>
      </c>
      <c r="BF640" t="str">
        <f>HYPERLINK("http://dx.doi.org/10.5194/tc-7-407-2013","http://dx.doi.org/10.5194/tc-7-407-2013")</f>
        <v>http://dx.doi.org/10.5194/tc-7-407-2013</v>
      </c>
      <c r="BG640" t="s">
        <v>74</v>
      </c>
      <c r="BH640" t="s">
        <v>74</v>
      </c>
      <c r="BI640">
        <v>11</v>
      </c>
      <c r="BJ640" t="s">
        <v>2261</v>
      </c>
      <c r="BK640" t="s">
        <v>102</v>
      </c>
      <c r="BL640" t="s">
        <v>2262</v>
      </c>
      <c r="BM640" t="s">
        <v>8063</v>
      </c>
      <c r="BN640" t="s">
        <v>74</v>
      </c>
      <c r="BO640" t="s">
        <v>10762</v>
      </c>
      <c r="BP640" t="s">
        <v>74</v>
      </c>
      <c r="BQ640" t="s">
        <v>74</v>
      </c>
      <c r="BR640" t="s">
        <v>105</v>
      </c>
      <c r="BS640" t="s">
        <v>11855</v>
      </c>
      <c r="BT640" t="str">
        <f>HYPERLINK("https%3A%2F%2Fwww.webofscience.com%2Fwos%2Fwoscc%2Ffull-record%2FWOS:000317005500002","View Full Record in Web of Science")</f>
        <v>View Full Record in Web of Science</v>
      </c>
    </row>
    <row r="641" spans="1:72" x14ac:dyDescent="0.15">
      <c r="A641" t="s">
        <v>72</v>
      </c>
      <c r="B641" t="s">
        <v>11856</v>
      </c>
      <c r="C641" t="s">
        <v>74</v>
      </c>
      <c r="D641" t="s">
        <v>74</v>
      </c>
      <c r="E641" t="s">
        <v>74</v>
      </c>
      <c r="F641" t="s">
        <v>11857</v>
      </c>
      <c r="G641" t="s">
        <v>74</v>
      </c>
      <c r="H641" t="s">
        <v>74</v>
      </c>
      <c r="I641" t="s">
        <v>11858</v>
      </c>
      <c r="J641" t="s">
        <v>4238</v>
      </c>
      <c r="K641" t="s">
        <v>74</v>
      </c>
      <c r="L641" t="s">
        <v>74</v>
      </c>
      <c r="M641" t="s">
        <v>78</v>
      </c>
      <c r="N641" t="s">
        <v>79</v>
      </c>
      <c r="O641" t="s">
        <v>74</v>
      </c>
      <c r="P641" t="s">
        <v>74</v>
      </c>
      <c r="Q641" t="s">
        <v>74</v>
      </c>
      <c r="R641" t="s">
        <v>74</v>
      </c>
      <c r="S641" t="s">
        <v>74</v>
      </c>
      <c r="T641" t="s">
        <v>74</v>
      </c>
      <c r="U641" t="s">
        <v>11859</v>
      </c>
      <c r="V641" t="s">
        <v>11860</v>
      </c>
      <c r="W641" t="s">
        <v>11861</v>
      </c>
      <c r="X641" t="s">
        <v>11862</v>
      </c>
      <c r="Y641" t="s">
        <v>11863</v>
      </c>
      <c r="Z641" t="s">
        <v>11864</v>
      </c>
      <c r="AA641" t="s">
        <v>11865</v>
      </c>
      <c r="AB641" t="s">
        <v>11866</v>
      </c>
      <c r="AC641" t="s">
        <v>11867</v>
      </c>
      <c r="AD641" t="s">
        <v>11868</v>
      </c>
      <c r="AE641" t="s">
        <v>11869</v>
      </c>
      <c r="AF641" t="s">
        <v>74</v>
      </c>
      <c r="AG641">
        <v>49</v>
      </c>
      <c r="AH641">
        <v>62</v>
      </c>
      <c r="AI641">
        <v>65</v>
      </c>
      <c r="AJ641">
        <v>0</v>
      </c>
      <c r="AK641">
        <v>37</v>
      </c>
      <c r="AL641" t="s">
        <v>4248</v>
      </c>
      <c r="AM641" t="s">
        <v>4249</v>
      </c>
      <c r="AN641" t="s">
        <v>4250</v>
      </c>
      <c r="AO641" t="s">
        <v>4251</v>
      </c>
      <c r="AP641" t="s">
        <v>4252</v>
      </c>
      <c r="AQ641" t="s">
        <v>74</v>
      </c>
      <c r="AR641" t="s">
        <v>4238</v>
      </c>
      <c r="AS641" t="s">
        <v>4253</v>
      </c>
      <c r="AT641" t="s">
        <v>74</v>
      </c>
      <c r="AU641">
        <v>2013</v>
      </c>
      <c r="AV641">
        <v>7</v>
      </c>
      <c r="AW641">
        <v>2</v>
      </c>
      <c r="AX641" t="s">
        <v>74</v>
      </c>
      <c r="AY641" t="s">
        <v>74</v>
      </c>
      <c r="AZ641" t="s">
        <v>74</v>
      </c>
      <c r="BA641" t="s">
        <v>74</v>
      </c>
      <c r="BB641">
        <v>583</v>
      </c>
      <c r="BC641">
        <v>597</v>
      </c>
      <c r="BD641" t="s">
        <v>74</v>
      </c>
      <c r="BE641" t="s">
        <v>11870</v>
      </c>
      <c r="BF641" t="str">
        <f>HYPERLINK("http://dx.doi.org/10.5194/tc-7-583-2013","http://dx.doi.org/10.5194/tc-7-583-2013")</f>
        <v>http://dx.doi.org/10.5194/tc-7-583-2013</v>
      </c>
      <c r="BG641" t="s">
        <v>74</v>
      </c>
      <c r="BH641" t="s">
        <v>74</v>
      </c>
      <c r="BI641">
        <v>15</v>
      </c>
      <c r="BJ641" t="s">
        <v>2261</v>
      </c>
      <c r="BK641" t="s">
        <v>102</v>
      </c>
      <c r="BL641" t="s">
        <v>2262</v>
      </c>
      <c r="BM641" t="s">
        <v>8063</v>
      </c>
      <c r="BN641" t="s">
        <v>74</v>
      </c>
      <c r="BO641" t="s">
        <v>4621</v>
      </c>
      <c r="BP641" t="s">
        <v>74</v>
      </c>
      <c r="BQ641" t="s">
        <v>74</v>
      </c>
      <c r="BR641" t="s">
        <v>105</v>
      </c>
      <c r="BS641" t="s">
        <v>11871</v>
      </c>
      <c r="BT641" t="str">
        <f>HYPERLINK("https%3A%2F%2Fwww.webofscience.com%2Fwos%2Fwoscc%2Ffull-record%2FWOS:000317005500015","View Full Record in Web of Science")</f>
        <v>View Full Record in Web of Science</v>
      </c>
    </row>
    <row r="642" spans="1:72" x14ac:dyDescent="0.15">
      <c r="A642" t="s">
        <v>72</v>
      </c>
      <c r="B642" t="s">
        <v>11872</v>
      </c>
      <c r="C642" t="s">
        <v>74</v>
      </c>
      <c r="D642" t="s">
        <v>74</v>
      </c>
      <c r="E642" t="s">
        <v>74</v>
      </c>
      <c r="F642" t="s">
        <v>11873</v>
      </c>
      <c r="G642" t="s">
        <v>74</v>
      </c>
      <c r="H642" t="s">
        <v>74</v>
      </c>
      <c r="I642" t="s">
        <v>11874</v>
      </c>
      <c r="J642" t="s">
        <v>4238</v>
      </c>
      <c r="K642" t="s">
        <v>74</v>
      </c>
      <c r="L642" t="s">
        <v>74</v>
      </c>
      <c r="M642" t="s">
        <v>78</v>
      </c>
      <c r="N642" t="s">
        <v>79</v>
      </c>
      <c r="O642" t="s">
        <v>74</v>
      </c>
      <c r="P642" t="s">
        <v>74</v>
      </c>
      <c r="Q642" t="s">
        <v>74</v>
      </c>
      <c r="R642" t="s">
        <v>74</v>
      </c>
      <c r="S642" t="s">
        <v>74</v>
      </c>
      <c r="T642" t="s">
        <v>74</v>
      </c>
      <c r="U642" t="s">
        <v>11875</v>
      </c>
      <c r="V642" t="s">
        <v>11876</v>
      </c>
      <c r="W642" t="s">
        <v>11877</v>
      </c>
      <c r="X642" t="s">
        <v>1249</v>
      </c>
      <c r="Y642" t="s">
        <v>11878</v>
      </c>
      <c r="Z642" t="s">
        <v>11879</v>
      </c>
      <c r="AA642" t="s">
        <v>11880</v>
      </c>
      <c r="AB642" t="s">
        <v>11881</v>
      </c>
      <c r="AC642" t="s">
        <v>11882</v>
      </c>
      <c r="AD642" t="s">
        <v>11883</v>
      </c>
      <c r="AE642" t="s">
        <v>11884</v>
      </c>
      <c r="AF642" t="s">
        <v>74</v>
      </c>
      <c r="AG642">
        <v>27</v>
      </c>
      <c r="AH642">
        <v>182</v>
      </c>
      <c r="AI642">
        <v>195</v>
      </c>
      <c r="AJ642">
        <v>0</v>
      </c>
      <c r="AK642">
        <v>23</v>
      </c>
      <c r="AL642" t="s">
        <v>4248</v>
      </c>
      <c r="AM642" t="s">
        <v>4249</v>
      </c>
      <c r="AN642" t="s">
        <v>4250</v>
      </c>
      <c r="AO642" t="s">
        <v>4251</v>
      </c>
      <c r="AP642" t="s">
        <v>4252</v>
      </c>
      <c r="AQ642" t="s">
        <v>74</v>
      </c>
      <c r="AR642" t="s">
        <v>4238</v>
      </c>
      <c r="AS642" t="s">
        <v>4253</v>
      </c>
      <c r="AT642" t="s">
        <v>74</v>
      </c>
      <c r="AU642">
        <v>2013</v>
      </c>
      <c r="AV642">
        <v>7</v>
      </c>
      <c r="AW642">
        <v>2</v>
      </c>
      <c r="AX642" t="s">
        <v>74</v>
      </c>
      <c r="AY642" t="s">
        <v>74</v>
      </c>
      <c r="AZ642" t="s">
        <v>74</v>
      </c>
      <c r="BA642" t="s">
        <v>74</v>
      </c>
      <c r="BB642">
        <v>647</v>
      </c>
      <c r="BC642">
        <v>655</v>
      </c>
      <c r="BD642" t="s">
        <v>74</v>
      </c>
      <c r="BE642" t="s">
        <v>11885</v>
      </c>
      <c r="BF642" t="str">
        <f>HYPERLINK("http://dx.doi.org/10.5194/tc-7-647-2013","http://dx.doi.org/10.5194/tc-7-647-2013")</f>
        <v>http://dx.doi.org/10.5194/tc-7-647-2013</v>
      </c>
      <c r="BG642" t="s">
        <v>74</v>
      </c>
      <c r="BH642" t="s">
        <v>74</v>
      </c>
      <c r="BI642">
        <v>9</v>
      </c>
      <c r="BJ642" t="s">
        <v>2261</v>
      </c>
      <c r="BK642" t="s">
        <v>102</v>
      </c>
      <c r="BL642" t="s">
        <v>2262</v>
      </c>
      <c r="BM642" t="s">
        <v>6826</v>
      </c>
      <c r="BN642" t="s">
        <v>74</v>
      </c>
      <c r="BO642" t="s">
        <v>4556</v>
      </c>
      <c r="BP642" t="s">
        <v>74</v>
      </c>
      <c r="BQ642" t="s">
        <v>74</v>
      </c>
      <c r="BR642" t="s">
        <v>105</v>
      </c>
      <c r="BS642" t="s">
        <v>11886</v>
      </c>
      <c r="BT642" t="str">
        <f>HYPERLINK("https%3A%2F%2Fwww.webofscience.com%2Fwos%2Fwoscc%2Ffull-record%2FWOS:000321181800002","View Full Record in Web of Science")</f>
        <v>View Full Record in Web of Science</v>
      </c>
    </row>
    <row r="643" spans="1:72" x14ac:dyDescent="0.15">
      <c r="A643" t="s">
        <v>72</v>
      </c>
      <c r="B643" t="s">
        <v>11887</v>
      </c>
      <c r="C643" t="s">
        <v>74</v>
      </c>
      <c r="D643" t="s">
        <v>74</v>
      </c>
      <c r="E643" t="s">
        <v>74</v>
      </c>
      <c r="F643" t="s">
        <v>11888</v>
      </c>
      <c r="G643" t="s">
        <v>74</v>
      </c>
      <c r="H643" t="s">
        <v>74</v>
      </c>
      <c r="I643" t="s">
        <v>11889</v>
      </c>
      <c r="J643" t="s">
        <v>4238</v>
      </c>
      <c r="K643" t="s">
        <v>74</v>
      </c>
      <c r="L643" t="s">
        <v>74</v>
      </c>
      <c r="M643" t="s">
        <v>78</v>
      </c>
      <c r="N643" t="s">
        <v>79</v>
      </c>
      <c r="O643" t="s">
        <v>74</v>
      </c>
      <c r="P643" t="s">
        <v>74</v>
      </c>
      <c r="Q643" t="s">
        <v>74</v>
      </c>
      <c r="R643" t="s">
        <v>74</v>
      </c>
      <c r="S643" t="s">
        <v>74</v>
      </c>
      <c r="T643" t="s">
        <v>74</v>
      </c>
      <c r="U643" t="s">
        <v>11890</v>
      </c>
      <c r="V643" t="s">
        <v>11891</v>
      </c>
      <c r="W643" t="s">
        <v>11892</v>
      </c>
      <c r="X643" t="s">
        <v>11893</v>
      </c>
      <c r="Y643" t="s">
        <v>11894</v>
      </c>
      <c r="Z643" t="s">
        <v>11895</v>
      </c>
      <c r="AA643" t="s">
        <v>11896</v>
      </c>
      <c r="AB643" t="s">
        <v>11897</v>
      </c>
      <c r="AC643" t="s">
        <v>11898</v>
      </c>
      <c r="AD643" t="s">
        <v>11899</v>
      </c>
      <c r="AE643" t="s">
        <v>11900</v>
      </c>
      <c r="AF643" t="s">
        <v>74</v>
      </c>
      <c r="AG643">
        <v>48</v>
      </c>
      <c r="AH643">
        <v>24</v>
      </c>
      <c r="AI643">
        <v>34</v>
      </c>
      <c r="AJ643">
        <v>1</v>
      </c>
      <c r="AK643">
        <v>24</v>
      </c>
      <c r="AL643" t="s">
        <v>4248</v>
      </c>
      <c r="AM643" t="s">
        <v>4249</v>
      </c>
      <c r="AN643" t="s">
        <v>4250</v>
      </c>
      <c r="AO643" t="s">
        <v>4251</v>
      </c>
      <c r="AP643" t="s">
        <v>4252</v>
      </c>
      <c r="AQ643" t="s">
        <v>74</v>
      </c>
      <c r="AR643" t="s">
        <v>4238</v>
      </c>
      <c r="AS643" t="s">
        <v>4253</v>
      </c>
      <c r="AT643" t="s">
        <v>74</v>
      </c>
      <c r="AU643">
        <v>2013</v>
      </c>
      <c r="AV643">
        <v>7</v>
      </c>
      <c r="AW643">
        <v>4</v>
      </c>
      <c r="AX643" t="s">
        <v>74</v>
      </c>
      <c r="AY643" t="s">
        <v>74</v>
      </c>
      <c r="AZ643" t="s">
        <v>74</v>
      </c>
      <c r="BA643" t="s">
        <v>74</v>
      </c>
      <c r="BB643">
        <v>1057</v>
      </c>
      <c r="BC643">
        <v>1072</v>
      </c>
      <c r="BD643" t="s">
        <v>74</v>
      </c>
      <c r="BE643" t="s">
        <v>11901</v>
      </c>
      <c r="BF643" t="str">
        <f>HYPERLINK("http://dx.doi.org/10.5194/tc-7-1057-2013","http://dx.doi.org/10.5194/tc-7-1057-2013")</f>
        <v>http://dx.doi.org/10.5194/tc-7-1057-2013</v>
      </c>
      <c r="BG643" t="s">
        <v>74</v>
      </c>
      <c r="BH643" t="s">
        <v>74</v>
      </c>
      <c r="BI643">
        <v>16</v>
      </c>
      <c r="BJ643" t="s">
        <v>2261</v>
      </c>
      <c r="BK643" t="s">
        <v>102</v>
      </c>
      <c r="BL643" t="s">
        <v>2262</v>
      </c>
      <c r="BM643" t="s">
        <v>6106</v>
      </c>
      <c r="BN643" t="s">
        <v>74</v>
      </c>
      <c r="BO643" t="s">
        <v>4132</v>
      </c>
      <c r="BP643" t="s">
        <v>74</v>
      </c>
      <c r="BQ643" t="s">
        <v>74</v>
      </c>
      <c r="BR643" t="s">
        <v>105</v>
      </c>
      <c r="BS643" t="s">
        <v>11902</v>
      </c>
      <c r="BT643" t="str">
        <f>HYPERLINK("https%3A%2F%2Fwww.webofscience.com%2Fwos%2Fwoscc%2Ffull-record%2FWOS:000323985700003","View Full Record in Web of Science")</f>
        <v>View Full Record in Web of Science</v>
      </c>
    </row>
    <row r="644" spans="1:72" x14ac:dyDescent="0.15">
      <c r="A644" t="s">
        <v>72</v>
      </c>
      <c r="B644" t="s">
        <v>11903</v>
      </c>
      <c r="C644" t="s">
        <v>74</v>
      </c>
      <c r="D644" t="s">
        <v>74</v>
      </c>
      <c r="E644" t="s">
        <v>74</v>
      </c>
      <c r="F644" t="s">
        <v>11904</v>
      </c>
      <c r="G644" t="s">
        <v>74</v>
      </c>
      <c r="H644" t="s">
        <v>74</v>
      </c>
      <c r="I644" t="s">
        <v>11905</v>
      </c>
      <c r="J644" t="s">
        <v>4238</v>
      </c>
      <c r="K644" t="s">
        <v>74</v>
      </c>
      <c r="L644" t="s">
        <v>74</v>
      </c>
      <c r="M644" t="s">
        <v>78</v>
      </c>
      <c r="N644" t="s">
        <v>79</v>
      </c>
      <c r="O644" t="s">
        <v>74</v>
      </c>
      <c r="P644" t="s">
        <v>74</v>
      </c>
      <c r="Q644" t="s">
        <v>74</v>
      </c>
      <c r="R644" t="s">
        <v>74</v>
      </c>
      <c r="S644" t="s">
        <v>74</v>
      </c>
      <c r="T644" t="s">
        <v>74</v>
      </c>
      <c r="U644" t="s">
        <v>11906</v>
      </c>
      <c r="V644" t="s">
        <v>11907</v>
      </c>
      <c r="W644" t="s">
        <v>11908</v>
      </c>
      <c r="X644" t="s">
        <v>11909</v>
      </c>
      <c r="Y644" t="s">
        <v>11910</v>
      </c>
      <c r="Z644" t="s">
        <v>11911</v>
      </c>
      <c r="AA644" t="s">
        <v>11912</v>
      </c>
      <c r="AB644" t="s">
        <v>11913</v>
      </c>
      <c r="AC644" t="s">
        <v>11914</v>
      </c>
      <c r="AD644" t="s">
        <v>11915</v>
      </c>
      <c r="AE644" t="s">
        <v>11916</v>
      </c>
      <c r="AF644" t="s">
        <v>74</v>
      </c>
      <c r="AG644">
        <v>92</v>
      </c>
      <c r="AH644">
        <v>584</v>
      </c>
      <c r="AI644">
        <v>617</v>
      </c>
      <c r="AJ644">
        <v>14</v>
      </c>
      <c r="AK644">
        <v>238</v>
      </c>
      <c r="AL644" t="s">
        <v>4248</v>
      </c>
      <c r="AM644" t="s">
        <v>4249</v>
      </c>
      <c r="AN644" t="s">
        <v>4250</v>
      </c>
      <c r="AO644" t="s">
        <v>4251</v>
      </c>
      <c r="AP644" t="s">
        <v>74</v>
      </c>
      <c r="AQ644" t="s">
        <v>74</v>
      </c>
      <c r="AR644" t="s">
        <v>4238</v>
      </c>
      <c r="AS644" t="s">
        <v>4253</v>
      </c>
      <c r="AT644" t="s">
        <v>74</v>
      </c>
      <c r="AU644">
        <v>2013</v>
      </c>
      <c r="AV644">
        <v>7</v>
      </c>
      <c r="AW644">
        <v>4</v>
      </c>
      <c r="AX644" t="s">
        <v>74</v>
      </c>
      <c r="AY644" t="s">
        <v>74</v>
      </c>
      <c r="AZ644" t="s">
        <v>74</v>
      </c>
      <c r="BA644" t="s">
        <v>74</v>
      </c>
      <c r="BB644">
        <v>1263</v>
      </c>
      <c r="BC644">
        <v>1286</v>
      </c>
      <c r="BD644" t="s">
        <v>74</v>
      </c>
      <c r="BE644" t="s">
        <v>11917</v>
      </c>
      <c r="BF644" t="str">
        <f>HYPERLINK("http://dx.doi.org/10.5194/tc-7-1263-2013","http://dx.doi.org/10.5194/tc-7-1263-2013")</f>
        <v>http://dx.doi.org/10.5194/tc-7-1263-2013</v>
      </c>
      <c r="BG644" t="s">
        <v>74</v>
      </c>
      <c r="BH644" t="s">
        <v>74</v>
      </c>
      <c r="BI644">
        <v>24</v>
      </c>
      <c r="BJ644" t="s">
        <v>2261</v>
      </c>
      <c r="BK644" t="s">
        <v>102</v>
      </c>
      <c r="BL644" t="s">
        <v>2262</v>
      </c>
      <c r="BM644" t="s">
        <v>6106</v>
      </c>
      <c r="BN644" t="s">
        <v>74</v>
      </c>
      <c r="BO644" t="s">
        <v>4132</v>
      </c>
      <c r="BP644" t="s">
        <v>1779</v>
      </c>
      <c r="BQ644" t="s">
        <v>1780</v>
      </c>
      <c r="BR644" t="s">
        <v>105</v>
      </c>
      <c r="BS644" t="s">
        <v>11918</v>
      </c>
      <c r="BT644" t="str">
        <f>HYPERLINK("https%3A%2F%2Fwww.webofscience.com%2Fwos%2Fwoscc%2Ffull-record%2FWOS:000323985700017","View Full Record in Web of Science")</f>
        <v>View Full Record in Web of Science</v>
      </c>
    </row>
    <row r="645" spans="1:72" x14ac:dyDescent="0.15">
      <c r="A645" t="s">
        <v>72</v>
      </c>
      <c r="B645" t="s">
        <v>11919</v>
      </c>
      <c r="C645" t="s">
        <v>74</v>
      </c>
      <c r="D645" t="s">
        <v>74</v>
      </c>
      <c r="E645" t="s">
        <v>74</v>
      </c>
      <c r="F645" t="s">
        <v>11920</v>
      </c>
      <c r="G645" t="s">
        <v>74</v>
      </c>
      <c r="H645" t="s">
        <v>74</v>
      </c>
      <c r="I645" t="s">
        <v>11921</v>
      </c>
      <c r="J645" t="s">
        <v>4238</v>
      </c>
      <c r="K645" t="s">
        <v>74</v>
      </c>
      <c r="L645" t="s">
        <v>74</v>
      </c>
      <c r="M645" t="s">
        <v>78</v>
      </c>
      <c r="N645" t="s">
        <v>79</v>
      </c>
      <c r="O645" t="s">
        <v>74</v>
      </c>
      <c r="P645" t="s">
        <v>74</v>
      </c>
      <c r="Q645" t="s">
        <v>74</v>
      </c>
      <c r="R645" t="s">
        <v>74</v>
      </c>
      <c r="S645" t="s">
        <v>74</v>
      </c>
      <c r="T645" t="s">
        <v>74</v>
      </c>
      <c r="U645" t="s">
        <v>11922</v>
      </c>
      <c r="V645" t="s">
        <v>11923</v>
      </c>
      <c r="W645" t="s">
        <v>11924</v>
      </c>
      <c r="X645" t="s">
        <v>11925</v>
      </c>
      <c r="Y645" t="s">
        <v>11926</v>
      </c>
      <c r="Z645" t="s">
        <v>11927</v>
      </c>
      <c r="AA645" t="s">
        <v>11928</v>
      </c>
      <c r="AB645" t="s">
        <v>11929</v>
      </c>
      <c r="AC645" t="s">
        <v>11930</v>
      </c>
      <c r="AD645" t="s">
        <v>11931</v>
      </c>
      <c r="AE645" t="s">
        <v>11932</v>
      </c>
      <c r="AF645" t="s">
        <v>74</v>
      </c>
      <c r="AG645">
        <v>56</v>
      </c>
      <c r="AH645">
        <v>65</v>
      </c>
      <c r="AI645">
        <v>72</v>
      </c>
      <c r="AJ645">
        <v>1</v>
      </c>
      <c r="AK645">
        <v>36</v>
      </c>
      <c r="AL645" t="s">
        <v>4248</v>
      </c>
      <c r="AM645" t="s">
        <v>4249</v>
      </c>
      <c r="AN645" t="s">
        <v>4250</v>
      </c>
      <c r="AO645" t="s">
        <v>4251</v>
      </c>
      <c r="AP645" t="s">
        <v>4252</v>
      </c>
      <c r="AQ645" t="s">
        <v>74</v>
      </c>
      <c r="AR645" t="s">
        <v>4238</v>
      </c>
      <c r="AS645" t="s">
        <v>4253</v>
      </c>
      <c r="AT645" t="s">
        <v>74</v>
      </c>
      <c r="AU645">
        <v>2013</v>
      </c>
      <c r="AV645">
        <v>7</v>
      </c>
      <c r="AW645">
        <v>5</v>
      </c>
      <c r="AX645" t="s">
        <v>74</v>
      </c>
      <c r="AY645" t="s">
        <v>74</v>
      </c>
      <c r="AZ645" t="s">
        <v>74</v>
      </c>
      <c r="BA645" t="s">
        <v>74</v>
      </c>
      <c r="BB645">
        <v>1499</v>
      </c>
      <c r="BC645">
        <v>1512</v>
      </c>
      <c r="BD645" t="s">
        <v>74</v>
      </c>
      <c r="BE645" t="s">
        <v>11933</v>
      </c>
      <c r="BF645" t="str">
        <f>HYPERLINK("http://dx.doi.org/10.5194/tc-7-1499-2013","http://dx.doi.org/10.5194/tc-7-1499-2013")</f>
        <v>http://dx.doi.org/10.5194/tc-7-1499-2013</v>
      </c>
      <c r="BG645" t="s">
        <v>74</v>
      </c>
      <c r="BH645" t="s">
        <v>74</v>
      </c>
      <c r="BI645">
        <v>14</v>
      </c>
      <c r="BJ645" t="s">
        <v>2261</v>
      </c>
      <c r="BK645" t="s">
        <v>102</v>
      </c>
      <c r="BL645" t="s">
        <v>2262</v>
      </c>
      <c r="BM645" t="s">
        <v>4555</v>
      </c>
      <c r="BN645" t="s">
        <v>74</v>
      </c>
      <c r="BO645" t="s">
        <v>11061</v>
      </c>
      <c r="BP645" t="s">
        <v>74</v>
      </c>
      <c r="BQ645" t="s">
        <v>74</v>
      </c>
      <c r="BR645" t="s">
        <v>105</v>
      </c>
      <c r="BS645" t="s">
        <v>11934</v>
      </c>
      <c r="BT645" t="str">
        <f>HYPERLINK("https%3A%2F%2Fwww.webofscience.com%2Fwos%2Fwoscc%2Ffull-record%2FWOS:000328544800013","View Full Record in Web of Science")</f>
        <v>View Full Record in Web of Science</v>
      </c>
    </row>
    <row r="646" spans="1:72" x14ac:dyDescent="0.15">
      <c r="A646" t="s">
        <v>72</v>
      </c>
      <c r="B646" t="s">
        <v>11935</v>
      </c>
      <c r="C646" t="s">
        <v>74</v>
      </c>
      <c r="D646" t="s">
        <v>74</v>
      </c>
      <c r="E646" t="s">
        <v>74</v>
      </c>
      <c r="F646" t="s">
        <v>11936</v>
      </c>
      <c r="G646" t="s">
        <v>74</v>
      </c>
      <c r="H646" t="s">
        <v>74</v>
      </c>
      <c r="I646" t="s">
        <v>11937</v>
      </c>
      <c r="J646" t="s">
        <v>4238</v>
      </c>
      <c r="K646" t="s">
        <v>74</v>
      </c>
      <c r="L646" t="s">
        <v>74</v>
      </c>
      <c r="M646" t="s">
        <v>78</v>
      </c>
      <c r="N646" t="s">
        <v>79</v>
      </c>
      <c r="O646" t="s">
        <v>74</v>
      </c>
      <c r="P646" t="s">
        <v>74</v>
      </c>
      <c r="Q646" t="s">
        <v>74</v>
      </c>
      <c r="R646" t="s">
        <v>74</v>
      </c>
      <c r="S646" t="s">
        <v>74</v>
      </c>
      <c r="T646" t="s">
        <v>74</v>
      </c>
      <c r="U646" t="s">
        <v>11938</v>
      </c>
      <c r="V646" t="s">
        <v>11939</v>
      </c>
      <c r="W646" t="s">
        <v>11940</v>
      </c>
      <c r="X646" t="s">
        <v>11941</v>
      </c>
      <c r="Y646" t="s">
        <v>11942</v>
      </c>
      <c r="Z646" t="s">
        <v>11943</v>
      </c>
      <c r="AA646" t="s">
        <v>11944</v>
      </c>
      <c r="AB646" t="s">
        <v>11945</v>
      </c>
      <c r="AC646" t="s">
        <v>11946</v>
      </c>
      <c r="AD646" t="s">
        <v>11947</v>
      </c>
      <c r="AE646" t="s">
        <v>11948</v>
      </c>
      <c r="AF646" t="s">
        <v>74</v>
      </c>
      <c r="AG646">
        <v>39</v>
      </c>
      <c r="AH646">
        <v>99</v>
      </c>
      <c r="AI646">
        <v>107</v>
      </c>
      <c r="AJ646">
        <v>0</v>
      </c>
      <c r="AK646">
        <v>29</v>
      </c>
      <c r="AL646" t="s">
        <v>4248</v>
      </c>
      <c r="AM646" t="s">
        <v>4249</v>
      </c>
      <c r="AN646" t="s">
        <v>4250</v>
      </c>
      <c r="AO646" t="s">
        <v>4251</v>
      </c>
      <c r="AP646" t="s">
        <v>4252</v>
      </c>
      <c r="AQ646" t="s">
        <v>74</v>
      </c>
      <c r="AR646" t="s">
        <v>4238</v>
      </c>
      <c r="AS646" t="s">
        <v>4253</v>
      </c>
      <c r="AT646" t="s">
        <v>74</v>
      </c>
      <c r="AU646">
        <v>2013</v>
      </c>
      <c r="AV646">
        <v>7</v>
      </c>
      <c r="AW646">
        <v>5</v>
      </c>
      <c r="AX646" t="s">
        <v>74</v>
      </c>
      <c r="AY646" t="s">
        <v>74</v>
      </c>
      <c r="AZ646" t="s">
        <v>74</v>
      </c>
      <c r="BA646" t="s">
        <v>74</v>
      </c>
      <c r="BB646">
        <v>1543</v>
      </c>
      <c r="BC646">
        <v>1555</v>
      </c>
      <c r="BD646" t="s">
        <v>74</v>
      </c>
      <c r="BE646" t="s">
        <v>11949</v>
      </c>
      <c r="BF646" t="str">
        <f>HYPERLINK("http://dx.doi.org/10.5194/tc-7-1543-2013","http://dx.doi.org/10.5194/tc-7-1543-2013")</f>
        <v>http://dx.doi.org/10.5194/tc-7-1543-2013</v>
      </c>
      <c r="BG646" t="s">
        <v>74</v>
      </c>
      <c r="BH646" t="s">
        <v>74</v>
      </c>
      <c r="BI646">
        <v>13</v>
      </c>
      <c r="BJ646" t="s">
        <v>2261</v>
      </c>
      <c r="BK646" t="s">
        <v>102</v>
      </c>
      <c r="BL646" t="s">
        <v>2262</v>
      </c>
      <c r="BM646" t="s">
        <v>4555</v>
      </c>
      <c r="BN646" t="s">
        <v>74</v>
      </c>
      <c r="BO646" t="s">
        <v>10762</v>
      </c>
      <c r="BP646" t="s">
        <v>74</v>
      </c>
      <c r="BQ646" t="s">
        <v>74</v>
      </c>
      <c r="BR646" t="s">
        <v>105</v>
      </c>
      <c r="BS646" t="s">
        <v>11950</v>
      </c>
      <c r="BT646" t="str">
        <f>HYPERLINK("https%3A%2F%2Fwww.webofscience.com%2Fwos%2Fwoscc%2Ffull-record%2FWOS:000328544800016","View Full Record in Web of Science")</f>
        <v>View Full Record in Web of Science</v>
      </c>
    </row>
    <row r="647" spans="1:72" x14ac:dyDescent="0.15">
      <c r="A647" t="s">
        <v>72</v>
      </c>
      <c r="B647" t="s">
        <v>11951</v>
      </c>
      <c r="C647" t="s">
        <v>74</v>
      </c>
      <c r="D647" t="s">
        <v>74</v>
      </c>
      <c r="E647" t="s">
        <v>74</v>
      </c>
      <c r="F647" t="s">
        <v>11952</v>
      </c>
      <c r="G647" t="s">
        <v>74</v>
      </c>
      <c r="H647" t="s">
        <v>74</v>
      </c>
      <c r="I647" t="s">
        <v>11953</v>
      </c>
      <c r="J647" t="s">
        <v>4238</v>
      </c>
      <c r="K647" t="s">
        <v>74</v>
      </c>
      <c r="L647" t="s">
        <v>74</v>
      </c>
      <c r="M647" t="s">
        <v>78</v>
      </c>
      <c r="N647" t="s">
        <v>79</v>
      </c>
      <c r="O647" t="s">
        <v>74</v>
      </c>
      <c r="P647" t="s">
        <v>74</v>
      </c>
      <c r="Q647" t="s">
        <v>74</v>
      </c>
      <c r="R647" t="s">
        <v>74</v>
      </c>
      <c r="S647" t="s">
        <v>74</v>
      </c>
      <c r="T647" t="s">
        <v>74</v>
      </c>
      <c r="U647" t="s">
        <v>11954</v>
      </c>
      <c r="V647" t="s">
        <v>11955</v>
      </c>
      <c r="W647" t="s">
        <v>11956</v>
      </c>
      <c r="X647" t="s">
        <v>11957</v>
      </c>
      <c r="Y647" t="s">
        <v>11958</v>
      </c>
      <c r="Z647" t="s">
        <v>11959</v>
      </c>
      <c r="AA647" t="s">
        <v>11960</v>
      </c>
      <c r="AB647" t="s">
        <v>11961</v>
      </c>
      <c r="AC647" t="s">
        <v>11962</v>
      </c>
      <c r="AD647" t="s">
        <v>11883</v>
      </c>
      <c r="AE647" t="s">
        <v>11963</v>
      </c>
      <c r="AF647" t="s">
        <v>74</v>
      </c>
      <c r="AG647">
        <v>52</v>
      </c>
      <c r="AH647">
        <v>78</v>
      </c>
      <c r="AI647">
        <v>87</v>
      </c>
      <c r="AJ647">
        <v>0</v>
      </c>
      <c r="AK647">
        <v>48</v>
      </c>
      <c r="AL647" t="s">
        <v>4248</v>
      </c>
      <c r="AM647" t="s">
        <v>4249</v>
      </c>
      <c r="AN647" t="s">
        <v>4250</v>
      </c>
      <c r="AO647" t="s">
        <v>4251</v>
      </c>
      <c r="AP647" t="s">
        <v>4252</v>
      </c>
      <c r="AQ647" t="s">
        <v>74</v>
      </c>
      <c r="AR647" t="s">
        <v>4238</v>
      </c>
      <c r="AS647" t="s">
        <v>4253</v>
      </c>
      <c r="AT647" t="s">
        <v>74</v>
      </c>
      <c r="AU647">
        <v>2013</v>
      </c>
      <c r="AV647">
        <v>7</v>
      </c>
      <c r="AW647">
        <v>6</v>
      </c>
      <c r="AX647" t="s">
        <v>74</v>
      </c>
      <c r="AY647" t="s">
        <v>74</v>
      </c>
      <c r="AZ647" t="s">
        <v>74</v>
      </c>
      <c r="BA647" t="s">
        <v>74</v>
      </c>
      <c r="BB647">
        <v>1721</v>
      </c>
      <c r="BC647">
        <v>1740</v>
      </c>
      <c r="BD647" t="s">
        <v>74</v>
      </c>
      <c r="BE647" t="s">
        <v>11964</v>
      </c>
      <c r="BF647" t="str">
        <f>HYPERLINK("http://dx.doi.org/10.5194/tc-7-1721-2013","http://dx.doi.org/10.5194/tc-7-1721-2013")</f>
        <v>http://dx.doi.org/10.5194/tc-7-1721-2013</v>
      </c>
      <c r="BG647" t="s">
        <v>74</v>
      </c>
      <c r="BH647" t="s">
        <v>74</v>
      </c>
      <c r="BI647">
        <v>20</v>
      </c>
      <c r="BJ647" t="s">
        <v>2261</v>
      </c>
      <c r="BK647" t="s">
        <v>102</v>
      </c>
      <c r="BL647" t="s">
        <v>2262</v>
      </c>
      <c r="BM647" t="s">
        <v>4654</v>
      </c>
      <c r="BN647" t="s">
        <v>74</v>
      </c>
      <c r="BO647" t="s">
        <v>5838</v>
      </c>
      <c r="BP647" t="s">
        <v>74</v>
      </c>
      <c r="BQ647" t="s">
        <v>74</v>
      </c>
      <c r="BR647" t="s">
        <v>105</v>
      </c>
      <c r="BS647" t="s">
        <v>11965</v>
      </c>
      <c r="BT647" t="str">
        <f>HYPERLINK("https%3A%2F%2Fwww.webofscience.com%2Fwos%2Fwoscc%2Ffull-record%2FWOS:000328546300005","View Full Record in Web of Science")</f>
        <v>View Full Record in Web of Science</v>
      </c>
    </row>
    <row r="648" spans="1:72" x14ac:dyDescent="0.15">
      <c r="A648" t="s">
        <v>72</v>
      </c>
      <c r="B648" t="s">
        <v>11966</v>
      </c>
      <c r="C648" t="s">
        <v>74</v>
      </c>
      <c r="D648" t="s">
        <v>74</v>
      </c>
      <c r="E648" t="s">
        <v>74</v>
      </c>
      <c r="F648" t="s">
        <v>11967</v>
      </c>
      <c r="G648" t="s">
        <v>74</v>
      </c>
      <c r="H648" t="s">
        <v>74</v>
      </c>
      <c r="I648" t="s">
        <v>11968</v>
      </c>
      <c r="J648" t="s">
        <v>4238</v>
      </c>
      <c r="K648" t="s">
        <v>74</v>
      </c>
      <c r="L648" t="s">
        <v>74</v>
      </c>
      <c r="M648" t="s">
        <v>78</v>
      </c>
      <c r="N648" t="s">
        <v>79</v>
      </c>
      <c r="O648" t="s">
        <v>74</v>
      </c>
      <c r="P648" t="s">
        <v>74</v>
      </c>
      <c r="Q648" t="s">
        <v>74</v>
      </c>
      <c r="R648" t="s">
        <v>74</v>
      </c>
      <c r="S648" t="s">
        <v>74</v>
      </c>
      <c r="T648" t="s">
        <v>74</v>
      </c>
      <c r="U648" t="s">
        <v>11969</v>
      </c>
      <c r="V648" t="s">
        <v>11970</v>
      </c>
      <c r="W648" t="s">
        <v>11971</v>
      </c>
      <c r="X648" t="s">
        <v>11972</v>
      </c>
      <c r="Y648" t="s">
        <v>11973</v>
      </c>
      <c r="Z648" t="s">
        <v>11974</v>
      </c>
      <c r="AA648" t="s">
        <v>11975</v>
      </c>
      <c r="AB648" t="s">
        <v>11976</v>
      </c>
      <c r="AC648" t="s">
        <v>11977</v>
      </c>
      <c r="AD648" t="s">
        <v>11978</v>
      </c>
      <c r="AE648" t="s">
        <v>11979</v>
      </c>
      <c r="AF648" t="s">
        <v>74</v>
      </c>
      <c r="AG648">
        <v>93</v>
      </c>
      <c r="AH648">
        <v>125</v>
      </c>
      <c r="AI648">
        <v>135</v>
      </c>
      <c r="AJ648">
        <v>2</v>
      </c>
      <c r="AK648">
        <v>32</v>
      </c>
      <c r="AL648" t="s">
        <v>4248</v>
      </c>
      <c r="AM648" t="s">
        <v>4249</v>
      </c>
      <c r="AN648" t="s">
        <v>4250</v>
      </c>
      <c r="AO648" t="s">
        <v>4251</v>
      </c>
      <c r="AP648" t="s">
        <v>4252</v>
      </c>
      <c r="AQ648" t="s">
        <v>74</v>
      </c>
      <c r="AR648" t="s">
        <v>4238</v>
      </c>
      <c r="AS648" t="s">
        <v>4253</v>
      </c>
      <c r="AT648" t="s">
        <v>74</v>
      </c>
      <c r="AU648">
        <v>2013</v>
      </c>
      <c r="AV648">
        <v>7</v>
      </c>
      <c r="AW648">
        <v>6</v>
      </c>
      <c r="AX648" t="s">
        <v>74</v>
      </c>
      <c r="AY648" t="s">
        <v>74</v>
      </c>
      <c r="AZ648" t="s">
        <v>74</v>
      </c>
      <c r="BA648" t="s">
        <v>74</v>
      </c>
      <c r="BB648">
        <v>1803</v>
      </c>
      <c r="BC648">
        <v>1818</v>
      </c>
      <c r="BD648" t="s">
        <v>74</v>
      </c>
      <c r="BE648" t="s">
        <v>11980</v>
      </c>
      <c r="BF648" t="str">
        <f>HYPERLINK("http://dx.doi.org/10.5194/tc-7-1803-2013","http://dx.doi.org/10.5194/tc-7-1803-2013")</f>
        <v>http://dx.doi.org/10.5194/tc-7-1803-2013</v>
      </c>
      <c r="BG648" t="s">
        <v>74</v>
      </c>
      <c r="BH648" t="s">
        <v>74</v>
      </c>
      <c r="BI648">
        <v>16</v>
      </c>
      <c r="BJ648" t="s">
        <v>2261</v>
      </c>
      <c r="BK648" t="s">
        <v>102</v>
      </c>
      <c r="BL648" t="s">
        <v>2262</v>
      </c>
      <c r="BM648" t="s">
        <v>4654</v>
      </c>
      <c r="BN648" t="s">
        <v>74</v>
      </c>
      <c r="BO648" t="s">
        <v>4132</v>
      </c>
      <c r="BP648" t="s">
        <v>74</v>
      </c>
      <c r="BQ648" t="s">
        <v>74</v>
      </c>
      <c r="BR648" t="s">
        <v>105</v>
      </c>
      <c r="BS648" t="s">
        <v>11981</v>
      </c>
      <c r="BT648" t="str">
        <f>HYPERLINK("https%3A%2F%2Fwww.webofscience.com%2Fwos%2Fwoscc%2Ffull-record%2FWOS:000328546300010","View Full Record in Web of Science")</f>
        <v>View Full Record in Web of Science</v>
      </c>
    </row>
    <row r="649" spans="1:72" x14ac:dyDescent="0.15">
      <c r="A649" t="s">
        <v>72</v>
      </c>
      <c r="B649" t="s">
        <v>11982</v>
      </c>
      <c r="C649" t="s">
        <v>74</v>
      </c>
      <c r="D649" t="s">
        <v>74</v>
      </c>
      <c r="E649" t="s">
        <v>74</v>
      </c>
      <c r="F649" t="s">
        <v>11983</v>
      </c>
      <c r="G649" t="s">
        <v>74</v>
      </c>
      <c r="H649" t="s">
        <v>74</v>
      </c>
      <c r="I649" t="s">
        <v>11984</v>
      </c>
      <c r="J649" t="s">
        <v>11985</v>
      </c>
      <c r="K649" t="s">
        <v>74</v>
      </c>
      <c r="L649" t="s">
        <v>74</v>
      </c>
      <c r="M649" t="s">
        <v>78</v>
      </c>
      <c r="N649" t="s">
        <v>79</v>
      </c>
      <c r="O649" t="s">
        <v>74</v>
      </c>
      <c r="P649" t="s">
        <v>74</v>
      </c>
      <c r="Q649" t="s">
        <v>74</v>
      </c>
      <c r="R649" t="s">
        <v>74</v>
      </c>
      <c r="S649" t="s">
        <v>74</v>
      </c>
      <c r="T649" t="s">
        <v>74</v>
      </c>
      <c r="U649" t="s">
        <v>11986</v>
      </c>
      <c r="V649" t="s">
        <v>11987</v>
      </c>
      <c r="W649" t="s">
        <v>11988</v>
      </c>
      <c r="X649" t="s">
        <v>11989</v>
      </c>
      <c r="Y649" t="s">
        <v>11990</v>
      </c>
      <c r="Z649" t="s">
        <v>11991</v>
      </c>
      <c r="AA649" t="s">
        <v>11992</v>
      </c>
      <c r="AB649" t="s">
        <v>74</v>
      </c>
      <c r="AC649" t="s">
        <v>74</v>
      </c>
      <c r="AD649" t="s">
        <v>74</v>
      </c>
      <c r="AE649" t="s">
        <v>74</v>
      </c>
      <c r="AF649" t="s">
        <v>74</v>
      </c>
      <c r="AG649">
        <v>108</v>
      </c>
      <c r="AH649">
        <v>95</v>
      </c>
      <c r="AI649">
        <v>108</v>
      </c>
      <c r="AJ649">
        <v>2</v>
      </c>
      <c r="AK649">
        <v>81</v>
      </c>
      <c r="AL649" t="s">
        <v>6321</v>
      </c>
      <c r="AM649" t="s">
        <v>2038</v>
      </c>
      <c r="AN649" t="s">
        <v>6322</v>
      </c>
      <c r="AO649" t="s">
        <v>11993</v>
      </c>
      <c r="AP649" t="s">
        <v>11994</v>
      </c>
      <c r="AQ649" t="s">
        <v>74</v>
      </c>
      <c r="AR649" t="s">
        <v>11995</v>
      </c>
      <c r="AS649" t="s">
        <v>11996</v>
      </c>
      <c r="AT649" t="s">
        <v>74</v>
      </c>
      <c r="AU649">
        <v>2013</v>
      </c>
      <c r="AV649">
        <v>42</v>
      </c>
      <c r="AW649">
        <v>33</v>
      </c>
      <c r="AX649" t="s">
        <v>74</v>
      </c>
      <c r="AY649" t="s">
        <v>74</v>
      </c>
      <c r="AZ649" t="s">
        <v>74</v>
      </c>
      <c r="BA649" t="s">
        <v>74</v>
      </c>
      <c r="BB649">
        <v>11778</v>
      </c>
      <c r="BC649">
        <v>11786</v>
      </c>
      <c r="BD649" t="s">
        <v>74</v>
      </c>
      <c r="BE649" t="s">
        <v>11997</v>
      </c>
      <c r="BF649" t="str">
        <f>HYPERLINK("http://dx.doi.org/10.1039/c3dt50525a","http://dx.doi.org/10.1039/c3dt50525a")</f>
        <v>http://dx.doi.org/10.1039/c3dt50525a</v>
      </c>
      <c r="BG649" t="s">
        <v>74</v>
      </c>
      <c r="BH649" t="s">
        <v>74</v>
      </c>
      <c r="BI649">
        <v>9</v>
      </c>
      <c r="BJ649" t="s">
        <v>11998</v>
      </c>
      <c r="BK649" t="s">
        <v>102</v>
      </c>
      <c r="BL649" t="s">
        <v>4420</v>
      </c>
      <c r="BM649" t="s">
        <v>11999</v>
      </c>
      <c r="BN649">
        <v>23657250</v>
      </c>
      <c r="BO649" t="s">
        <v>12000</v>
      </c>
      <c r="BP649" t="s">
        <v>74</v>
      </c>
      <c r="BQ649" t="s">
        <v>74</v>
      </c>
      <c r="BR649" t="s">
        <v>105</v>
      </c>
      <c r="BS649" t="s">
        <v>12001</v>
      </c>
      <c r="BT649" t="str">
        <f>HYPERLINK("https%3A%2F%2Fwww.webofscience.com%2Fwos%2Fwoscc%2Ffull-record%2FWOS:000322525100005","View Full Record in Web of Science")</f>
        <v>View Full Record in Web of Science</v>
      </c>
    </row>
    <row r="650" spans="1:72" x14ac:dyDescent="0.15">
      <c r="A650" t="s">
        <v>72</v>
      </c>
      <c r="B650" t="s">
        <v>12002</v>
      </c>
      <c r="C650" t="s">
        <v>74</v>
      </c>
      <c r="D650" t="s">
        <v>74</v>
      </c>
      <c r="E650" t="s">
        <v>74</v>
      </c>
      <c r="F650" t="s">
        <v>12003</v>
      </c>
      <c r="G650" t="s">
        <v>74</v>
      </c>
      <c r="H650" t="s">
        <v>74</v>
      </c>
      <c r="I650" t="s">
        <v>12004</v>
      </c>
      <c r="J650" t="s">
        <v>12005</v>
      </c>
      <c r="K650" t="s">
        <v>74</v>
      </c>
      <c r="L650" t="s">
        <v>74</v>
      </c>
      <c r="M650" t="s">
        <v>78</v>
      </c>
      <c r="N650" t="s">
        <v>79</v>
      </c>
      <c r="O650" t="s">
        <v>74</v>
      </c>
      <c r="P650" t="s">
        <v>74</v>
      </c>
      <c r="Q650" t="s">
        <v>74</v>
      </c>
      <c r="R650" t="s">
        <v>74</v>
      </c>
      <c r="S650" t="s">
        <v>74</v>
      </c>
      <c r="T650" t="s">
        <v>12006</v>
      </c>
      <c r="U650" t="s">
        <v>12007</v>
      </c>
      <c r="V650" t="s">
        <v>12008</v>
      </c>
      <c r="W650" t="s">
        <v>12009</v>
      </c>
      <c r="X650" t="s">
        <v>12010</v>
      </c>
      <c r="Y650" t="s">
        <v>12011</v>
      </c>
      <c r="Z650" t="s">
        <v>12012</v>
      </c>
      <c r="AA650" t="s">
        <v>12013</v>
      </c>
      <c r="AB650" t="s">
        <v>12014</v>
      </c>
      <c r="AC650" t="s">
        <v>12015</v>
      </c>
      <c r="AD650" t="s">
        <v>12016</v>
      </c>
      <c r="AE650" t="s">
        <v>12017</v>
      </c>
      <c r="AF650" t="s">
        <v>74</v>
      </c>
      <c r="AG650">
        <v>52</v>
      </c>
      <c r="AH650">
        <v>21</v>
      </c>
      <c r="AI650">
        <v>26</v>
      </c>
      <c r="AJ650">
        <v>2</v>
      </c>
      <c r="AK650">
        <v>34</v>
      </c>
      <c r="AL650" t="s">
        <v>586</v>
      </c>
      <c r="AM650" t="s">
        <v>542</v>
      </c>
      <c r="AN650" t="s">
        <v>587</v>
      </c>
      <c r="AO650" t="s">
        <v>12018</v>
      </c>
      <c r="AP650" t="s">
        <v>12019</v>
      </c>
      <c r="AQ650" t="s">
        <v>74</v>
      </c>
      <c r="AR650" t="s">
        <v>12020</v>
      </c>
      <c r="AS650" t="s">
        <v>12021</v>
      </c>
      <c r="AT650" t="s">
        <v>7151</v>
      </c>
      <c r="AU650">
        <v>2013</v>
      </c>
      <c r="AV650">
        <v>361</v>
      </c>
      <c r="AW650" t="s">
        <v>74</v>
      </c>
      <c r="AX650" t="s">
        <v>74</v>
      </c>
      <c r="AY650" t="s">
        <v>74</v>
      </c>
      <c r="AZ650" t="s">
        <v>74</v>
      </c>
      <c r="BA650" t="s">
        <v>74</v>
      </c>
      <c r="BB650">
        <v>110</v>
      </c>
      <c r="BC650">
        <v>119</v>
      </c>
      <c r="BD650" t="s">
        <v>74</v>
      </c>
      <c r="BE650" t="s">
        <v>12022</v>
      </c>
      <c r="BF650" t="str">
        <f>HYPERLINK("http://dx.doi.org/10.1016/j.epsl.2012.11.039","http://dx.doi.org/10.1016/j.epsl.2012.11.039")</f>
        <v>http://dx.doi.org/10.1016/j.epsl.2012.11.039</v>
      </c>
      <c r="BG650" t="s">
        <v>74</v>
      </c>
      <c r="BH650" t="s">
        <v>74</v>
      </c>
      <c r="BI650">
        <v>10</v>
      </c>
      <c r="BJ650" t="s">
        <v>263</v>
      </c>
      <c r="BK650" t="s">
        <v>102</v>
      </c>
      <c r="BL650" t="s">
        <v>263</v>
      </c>
      <c r="BM650" t="s">
        <v>12023</v>
      </c>
      <c r="BN650" t="s">
        <v>74</v>
      </c>
      <c r="BO650" t="s">
        <v>74</v>
      </c>
      <c r="BP650" t="s">
        <v>74</v>
      </c>
      <c r="BQ650" t="s">
        <v>74</v>
      </c>
      <c r="BR650" t="s">
        <v>105</v>
      </c>
      <c r="BS650" t="s">
        <v>12024</v>
      </c>
      <c r="BT650" t="str">
        <f>HYPERLINK("https%3A%2F%2Fwww.webofscience.com%2Fwos%2Fwoscc%2Ffull-record%2FWOS:000314907000013","View Full Record in Web of Science")</f>
        <v>View Full Record in Web of Science</v>
      </c>
    </row>
    <row r="651" spans="1:72" x14ac:dyDescent="0.15">
      <c r="A651" t="s">
        <v>72</v>
      </c>
      <c r="B651" t="s">
        <v>12025</v>
      </c>
      <c r="C651" t="s">
        <v>74</v>
      </c>
      <c r="D651" t="s">
        <v>74</v>
      </c>
      <c r="E651" t="s">
        <v>74</v>
      </c>
      <c r="F651" t="s">
        <v>12026</v>
      </c>
      <c r="G651" t="s">
        <v>74</v>
      </c>
      <c r="H651" t="s">
        <v>74</v>
      </c>
      <c r="I651" t="s">
        <v>12027</v>
      </c>
      <c r="J651" t="s">
        <v>4659</v>
      </c>
      <c r="K651" t="s">
        <v>74</v>
      </c>
      <c r="L651" t="s">
        <v>74</v>
      </c>
      <c r="M651" t="s">
        <v>78</v>
      </c>
      <c r="N651" t="s">
        <v>79</v>
      </c>
      <c r="O651" t="s">
        <v>74</v>
      </c>
      <c r="P651" t="s">
        <v>74</v>
      </c>
      <c r="Q651" t="s">
        <v>74</v>
      </c>
      <c r="R651" t="s">
        <v>74</v>
      </c>
      <c r="S651" t="s">
        <v>74</v>
      </c>
      <c r="T651" t="s">
        <v>12028</v>
      </c>
      <c r="U651" t="s">
        <v>12029</v>
      </c>
      <c r="V651" t="s">
        <v>12030</v>
      </c>
      <c r="W651" t="s">
        <v>12031</v>
      </c>
      <c r="X651" t="s">
        <v>12032</v>
      </c>
      <c r="Y651" t="s">
        <v>12033</v>
      </c>
      <c r="Z651" t="s">
        <v>12034</v>
      </c>
      <c r="AA651" t="s">
        <v>12035</v>
      </c>
      <c r="AB651" t="s">
        <v>12036</v>
      </c>
      <c r="AC651" t="s">
        <v>12037</v>
      </c>
      <c r="AD651" t="s">
        <v>12038</v>
      </c>
      <c r="AE651" t="s">
        <v>12039</v>
      </c>
      <c r="AF651" t="s">
        <v>74</v>
      </c>
      <c r="AG651">
        <v>8</v>
      </c>
      <c r="AH651">
        <v>82</v>
      </c>
      <c r="AI651">
        <v>87</v>
      </c>
      <c r="AJ651">
        <v>2</v>
      </c>
      <c r="AK651">
        <v>22</v>
      </c>
      <c r="AL651" t="s">
        <v>8348</v>
      </c>
      <c r="AM651" t="s">
        <v>5988</v>
      </c>
      <c r="AN651" t="s">
        <v>8349</v>
      </c>
      <c r="AO651" t="s">
        <v>8350</v>
      </c>
      <c r="AP651" t="s">
        <v>4673</v>
      </c>
      <c r="AQ651" t="s">
        <v>74</v>
      </c>
      <c r="AR651" t="s">
        <v>4674</v>
      </c>
      <c r="AS651" t="s">
        <v>4675</v>
      </c>
      <c r="AT651" t="s">
        <v>74</v>
      </c>
      <c r="AU651">
        <v>2013</v>
      </c>
      <c r="AV651">
        <v>65</v>
      </c>
      <c r="AW651">
        <v>11</v>
      </c>
      <c r="AX651" t="s">
        <v>74</v>
      </c>
      <c r="AY651" t="s">
        <v>74</v>
      </c>
      <c r="AZ651" t="s">
        <v>74</v>
      </c>
      <c r="BA651" t="s">
        <v>74</v>
      </c>
      <c r="BB651">
        <v>1355</v>
      </c>
      <c r="BC651">
        <v>1362</v>
      </c>
      <c r="BD651" t="s">
        <v>74</v>
      </c>
      <c r="BE651" t="s">
        <v>12040</v>
      </c>
      <c r="BF651" t="str">
        <f>HYPERLINK("http://dx.doi.org/10.5047/eps.2013.07.011","http://dx.doi.org/10.5047/eps.2013.07.011")</f>
        <v>http://dx.doi.org/10.5047/eps.2013.07.011</v>
      </c>
      <c r="BG651" t="s">
        <v>74</v>
      </c>
      <c r="BH651" t="s">
        <v>74</v>
      </c>
      <c r="BI651">
        <v>8</v>
      </c>
      <c r="BJ651" t="s">
        <v>1604</v>
      </c>
      <c r="BK651" t="s">
        <v>102</v>
      </c>
      <c r="BL651" t="s">
        <v>1605</v>
      </c>
      <c r="BM651" t="s">
        <v>12041</v>
      </c>
      <c r="BN651" t="s">
        <v>74</v>
      </c>
      <c r="BO651" t="s">
        <v>12042</v>
      </c>
      <c r="BP651" t="s">
        <v>74</v>
      </c>
      <c r="BQ651" t="s">
        <v>74</v>
      </c>
      <c r="BR651" t="s">
        <v>105</v>
      </c>
      <c r="BS651" t="s">
        <v>12043</v>
      </c>
      <c r="BT651" t="str">
        <f>HYPERLINK("https%3A%2F%2Fwww.webofscience.com%2Fwos%2Fwoscc%2Ffull-record%2FWOS:000328090700016","View Full Record in Web of Science")</f>
        <v>View Full Record in Web of Science</v>
      </c>
    </row>
    <row r="652" spans="1:72" x14ac:dyDescent="0.15">
      <c r="A652" t="s">
        <v>72</v>
      </c>
      <c r="B652" t="s">
        <v>12044</v>
      </c>
      <c r="C652" t="s">
        <v>74</v>
      </c>
      <c r="D652" t="s">
        <v>74</v>
      </c>
      <c r="E652" t="s">
        <v>74</v>
      </c>
      <c r="F652" t="s">
        <v>12045</v>
      </c>
      <c r="G652" t="s">
        <v>74</v>
      </c>
      <c r="H652" t="s">
        <v>74</v>
      </c>
      <c r="I652" t="s">
        <v>12046</v>
      </c>
      <c r="J652" t="s">
        <v>12047</v>
      </c>
      <c r="K652" t="s">
        <v>74</v>
      </c>
      <c r="L652" t="s">
        <v>74</v>
      </c>
      <c r="M652" t="s">
        <v>78</v>
      </c>
      <c r="N652" t="s">
        <v>79</v>
      </c>
      <c r="O652" t="s">
        <v>74</v>
      </c>
      <c r="P652" t="s">
        <v>74</v>
      </c>
      <c r="Q652" t="s">
        <v>74</v>
      </c>
      <c r="R652" t="s">
        <v>74</v>
      </c>
      <c r="S652" t="s">
        <v>74</v>
      </c>
      <c r="T652" t="s">
        <v>74</v>
      </c>
      <c r="U652" t="s">
        <v>12048</v>
      </c>
      <c r="V652" t="s">
        <v>12049</v>
      </c>
      <c r="W652" t="s">
        <v>12050</v>
      </c>
      <c r="X652" t="s">
        <v>12051</v>
      </c>
      <c r="Y652" t="s">
        <v>12052</v>
      </c>
      <c r="Z652" t="s">
        <v>12053</v>
      </c>
      <c r="AA652" t="s">
        <v>12054</v>
      </c>
      <c r="AB652" t="s">
        <v>12055</v>
      </c>
      <c r="AC652" t="s">
        <v>12056</v>
      </c>
      <c r="AD652" t="s">
        <v>12057</v>
      </c>
      <c r="AE652" t="s">
        <v>12058</v>
      </c>
      <c r="AF652" t="s">
        <v>74</v>
      </c>
      <c r="AG652">
        <v>95</v>
      </c>
      <c r="AH652">
        <v>14</v>
      </c>
      <c r="AI652">
        <v>15</v>
      </c>
      <c r="AJ652">
        <v>0</v>
      </c>
      <c r="AK652">
        <v>7</v>
      </c>
      <c r="AL652" t="s">
        <v>4248</v>
      </c>
      <c r="AM652" t="s">
        <v>4249</v>
      </c>
      <c r="AN652" t="s">
        <v>4250</v>
      </c>
      <c r="AO652" t="s">
        <v>12059</v>
      </c>
      <c r="AP652" t="s">
        <v>12060</v>
      </c>
      <c r="AQ652" t="s">
        <v>74</v>
      </c>
      <c r="AR652" t="s">
        <v>12061</v>
      </c>
      <c r="AS652" t="s">
        <v>12062</v>
      </c>
      <c r="AT652" t="s">
        <v>74</v>
      </c>
      <c r="AU652">
        <v>2013</v>
      </c>
      <c r="AV652">
        <v>1</v>
      </c>
      <c r="AW652">
        <v>1</v>
      </c>
      <c r="AX652" t="s">
        <v>74</v>
      </c>
      <c r="AY652" t="s">
        <v>74</v>
      </c>
      <c r="AZ652" t="s">
        <v>74</v>
      </c>
      <c r="BA652" t="s">
        <v>74</v>
      </c>
      <c r="BB652">
        <v>53</v>
      </c>
      <c r="BC652">
        <v>65</v>
      </c>
      <c r="BD652" t="s">
        <v>74</v>
      </c>
      <c r="BE652" t="s">
        <v>12063</v>
      </c>
      <c r="BF652" t="str">
        <f>HYPERLINK("http://dx.doi.org/10.5194/esurf-1-53-2013","http://dx.doi.org/10.5194/esurf-1-53-2013")</f>
        <v>http://dx.doi.org/10.5194/esurf-1-53-2013</v>
      </c>
      <c r="BG652" t="s">
        <v>74</v>
      </c>
      <c r="BH652" t="s">
        <v>74</v>
      </c>
      <c r="BI652">
        <v>13</v>
      </c>
      <c r="BJ652" t="s">
        <v>2261</v>
      </c>
      <c r="BK652" t="s">
        <v>102</v>
      </c>
      <c r="BL652" t="s">
        <v>2262</v>
      </c>
      <c r="BM652" t="s">
        <v>12064</v>
      </c>
      <c r="BN652" t="s">
        <v>74</v>
      </c>
      <c r="BO652" t="s">
        <v>4132</v>
      </c>
      <c r="BP652" t="s">
        <v>74</v>
      </c>
      <c r="BQ652" t="s">
        <v>74</v>
      </c>
      <c r="BR652" t="s">
        <v>105</v>
      </c>
      <c r="BS652" t="s">
        <v>12065</v>
      </c>
      <c r="BT652" t="str">
        <f>HYPERLINK("https%3A%2F%2Fwww.webofscience.com%2Fwos%2Fwoscc%2Ffull-record%2FWOS:000209413700005","View Full Record in Web of Science")</f>
        <v>View Full Record in Web of Science</v>
      </c>
    </row>
    <row r="653" spans="1:72" x14ac:dyDescent="0.15">
      <c r="A653" t="s">
        <v>3341</v>
      </c>
      <c r="B653" t="s">
        <v>12066</v>
      </c>
      <c r="C653" t="s">
        <v>74</v>
      </c>
      <c r="D653" t="s">
        <v>12066</v>
      </c>
      <c r="E653" t="s">
        <v>74</v>
      </c>
      <c r="F653" t="s">
        <v>12067</v>
      </c>
      <c r="G653" t="s">
        <v>74</v>
      </c>
      <c r="H653" t="s">
        <v>74</v>
      </c>
      <c r="I653" t="s">
        <v>12068</v>
      </c>
      <c r="J653" t="s">
        <v>12069</v>
      </c>
      <c r="K653" t="s">
        <v>12070</v>
      </c>
      <c r="L653" t="s">
        <v>74</v>
      </c>
      <c r="M653" t="s">
        <v>78</v>
      </c>
      <c r="N653" t="s">
        <v>12071</v>
      </c>
      <c r="O653" t="s">
        <v>74</v>
      </c>
      <c r="P653" t="s">
        <v>74</v>
      </c>
      <c r="Q653" t="s">
        <v>74</v>
      </c>
      <c r="R653" t="s">
        <v>74</v>
      </c>
      <c r="S653" t="s">
        <v>74</v>
      </c>
      <c r="T653" t="s">
        <v>74</v>
      </c>
      <c r="U653" t="s">
        <v>74</v>
      </c>
      <c r="V653" t="s">
        <v>74</v>
      </c>
      <c r="W653" t="s">
        <v>12072</v>
      </c>
      <c r="X653" t="s">
        <v>12073</v>
      </c>
      <c r="Y653" t="s">
        <v>12074</v>
      </c>
      <c r="Z653" t="s">
        <v>12075</v>
      </c>
      <c r="AA653" t="s">
        <v>12076</v>
      </c>
      <c r="AB653" t="s">
        <v>74</v>
      </c>
      <c r="AC653" t="s">
        <v>74</v>
      </c>
      <c r="AD653" t="s">
        <v>74</v>
      </c>
      <c r="AE653" t="s">
        <v>74</v>
      </c>
      <c r="AF653" t="s">
        <v>74</v>
      </c>
      <c r="AG653">
        <v>3</v>
      </c>
      <c r="AH653">
        <v>1</v>
      </c>
      <c r="AI653">
        <v>2</v>
      </c>
      <c r="AJ653">
        <v>0</v>
      </c>
      <c r="AK653">
        <v>2</v>
      </c>
      <c r="AL653" t="s">
        <v>12077</v>
      </c>
      <c r="AM653" t="s">
        <v>2176</v>
      </c>
      <c r="AN653" t="s">
        <v>12078</v>
      </c>
      <c r="AO653" t="s">
        <v>12079</v>
      </c>
      <c r="AP653" t="s">
        <v>74</v>
      </c>
      <c r="AQ653" t="s">
        <v>12080</v>
      </c>
      <c r="AR653" t="s">
        <v>12081</v>
      </c>
      <c r="AS653" t="s">
        <v>74</v>
      </c>
      <c r="AT653" t="s">
        <v>74</v>
      </c>
      <c r="AU653">
        <v>2013</v>
      </c>
      <c r="AV653" t="s">
        <v>74</v>
      </c>
      <c r="AW653" t="s">
        <v>74</v>
      </c>
      <c r="AX653" t="s">
        <v>74</v>
      </c>
      <c r="AY653" t="s">
        <v>74</v>
      </c>
      <c r="AZ653" t="s">
        <v>74</v>
      </c>
      <c r="BA653" t="s">
        <v>74</v>
      </c>
      <c r="BB653">
        <v>1</v>
      </c>
      <c r="BC653">
        <v>6</v>
      </c>
      <c r="BD653" t="s">
        <v>74</v>
      </c>
      <c r="BE653" t="s">
        <v>12082</v>
      </c>
      <c r="BF653" t="str">
        <f>HYPERLINK("http://dx.doi.org/10.1007/978-3-642-28845-6_1","http://dx.doi.org/10.1007/978-3-642-28845-6_1")</f>
        <v>http://dx.doi.org/10.1007/978-3-642-28845-6_1</v>
      </c>
      <c r="BG653" t="s">
        <v>12083</v>
      </c>
      <c r="BH653" t="s">
        <v>74</v>
      </c>
      <c r="BI653">
        <v>6</v>
      </c>
      <c r="BJ653" t="s">
        <v>12084</v>
      </c>
      <c r="BK653" t="s">
        <v>3361</v>
      </c>
      <c r="BL653" t="s">
        <v>7528</v>
      </c>
      <c r="BM653" t="s">
        <v>12085</v>
      </c>
      <c r="BN653" t="s">
        <v>74</v>
      </c>
      <c r="BO653" t="s">
        <v>74</v>
      </c>
      <c r="BP653" t="s">
        <v>74</v>
      </c>
      <c r="BQ653" t="s">
        <v>74</v>
      </c>
      <c r="BR653" t="s">
        <v>105</v>
      </c>
      <c r="BS653" t="s">
        <v>12086</v>
      </c>
      <c r="BT653" t="str">
        <f>HYPERLINK("https%3A%2F%2Fwww.webofscience.com%2Fwos%2Fwoscc%2Ffull-record%2FWOS:000460601000002","View Full Record in Web of Science")</f>
        <v>View Full Record in Web of Science</v>
      </c>
    </row>
    <row r="654" spans="1:72" x14ac:dyDescent="0.15">
      <c r="A654" t="s">
        <v>3341</v>
      </c>
      <c r="B654" t="s">
        <v>12087</v>
      </c>
      <c r="C654" t="s">
        <v>74</v>
      </c>
      <c r="D654" t="s">
        <v>12066</v>
      </c>
      <c r="E654" t="s">
        <v>74</v>
      </c>
      <c r="F654" t="s">
        <v>12088</v>
      </c>
      <c r="G654" t="s">
        <v>74</v>
      </c>
      <c r="H654" t="s">
        <v>74</v>
      </c>
      <c r="I654" t="s">
        <v>12089</v>
      </c>
      <c r="J654" t="s">
        <v>12069</v>
      </c>
      <c r="K654" t="s">
        <v>12070</v>
      </c>
      <c r="L654" t="s">
        <v>74</v>
      </c>
      <c r="M654" t="s">
        <v>78</v>
      </c>
      <c r="N654" t="s">
        <v>3258</v>
      </c>
      <c r="O654" t="s">
        <v>74</v>
      </c>
      <c r="P654" t="s">
        <v>74</v>
      </c>
      <c r="Q654" t="s">
        <v>74</v>
      </c>
      <c r="R654" t="s">
        <v>74</v>
      </c>
      <c r="S654" t="s">
        <v>74</v>
      </c>
      <c r="T654" t="s">
        <v>74</v>
      </c>
      <c r="U654" t="s">
        <v>12090</v>
      </c>
      <c r="V654" t="s">
        <v>74</v>
      </c>
      <c r="W654" t="s">
        <v>12091</v>
      </c>
      <c r="X654" t="s">
        <v>12092</v>
      </c>
      <c r="Y654" t="s">
        <v>12093</v>
      </c>
      <c r="Z654" t="s">
        <v>12094</v>
      </c>
      <c r="AA654" t="s">
        <v>74</v>
      </c>
      <c r="AB654" t="s">
        <v>74</v>
      </c>
      <c r="AC654" t="s">
        <v>74</v>
      </c>
      <c r="AD654" t="s">
        <v>74</v>
      </c>
      <c r="AE654" t="s">
        <v>74</v>
      </c>
      <c r="AF654" t="s">
        <v>74</v>
      </c>
      <c r="AG654">
        <v>48</v>
      </c>
      <c r="AH654">
        <v>7</v>
      </c>
      <c r="AI654">
        <v>8</v>
      </c>
      <c r="AJ654">
        <v>0</v>
      </c>
      <c r="AK654">
        <v>0</v>
      </c>
      <c r="AL654" t="s">
        <v>12077</v>
      </c>
      <c r="AM654" t="s">
        <v>2176</v>
      </c>
      <c r="AN654" t="s">
        <v>12078</v>
      </c>
      <c r="AO654" t="s">
        <v>12079</v>
      </c>
      <c r="AP654" t="s">
        <v>74</v>
      </c>
      <c r="AQ654" t="s">
        <v>12080</v>
      </c>
      <c r="AR654" t="s">
        <v>12081</v>
      </c>
      <c r="AS654" t="s">
        <v>74</v>
      </c>
      <c r="AT654" t="s">
        <v>74</v>
      </c>
      <c r="AU654">
        <v>2013</v>
      </c>
      <c r="AV654" t="s">
        <v>74</v>
      </c>
      <c r="AW654" t="s">
        <v>74</v>
      </c>
      <c r="AX654" t="s">
        <v>74</v>
      </c>
      <c r="AY654" t="s">
        <v>74</v>
      </c>
      <c r="AZ654" t="s">
        <v>74</v>
      </c>
      <c r="BA654" t="s">
        <v>74</v>
      </c>
      <c r="BB654">
        <v>51</v>
      </c>
      <c r="BC654">
        <v>66</v>
      </c>
      <c r="BD654" t="s">
        <v>74</v>
      </c>
      <c r="BE654" t="s">
        <v>12095</v>
      </c>
      <c r="BF654" t="str">
        <f>HYPERLINK("http://dx.doi.org/10.1007/978-3-642-28845-6_5","http://dx.doi.org/10.1007/978-3-642-28845-6_5")</f>
        <v>http://dx.doi.org/10.1007/978-3-642-28845-6_5</v>
      </c>
      <c r="BG654" t="s">
        <v>12083</v>
      </c>
      <c r="BH654" t="s">
        <v>74</v>
      </c>
      <c r="BI654">
        <v>16</v>
      </c>
      <c r="BJ654" t="s">
        <v>12084</v>
      </c>
      <c r="BK654" t="s">
        <v>3361</v>
      </c>
      <c r="BL654" t="s">
        <v>7528</v>
      </c>
      <c r="BM654" t="s">
        <v>12085</v>
      </c>
      <c r="BN654" t="s">
        <v>74</v>
      </c>
      <c r="BO654" t="s">
        <v>74</v>
      </c>
      <c r="BP654" t="s">
        <v>74</v>
      </c>
      <c r="BQ654" t="s">
        <v>74</v>
      </c>
      <c r="BR654" t="s">
        <v>105</v>
      </c>
      <c r="BS654" t="s">
        <v>12096</v>
      </c>
      <c r="BT654" t="str">
        <f>HYPERLINK("https%3A%2F%2Fwww.webofscience.com%2Fwos%2Fwoscc%2Ffull-record%2FWOS:000460601000006","View Full Record in Web of Science")</f>
        <v>View Full Record in Web of Science</v>
      </c>
    </row>
    <row r="655" spans="1:72" x14ac:dyDescent="0.15">
      <c r="A655" t="s">
        <v>3341</v>
      </c>
      <c r="B655" t="s">
        <v>12097</v>
      </c>
      <c r="C655" t="s">
        <v>74</v>
      </c>
      <c r="D655" t="s">
        <v>12066</v>
      </c>
      <c r="E655" t="s">
        <v>74</v>
      </c>
      <c r="F655" t="s">
        <v>12098</v>
      </c>
      <c r="G655" t="s">
        <v>74</v>
      </c>
      <c r="H655" t="s">
        <v>74</v>
      </c>
      <c r="I655" t="s">
        <v>12099</v>
      </c>
      <c r="J655" t="s">
        <v>12069</v>
      </c>
      <c r="K655" t="s">
        <v>12070</v>
      </c>
      <c r="L655" t="s">
        <v>74</v>
      </c>
      <c r="M655" t="s">
        <v>78</v>
      </c>
      <c r="N655" t="s">
        <v>3258</v>
      </c>
      <c r="O655" t="s">
        <v>74</v>
      </c>
      <c r="P655" t="s">
        <v>74</v>
      </c>
      <c r="Q655" t="s">
        <v>74</v>
      </c>
      <c r="R655" t="s">
        <v>74</v>
      </c>
      <c r="S655" t="s">
        <v>74</v>
      </c>
      <c r="T655" t="s">
        <v>74</v>
      </c>
      <c r="U655" t="s">
        <v>74</v>
      </c>
      <c r="V655" t="s">
        <v>74</v>
      </c>
      <c r="W655" t="s">
        <v>12100</v>
      </c>
      <c r="X655" t="s">
        <v>8150</v>
      </c>
      <c r="Y655" t="s">
        <v>1106</v>
      </c>
      <c r="Z655" t="s">
        <v>12101</v>
      </c>
      <c r="AA655" t="s">
        <v>74</v>
      </c>
      <c r="AB655" t="s">
        <v>74</v>
      </c>
      <c r="AC655" t="s">
        <v>74</v>
      </c>
      <c r="AD655" t="s">
        <v>74</v>
      </c>
      <c r="AE655" t="s">
        <v>74</v>
      </c>
      <c r="AF655" t="s">
        <v>74</v>
      </c>
      <c r="AG655">
        <v>20</v>
      </c>
      <c r="AH655">
        <v>3</v>
      </c>
      <c r="AI655">
        <v>3</v>
      </c>
      <c r="AJ655">
        <v>0</v>
      </c>
      <c r="AK655">
        <v>0</v>
      </c>
      <c r="AL655" t="s">
        <v>12077</v>
      </c>
      <c r="AM655" t="s">
        <v>2176</v>
      </c>
      <c r="AN655" t="s">
        <v>12078</v>
      </c>
      <c r="AO655" t="s">
        <v>12079</v>
      </c>
      <c r="AP655" t="s">
        <v>74</v>
      </c>
      <c r="AQ655" t="s">
        <v>12080</v>
      </c>
      <c r="AR655" t="s">
        <v>12081</v>
      </c>
      <c r="AS655" t="s">
        <v>74</v>
      </c>
      <c r="AT655" t="s">
        <v>74</v>
      </c>
      <c r="AU655">
        <v>2013</v>
      </c>
      <c r="AV655" t="s">
        <v>74</v>
      </c>
      <c r="AW655" t="s">
        <v>74</v>
      </c>
      <c r="AX655" t="s">
        <v>74</v>
      </c>
      <c r="AY655" t="s">
        <v>74</v>
      </c>
      <c r="AZ655" t="s">
        <v>74</v>
      </c>
      <c r="BA655" t="s">
        <v>74</v>
      </c>
      <c r="BB655">
        <v>93</v>
      </c>
      <c r="BC655">
        <v>100</v>
      </c>
      <c r="BD655" t="s">
        <v>74</v>
      </c>
      <c r="BE655" t="s">
        <v>12102</v>
      </c>
      <c r="BF655" t="str">
        <f>HYPERLINK("http://dx.doi.org/10.1007/978-3-642-28845-6_7","http://dx.doi.org/10.1007/978-3-642-28845-6_7")</f>
        <v>http://dx.doi.org/10.1007/978-3-642-28845-6_7</v>
      </c>
      <c r="BG655" t="s">
        <v>12083</v>
      </c>
      <c r="BH655" t="s">
        <v>74</v>
      </c>
      <c r="BI655">
        <v>8</v>
      </c>
      <c r="BJ655" t="s">
        <v>12084</v>
      </c>
      <c r="BK655" t="s">
        <v>3361</v>
      </c>
      <c r="BL655" t="s">
        <v>7528</v>
      </c>
      <c r="BM655" t="s">
        <v>12085</v>
      </c>
      <c r="BN655" t="s">
        <v>74</v>
      </c>
      <c r="BO655" t="s">
        <v>74</v>
      </c>
      <c r="BP655" t="s">
        <v>74</v>
      </c>
      <c r="BQ655" t="s">
        <v>74</v>
      </c>
      <c r="BR655" t="s">
        <v>105</v>
      </c>
      <c r="BS655" t="s">
        <v>12103</v>
      </c>
      <c r="BT655" t="str">
        <f>HYPERLINK("https%3A%2F%2Fwww.webofscience.com%2Fwos%2Fwoscc%2Ffull-record%2FWOS:000460601000008","View Full Record in Web of Science")</f>
        <v>View Full Record in Web of Science</v>
      </c>
    </row>
    <row r="656" spans="1:72" x14ac:dyDescent="0.15">
      <c r="A656" t="s">
        <v>3341</v>
      </c>
      <c r="B656" t="s">
        <v>12104</v>
      </c>
      <c r="C656" t="s">
        <v>74</v>
      </c>
      <c r="D656" t="s">
        <v>12066</v>
      </c>
      <c r="E656" t="s">
        <v>74</v>
      </c>
      <c r="F656" t="s">
        <v>12105</v>
      </c>
      <c r="G656" t="s">
        <v>74</v>
      </c>
      <c r="H656" t="s">
        <v>74</v>
      </c>
      <c r="I656" t="s">
        <v>12106</v>
      </c>
      <c r="J656" t="s">
        <v>12069</v>
      </c>
      <c r="K656" t="s">
        <v>12070</v>
      </c>
      <c r="L656" t="s">
        <v>74</v>
      </c>
      <c r="M656" t="s">
        <v>78</v>
      </c>
      <c r="N656" t="s">
        <v>3258</v>
      </c>
      <c r="O656" t="s">
        <v>74</v>
      </c>
      <c r="P656" t="s">
        <v>74</v>
      </c>
      <c r="Q656" t="s">
        <v>74</v>
      </c>
      <c r="R656" t="s">
        <v>74</v>
      </c>
      <c r="S656" t="s">
        <v>74</v>
      </c>
      <c r="T656" t="s">
        <v>74</v>
      </c>
      <c r="U656" t="s">
        <v>12107</v>
      </c>
      <c r="V656" t="s">
        <v>74</v>
      </c>
      <c r="W656" t="s">
        <v>12108</v>
      </c>
      <c r="X656" t="s">
        <v>8150</v>
      </c>
      <c r="Y656" t="s">
        <v>12109</v>
      </c>
      <c r="Z656" t="s">
        <v>12110</v>
      </c>
      <c r="AA656" t="s">
        <v>74</v>
      </c>
      <c r="AB656" t="s">
        <v>74</v>
      </c>
      <c r="AC656" t="s">
        <v>74</v>
      </c>
      <c r="AD656" t="s">
        <v>74</v>
      </c>
      <c r="AE656" t="s">
        <v>74</v>
      </c>
      <c r="AF656" t="s">
        <v>74</v>
      </c>
      <c r="AG656">
        <v>38</v>
      </c>
      <c r="AH656">
        <v>1</v>
      </c>
      <c r="AI656">
        <v>1</v>
      </c>
      <c r="AJ656">
        <v>0</v>
      </c>
      <c r="AK656">
        <v>0</v>
      </c>
      <c r="AL656" t="s">
        <v>12077</v>
      </c>
      <c r="AM656" t="s">
        <v>2176</v>
      </c>
      <c r="AN656" t="s">
        <v>12078</v>
      </c>
      <c r="AO656" t="s">
        <v>12079</v>
      </c>
      <c r="AP656" t="s">
        <v>74</v>
      </c>
      <c r="AQ656" t="s">
        <v>12080</v>
      </c>
      <c r="AR656" t="s">
        <v>12081</v>
      </c>
      <c r="AS656" t="s">
        <v>74</v>
      </c>
      <c r="AT656" t="s">
        <v>74</v>
      </c>
      <c r="AU656">
        <v>2013</v>
      </c>
      <c r="AV656" t="s">
        <v>74</v>
      </c>
      <c r="AW656" t="s">
        <v>74</v>
      </c>
      <c r="AX656" t="s">
        <v>74</v>
      </c>
      <c r="AY656" t="s">
        <v>74</v>
      </c>
      <c r="AZ656" t="s">
        <v>74</v>
      </c>
      <c r="BA656" t="s">
        <v>74</v>
      </c>
      <c r="BB656">
        <v>101</v>
      </c>
      <c r="BC656">
        <v>112</v>
      </c>
      <c r="BD656" t="s">
        <v>74</v>
      </c>
      <c r="BE656" t="s">
        <v>12111</v>
      </c>
      <c r="BF656" t="str">
        <f>HYPERLINK("http://dx.doi.org/10.1007/978-3-642-28845-6_8","http://dx.doi.org/10.1007/978-3-642-28845-6_8")</f>
        <v>http://dx.doi.org/10.1007/978-3-642-28845-6_8</v>
      </c>
      <c r="BG656" t="s">
        <v>12083</v>
      </c>
      <c r="BH656" t="s">
        <v>74</v>
      </c>
      <c r="BI656">
        <v>12</v>
      </c>
      <c r="BJ656" t="s">
        <v>12084</v>
      </c>
      <c r="BK656" t="s">
        <v>3361</v>
      </c>
      <c r="BL656" t="s">
        <v>7528</v>
      </c>
      <c r="BM656" t="s">
        <v>12085</v>
      </c>
      <c r="BN656" t="s">
        <v>74</v>
      </c>
      <c r="BO656" t="s">
        <v>74</v>
      </c>
      <c r="BP656" t="s">
        <v>74</v>
      </c>
      <c r="BQ656" t="s">
        <v>74</v>
      </c>
      <c r="BR656" t="s">
        <v>105</v>
      </c>
      <c r="BS656" t="s">
        <v>12112</v>
      </c>
      <c r="BT656" t="str">
        <f>HYPERLINK("https%3A%2F%2Fwww.webofscience.com%2Fwos%2Fwoscc%2Ffull-record%2FWOS:000460601000009","View Full Record in Web of Science")</f>
        <v>View Full Record in Web of Science</v>
      </c>
    </row>
    <row r="657" spans="1:72" x14ac:dyDescent="0.15">
      <c r="A657" t="s">
        <v>72</v>
      </c>
      <c r="B657" t="s">
        <v>12113</v>
      </c>
      <c r="C657" t="s">
        <v>74</v>
      </c>
      <c r="D657" t="s">
        <v>74</v>
      </c>
      <c r="E657" t="s">
        <v>74</v>
      </c>
      <c r="F657" t="s">
        <v>12114</v>
      </c>
      <c r="G657" t="s">
        <v>74</v>
      </c>
      <c r="H657" t="s">
        <v>74</v>
      </c>
      <c r="I657" t="s">
        <v>12115</v>
      </c>
      <c r="J657" t="s">
        <v>12116</v>
      </c>
      <c r="K657" t="s">
        <v>74</v>
      </c>
      <c r="L657" t="s">
        <v>74</v>
      </c>
      <c r="M657" t="s">
        <v>78</v>
      </c>
      <c r="N657" t="s">
        <v>12117</v>
      </c>
      <c r="O657" t="s">
        <v>74</v>
      </c>
      <c r="P657" t="s">
        <v>74</v>
      </c>
      <c r="Q657" t="s">
        <v>74</v>
      </c>
      <c r="R657" t="s">
        <v>74</v>
      </c>
      <c r="S657" t="s">
        <v>74</v>
      </c>
      <c r="T657" t="s">
        <v>74</v>
      </c>
      <c r="U657" t="s">
        <v>74</v>
      </c>
      <c r="V657" t="s">
        <v>74</v>
      </c>
      <c r="W657" t="s">
        <v>12118</v>
      </c>
      <c r="X657" t="s">
        <v>12119</v>
      </c>
      <c r="Y657" t="s">
        <v>12120</v>
      </c>
      <c r="Z657" t="s">
        <v>12121</v>
      </c>
      <c r="AA657" t="s">
        <v>12122</v>
      </c>
      <c r="AB657" t="s">
        <v>12123</v>
      </c>
      <c r="AC657" t="s">
        <v>74</v>
      </c>
      <c r="AD657" t="s">
        <v>74</v>
      </c>
      <c r="AE657" t="s">
        <v>74</v>
      </c>
      <c r="AF657" t="s">
        <v>74</v>
      </c>
      <c r="AG657">
        <v>1</v>
      </c>
      <c r="AH657">
        <v>0</v>
      </c>
      <c r="AI657">
        <v>0</v>
      </c>
      <c r="AJ657">
        <v>0</v>
      </c>
      <c r="AK657">
        <v>6</v>
      </c>
      <c r="AL657" t="s">
        <v>4248</v>
      </c>
      <c r="AM657" t="s">
        <v>4249</v>
      </c>
      <c r="AN657" t="s">
        <v>4250</v>
      </c>
      <c r="AO657" t="s">
        <v>12124</v>
      </c>
      <c r="AP657" t="s">
        <v>12125</v>
      </c>
      <c r="AQ657" t="s">
        <v>74</v>
      </c>
      <c r="AR657" t="s">
        <v>12126</v>
      </c>
      <c r="AS657" t="s">
        <v>12127</v>
      </c>
      <c r="AT657" t="s">
        <v>74</v>
      </c>
      <c r="AU657">
        <v>2013</v>
      </c>
      <c r="AV657">
        <v>5</v>
      </c>
      <c r="AW657">
        <v>1</v>
      </c>
      <c r="AX657" t="s">
        <v>74</v>
      </c>
      <c r="AY657" t="s">
        <v>74</v>
      </c>
      <c r="AZ657" t="s">
        <v>74</v>
      </c>
      <c r="BA657" t="s">
        <v>74</v>
      </c>
      <c r="BB657">
        <v>1</v>
      </c>
      <c r="BC657">
        <v>1</v>
      </c>
      <c r="BD657" t="s">
        <v>74</v>
      </c>
      <c r="BE657" t="s">
        <v>12128</v>
      </c>
      <c r="BF657" t="str">
        <f>HYPERLINK("http://dx.doi.org/10.5194/essd-5-1-2013","http://dx.doi.org/10.5194/essd-5-1-2013")</f>
        <v>http://dx.doi.org/10.5194/essd-5-1-2013</v>
      </c>
      <c r="BG657" t="s">
        <v>74</v>
      </c>
      <c r="BH657" t="s">
        <v>74</v>
      </c>
      <c r="BI657">
        <v>1</v>
      </c>
      <c r="BJ657" t="s">
        <v>6089</v>
      </c>
      <c r="BK657" t="s">
        <v>102</v>
      </c>
      <c r="BL657" t="s">
        <v>6090</v>
      </c>
      <c r="BM657" t="s">
        <v>12129</v>
      </c>
      <c r="BN657" t="s">
        <v>74</v>
      </c>
      <c r="BO657" t="s">
        <v>4621</v>
      </c>
      <c r="BP657" t="s">
        <v>74</v>
      </c>
      <c r="BQ657" t="s">
        <v>74</v>
      </c>
      <c r="BR657" t="s">
        <v>105</v>
      </c>
      <c r="BS657" t="s">
        <v>12130</v>
      </c>
      <c r="BT657" t="str">
        <f>HYPERLINK("https%3A%2F%2Fwww.webofscience.com%2Fwos%2Fwoscc%2Ffull-record%2FWOS:000209415400001","View Full Record in Web of Science")</f>
        <v>View Full Record in Web of Science</v>
      </c>
    </row>
    <row r="658" spans="1:72" x14ac:dyDescent="0.15">
      <c r="A658" t="s">
        <v>72</v>
      </c>
      <c r="B658" t="s">
        <v>12131</v>
      </c>
      <c r="C658" t="s">
        <v>74</v>
      </c>
      <c r="D658" t="s">
        <v>74</v>
      </c>
      <c r="E658" t="s">
        <v>74</v>
      </c>
      <c r="F658" t="s">
        <v>12132</v>
      </c>
      <c r="G658" t="s">
        <v>74</v>
      </c>
      <c r="H658" t="s">
        <v>74</v>
      </c>
      <c r="I658" t="s">
        <v>12133</v>
      </c>
      <c r="J658" t="s">
        <v>12116</v>
      </c>
      <c r="K658" t="s">
        <v>74</v>
      </c>
      <c r="L658" t="s">
        <v>74</v>
      </c>
      <c r="M658" t="s">
        <v>78</v>
      </c>
      <c r="N658" t="s">
        <v>12134</v>
      </c>
      <c r="O658" t="s">
        <v>74</v>
      </c>
      <c r="P658" t="s">
        <v>74</v>
      </c>
      <c r="Q658" t="s">
        <v>74</v>
      </c>
      <c r="R658" t="s">
        <v>74</v>
      </c>
      <c r="S658" t="s">
        <v>74</v>
      </c>
      <c r="T658" t="s">
        <v>74</v>
      </c>
      <c r="U658" t="s">
        <v>12135</v>
      </c>
      <c r="V658" t="s">
        <v>12136</v>
      </c>
      <c r="W658" t="s">
        <v>12137</v>
      </c>
      <c r="X658" t="s">
        <v>12138</v>
      </c>
      <c r="Y658" t="s">
        <v>12139</v>
      </c>
      <c r="Z658" t="s">
        <v>12140</v>
      </c>
      <c r="AA658" t="s">
        <v>12141</v>
      </c>
      <c r="AB658" t="s">
        <v>12142</v>
      </c>
      <c r="AC658" t="s">
        <v>12143</v>
      </c>
      <c r="AD658" t="s">
        <v>12144</v>
      </c>
      <c r="AE658" t="s">
        <v>12145</v>
      </c>
      <c r="AF658" t="s">
        <v>74</v>
      </c>
      <c r="AG658">
        <v>59</v>
      </c>
      <c r="AH658">
        <v>44</v>
      </c>
      <c r="AI658">
        <v>49</v>
      </c>
      <c r="AJ658">
        <v>0</v>
      </c>
      <c r="AK658">
        <v>33</v>
      </c>
      <c r="AL658" t="s">
        <v>4248</v>
      </c>
      <c r="AM658" t="s">
        <v>4249</v>
      </c>
      <c r="AN658" t="s">
        <v>4250</v>
      </c>
      <c r="AO658" t="s">
        <v>12124</v>
      </c>
      <c r="AP658" t="s">
        <v>12125</v>
      </c>
      <c r="AQ658" t="s">
        <v>74</v>
      </c>
      <c r="AR658" t="s">
        <v>12126</v>
      </c>
      <c r="AS658" t="s">
        <v>12127</v>
      </c>
      <c r="AT658" t="s">
        <v>74</v>
      </c>
      <c r="AU658">
        <v>2013</v>
      </c>
      <c r="AV658">
        <v>5</v>
      </c>
      <c r="AW658">
        <v>1</v>
      </c>
      <c r="AX658" t="s">
        <v>74</v>
      </c>
      <c r="AY658" t="s">
        <v>74</v>
      </c>
      <c r="AZ658" t="s">
        <v>74</v>
      </c>
      <c r="BA658" t="s">
        <v>74</v>
      </c>
      <c r="BB658">
        <v>15</v>
      </c>
      <c r="BC658">
        <v>29</v>
      </c>
      <c r="BD658" t="s">
        <v>74</v>
      </c>
      <c r="BE658" t="s">
        <v>12146</v>
      </c>
      <c r="BF658" t="str">
        <f>HYPERLINK("http://dx.doi.org/10.5194/essd-5-15-2013","http://dx.doi.org/10.5194/essd-5-15-2013")</f>
        <v>http://dx.doi.org/10.5194/essd-5-15-2013</v>
      </c>
      <c r="BG658" t="s">
        <v>74</v>
      </c>
      <c r="BH658" t="s">
        <v>74</v>
      </c>
      <c r="BI658">
        <v>15</v>
      </c>
      <c r="BJ658" t="s">
        <v>6089</v>
      </c>
      <c r="BK658" t="s">
        <v>102</v>
      </c>
      <c r="BL658" t="s">
        <v>6090</v>
      </c>
      <c r="BM658" t="s">
        <v>12129</v>
      </c>
      <c r="BN658" t="s">
        <v>74</v>
      </c>
      <c r="BO658" t="s">
        <v>4132</v>
      </c>
      <c r="BP658" t="s">
        <v>74</v>
      </c>
      <c r="BQ658" t="s">
        <v>74</v>
      </c>
      <c r="BR658" t="s">
        <v>105</v>
      </c>
      <c r="BS658" t="s">
        <v>12147</v>
      </c>
      <c r="BT658" t="str">
        <f>HYPERLINK("https%3A%2F%2Fwww.webofscience.com%2Fwos%2Fwoscc%2Ffull-record%2FWOS:000209415400003","View Full Record in Web of Science")</f>
        <v>View Full Record in Web of Science</v>
      </c>
    </row>
    <row r="659" spans="1:72" x14ac:dyDescent="0.15">
      <c r="A659" t="s">
        <v>72</v>
      </c>
      <c r="B659" t="s">
        <v>12148</v>
      </c>
      <c r="C659" t="s">
        <v>74</v>
      </c>
      <c r="D659" t="s">
        <v>74</v>
      </c>
      <c r="E659" t="s">
        <v>74</v>
      </c>
      <c r="F659" t="s">
        <v>12149</v>
      </c>
      <c r="G659" t="s">
        <v>74</v>
      </c>
      <c r="H659" t="s">
        <v>74</v>
      </c>
      <c r="I659" t="s">
        <v>12150</v>
      </c>
      <c r="J659" t="s">
        <v>12116</v>
      </c>
      <c r="K659" t="s">
        <v>74</v>
      </c>
      <c r="L659" t="s">
        <v>74</v>
      </c>
      <c r="M659" t="s">
        <v>78</v>
      </c>
      <c r="N659" t="s">
        <v>12134</v>
      </c>
      <c r="O659" t="s">
        <v>74</v>
      </c>
      <c r="P659" t="s">
        <v>74</v>
      </c>
      <c r="Q659" t="s">
        <v>74</v>
      </c>
      <c r="R659" t="s">
        <v>74</v>
      </c>
      <c r="S659" t="s">
        <v>74</v>
      </c>
      <c r="T659" t="s">
        <v>74</v>
      </c>
      <c r="U659" t="s">
        <v>12151</v>
      </c>
      <c r="V659" t="s">
        <v>12152</v>
      </c>
      <c r="W659" t="s">
        <v>12153</v>
      </c>
      <c r="X659" t="s">
        <v>12154</v>
      </c>
      <c r="Y659" t="s">
        <v>12155</v>
      </c>
      <c r="Z659" t="s">
        <v>12156</v>
      </c>
      <c r="AA659" t="s">
        <v>12157</v>
      </c>
      <c r="AB659" t="s">
        <v>12158</v>
      </c>
      <c r="AC659" t="s">
        <v>12159</v>
      </c>
      <c r="AD659" t="s">
        <v>2492</v>
      </c>
      <c r="AE659" t="s">
        <v>12160</v>
      </c>
      <c r="AF659" t="s">
        <v>74</v>
      </c>
      <c r="AG659">
        <v>9</v>
      </c>
      <c r="AH659">
        <v>23</v>
      </c>
      <c r="AI659">
        <v>27</v>
      </c>
      <c r="AJ659">
        <v>1</v>
      </c>
      <c r="AK659">
        <v>6</v>
      </c>
      <c r="AL659" t="s">
        <v>4248</v>
      </c>
      <c r="AM659" t="s">
        <v>4249</v>
      </c>
      <c r="AN659" t="s">
        <v>4250</v>
      </c>
      <c r="AO659" t="s">
        <v>12124</v>
      </c>
      <c r="AP659" t="s">
        <v>12125</v>
      </c>
      <c r="AQ659" t="s">
        <v>74</v>
      </c>
      <c r="AR659" t="s">
        <v>12126</v>
      </c>
      <c r="AS659" t="s">
        <v>12127</v>
      </c>
      <c r="AT659" t="s">
        <v>74</v>
      </c>
      <c r="AU659">
        <v>2013</v>
      </c>
      <c r="AV659">
        <v>5</v>
      </c>
      <c r="AW659">
        <v>1</v>
      </c>
      <c r="AX659" t="s">
        <v>74</v>
      </c>
      <c r="AY659" t="s">
        <v>74</v>
      </c>
      <c r="AZ659" t="s">
        <v>74</v>
      </c>
      <c r="BA659" t="s">
        <v>74</v>
      </c>
      <c r="BB659">
        <v>57</v>
      </c>
      <c r="BC659">
        <v>69</v>
      </c>
      <c r="BD659" t="s">
        <v>74</v>
      </c>
      <c r="BE659" t="s">
        <v>12161</v>
      </c>
      <c r="BF659" t="str">
        <f>HYPERLINK("http://dx.doi.org/10.5194/essd-5-57-2013","http://dx.doi.org/10.5194/essd-5-57-2013")</f>
        <v>http://dx.doi.org/10.5194/essd-5-57-2013</v>
      </c>
      <c r="BG659" t="s">
        <v>74</v>
      </c>
      <c r="BH659" t="s">
        <v>74</v>
      </c>
      <c r="BI659">
        <v>13</v>
      </c>
      <c r="BJ659" t="s">
        <v>6089</v>
      </c>
      <c r="BK659" t="s">
        <v>102</v>
      </c>
      <c r="BL659" t="s">
        <v>6090</v>
      </c>
      <c r="BM659" t="s">
        <v>12129</v>
      </c>
      <c r="BN659" t="s">
        <v>74</v>
      </c>
      <c r="BO659" t="s">
        <v>4132</v>
      </c>
      <c r="BP659" t="s">
        <v>74</v>
      </c>
      <c r="BQ659" t="s">
        <v>74</v>
      </c>
      <c r="BR659" t="s">
        <v>105</v>
      </c>
      <c r="BS659" t="s">
        <v>12162</v>
      </c>
      <c r="BT659" t="str">
        <f>HYPERLINK("https%3A%2F%2Fwww.webofscience.com%2Fwos%2Fwoscc%2Ffull-record%2FWOS:000209415400006","View Full Record in Web of Science")</f>
        <v>View Full Record in Web of Science</v>
      </c>
    </row>
    <row r="660" spans="1:72" x14ac:dyDescent="0.15">
      <c r="A660" t="s">
        <v>72</v>
      </c>
      <c r="B660" t="s">
        <v>12163</v>
      </c>
      <c r="C660" t="s">
        <v>74</v>
      </c>
      <c r="D660" t="s">
        <v>74</v>
      </c>
      <c r="E660" t="s">
        <v>74</v>
      </c>
      <c r="F660" t="s">
        <v>12164</v>
      </c>
      <c r="G660" t="s">
        <v>74</v>
      </c>
      <c r="H660" t="s">
        <v>74</v>
      </c>
      <c r="I660" t="s">
        <v>12165</v>
      </c>
      <c r="J660" t="s">
        <v>12116</v>
      </c>
      <c r="K660" t="s">
        <v>74</v>
      </c>
      <c r="L660" t="s">
        <v>74</v>
      </c>
      <c r="M660" t="s">
        <v>78</v>
      </c>
      <c r="N660" t="s">
        <v>12134</v>
      </c>
      <c r="O660" t="s">
        <v>74</v>
      </c>
      <c r="P660" t="s">
        <v>74</v>
      </c>
      <c r="Q660" t="s">
        <v>74</v>
      </c>
      <c r="R660" t="s">
        <v>74</v>
      </c>
      <c r="S660" t="s">
        <v>74</v>
      </c>
      <c r="T660" t="s">
        <v>74</v>
      </c>
      <c r="U660" t="s">
        <v>12166</v>
      </c>
      <c r="V660" t="s">
        <v>12167</v>
      </c>
      <c r="W660" t="s">
        <v>12168</v>
      </c>
      <c r="X660" t="s">
        <v>12169</v>
      </c>
      <c r="Y660" t="s">
        <v>12170</v>
      </c>
      <c r="Z660" t="s">
        <v>12171</v>
      </c>
      <c r="AA660" t="s">
        <v>12172</v>
      </c>
      <c r="AB660" t="s">
        <v>12173</v>
      </c>
      <c r="AC660" t="s">
        <v>12174</v>
      </c>
      <c r="AD660" t="s">
        <v>12175</v>
      </c>
      <c r="AE660" t="s">
        <v>12176</v>
      </c>
      <c r="AF660" t="s">
        <v>74</v>
      </c>
      <c r="AG660">
        <v>73</v>
      </c>
      <c r="AH660">
        <v>39</v>
      </c>
      <c r="AI660">
        <v>40</v>
      </c>
      <c r="AJ660">
        <v>2</v>
      </c>
      <c r="AK660">
        <v>20</v>
      </c>
      <c r="AL660" t="s">
        <v>4248</v>
      </c>
      <c r="AM660" t="s">
        <v>4249</v>
      </c>
      <c r="AN660" t="s">
        <v>4250</v>
      </c>
      <c r="AO660" t="s">
        <v>12124</v>
      </c>
      <c r="AP660" t="s">
        <v>12125</v>
      </c>
      <c r="AQ660" t="s">
        <v>74</v>
      </c>
      <c r="AR660" t="s">
        <v>12126</v>
      </c>
      <c r="AS660" t="s">
        <v>12127</v>
      </c>
      <c r="AT660" t="s">
        <v>74</v>
      </c>
      <c r="AU660">
        <v>2013</v>
      </c>
      <c r="AV660">
        <v>5</v>
      </c>
      <c r="AW660">
        <v>1</v>
      </c>
      <c r="AX660" t="s">
        <v>74</v>
      </c>
      <c r="AY660" t="s">
        <v>74</v>
      </c>
      <c r="AZ660" t="s">
        <v>74</v>
      </c>
      <c r="BA660" t="s">
        <v>74</v>
      </c>
      <c r="BB660">
        <v>109</v>
      </c>
      <c r="BC660">
        <v>123</v>
      </c>
      <c r="BD660" t="s">
        <v>74</v>
      </c>
      <c r="BE660" t="s">
        <v>12177</v>
      </c>
      <c r="BF660" t="str">
        <f>HYPERLINK("http://dx.doi.org/10.5194/essd-5-109-2013","http://dx.doi.org/10.5194/essd-5-109-2013")</f>
        <v>http://dx.doi.org/10.5194/essd-5-109-2013</v>
      </c>
      <c r="BG660" t="s">
        <v>74</v>
      </c>
      <c r="BH660" t="s">
        <v>74</v>
      </c>
      <c r="BI660">
        <v>15</v>
      </c>
      <c r="BJ660" t="s">
        <v>6089</v>
      </c>
      <c r="BK660" t="s">
        <v>102</v>
      </c>
      <c r="BL660" t="s">
        <v>6090</v>
      </c>
      <c r="BM660" t="s">
        <v>12129</v>
      </c>
      <c r="BN660" t="s">
        <v>74</v>
      </c>
      <c r="BO660" t="s">
        <v>12178</v>
      </c>
      <c r="BP660" t="s">
        <v>74</v>
      </c>
      <c r="BQ660" t="s">
        <v>74</v>
      </c>
      <c r="BR660" t="s">
        <v>105</v>
      </c>
      <c r="BS660" t="s">
        <v>12179</v>
      </c>
      <c r="BT660" t="str">
        <f>HYPERLINK("https%3A%2F%2Fwww.webofscience.com%2Fwos%2Fwoscc%2Ffull-record%2FWOS:000209415400009","View Full Record in Web of Science")</f>
        <v>View Full Record in Web of Science</v>
      </c>
    </row>
    <row r="661" spans="1:72" x14ac:dyDescent="0.15">
      <c r="A661" t="s">
        <v>72</v>
      </c>
      <c r="B661" t="s">
        <v>12180</v>
      </c>
      <c r="C661" t="s">
        <v>74</v>
      </c>
      <c r="D661" t="s">
        <v>74</v>
      </c>
      <c r="E661" t="s">
        <v>74</v>
      </c>
      <c r="F661" t="s">
        <v>12181</v>
      </c>
      <c r="G661" t="s">
        <v>74</v>
      </c>
      <c r="H661" t="s">
        <v>74</v>
      </c>
      <c r="I661" t="s">
        <v>12182</v>
      </c>
      <c r="J661" t="s">
        <v>12116</v>
      </c>
      <c r="K661" t="s">
        <v>74</v>
      </c>
      <c r="L661" t="s">
        <v>74</v>
      </c>
      <c r="M661" t="s">
        <v>78</v>
      </c>
      <c r="N661" t="s">
        <v>12134</v>
      </c>
      <c r="O661" t="s">
        <v>74</v>
      </c>
      <c r="P661" t="s">
        <v>74</v>
      </c>
      <c r="Q661" t="s">
        <v>74</v>
      </c>
      <c r="R661" t="s">
        <v>74</v>
      </c>
      <c r="S661" t="s">
        <v>74</v>
      </c>
      <c r="T661" t="s">
        <v>74</v>
      </c>
      <c r="U661" t="s">
        <v>12183</v>
      </c>
      <c r="V661" t="s">
        <v>12184</v>
      </c>
      <c r="W661" t="s">
        <v>12185</v>
      </c>
      <c r="X661" t="s">
        <v>12186</v>
      </c>
      <c r="Y661" t="s">
        <v>12187</v>
      </c>
      <c r="Z661" t="s">
        <v>12188</v>
      </c>
      <c r="AA661" t="s">
        <v>12189</v>
      </c>
      <c r="AB661" t="s">
        <v>12190</v>
      </c>
      <c r="AC661" t="s">
        <v>12191</v>
      </c>
      <c r="AD661" t="s">
        <v>12192</v>
      </c>
      <c r="AE661" t="s">
        <v>12193</v>
      </c>
      <c r="AF661" t="s">
        <v>74</v>
      </c>
      <c r="AG661">
        <v>68</v>
      </c>
      <c r="AH661">
        <v>135</v>
      </c>
      <c r="AI661">
        <v>141</v>
      </c>
      <c r="AJ661">
        <v>0</v>
      </c>
      <c r="AK661">
        <v>40</v>
      </c>
      <c r="AL661" t="s">
        <v>4248</v>
      </c>
      <c r="AM661" t="s">
        <v>4249</v>
      </c>
      <c r="AN661" t="s">
        <v>4250</v>
      </c>
      <c r="AO661" t="s">
        <v>12124</v>
      </c>
      <c r="AP661" t="s">
        <v>12125</v>
      </c>
      <c r="AQ661" t="s">
        <v>74</v>
      </c>
      <c r="AR661" t="s">
        <v>12126</v>
      </c>
      <c r="AS661" t="s">
        <v>12127</v>
      </c>
      <c r="AT661" t="s">
        <v>74</v>
      </c>
      <c r="AU661">
        <v>2013</v>
      </c>
      <c r="AV661">
        <v>5</v>
      </c>
      <c r="AW661">
        <v>1</v>
      </c>
      <c r="AX661" t="s">
        <v>74</v>
      </c>
      <c r="AY661" t="s">
        <v>74</v>
      </c>
      <c r="AZ661" t="s">
        <v>74</v>
      </c>
      <c r="BA661" t="s">
        <v>74</v>
      </c>
      <c r="BB661">
        <v>125</v>
      </c>
      <c r="BC661">
        <v>143</v>
      </c>
      <c r="BD661" t="s">
        <v>74</v>
      </c>
      <c r="BE661" t="s">
        <v>12194</v>
      </c>
      <c r="BF661" t="str">
        <f>HYPERLINK("http://dx.doi.org/10.5194/essd-5-125-2013","http://dx.doi.org/10.5194/essd-5-125-2013")</f>
        <v>http://dx.doi.org/10.5194/essd-5-125-2013</v>
      </c>
      <c r="BG661" t="s">
        <v>74</v>
      </c>
      <c r="BH661" t="s">
        <v>74</v>
      </c>
      <c r="BI661">
        <v>19</v>
      </c>
      <c r="BJ661" t="s">
        <v>6089</v>
      </c>
      <c r="BK661" t="s">
        <v>102</v>
      </c>
      <c r="BL661" t="s">
        <v>6090</v>
      </c>
      <c r="BM661" t="s">
        <v>12129</v>
      </c>
      <c r="BN661" t="s">
        <v>74</v>
      </c>
      <c r="BO661" t="s">
        <v>12195</v>
      </c>
      <c r="BP661" t="s">
        <v>74</v>
      </c>
      <c r="BQ661" t="s">
        <v>74</v>
      </c>
      <c r="BR661" t="s">
        <v>105</v>
      </c>
      <c r="BS661" t="s">
        <v>12196</v>
      </c>
      <c r="BT661" t="str">
        <f>HYPERLINK("https%3A%2F%2Fwww.webofscience.com%2Fwos%2Fwoscc%2Ffull-record%2FWOS:000209415400010","View Full Record in Web of Science")</f>
        <v>View Full Record in Web of Science</v>
      </c>
    </row>
    <row r="662" spans="1:72" x14ac:dyDescent="0.15">
      <c r="A662" t="s">
        <v>72</v>
      </c>
      <c r="B662" t="s">
        <v>12197</v>
      </c>
      <c r="C662" t="s">
        <v>74</v>
      </c>
      <c r="D662" t="s">
        <v>74</v>
      </c>
      <c r="E662" t="s">
        <v>74</v>
      </c>
      <c r="F662" t="s">
        <v>12198</v>
      </c>
      <c r="G662" t="s">
        <v>74</v>
      </c>
      <c r="H662" t="s">
        <v>74</v>
      </c>
      <c r="I662" t="s">
        <v>12199</v>
      </c>
      <c r="J662" t="s">
        <v>12116</v>
      </c>
      <c r="K662" t="s">
        <v>74</v>
      </c>
      <c r="L662" t="s">
        <v>74</v>
      </c>
      <c r="M662" t="s">
        <v>78</v>
      </c>
      <c r="N662" t="s">
        <v>12134</v>
      </c>
      <c r="O662" t="s">
        <v>74</v>
      </c>
      <c r="P662" t="s">
        <v>74</v>
      </c>
      <c r="Q662" t="s">
        <v>74</v>
      </c>
      <c r="R662" t="s">
        <v>74</v>
      </c>
      <c r="S662" t="s">
        <v>74</v>
      </c>
      <c r="T662" t="s">
        <v>74</v>
      </c>
      <c r="U662" t="s">
        <v>12200</v>
      </c>
      <c r="V662" t="s">
        <v>12201</v>
      </c>
      <c r="W662" t="s">
        <v>12202</v>
      </c>
      <c r="X662" t="s">
        <v>12203</v>
      </c>
      <c r="Y662" t="s">
        <v>12204</v>
      </c>
      <c r="Z662" t="s">
        <v>12205</v>
      </c>
      <c r="AA662" t="s">
        <v>12206</v>
      </c>
      <c r="AB662" t="s">
        <v>12207</v>
      </c>
      <c r="AC662" t="s">
        <v>12208</v>
      </c>
      <c r="AD662" t="s">
        <v>12209</v>
      </c>
      <c r="AE662" t="s">
        <v>12210</v>
      </c>
      <c r="AF662" t="s">
        <v>74</v>
      </c>
      <c r="AG662">
        <v>17</v>
      </c>
      <c r="AH662">
        <v>77</v>
      </c>
      <c r="AI662">
        <v>84</v>
      </c>
      <c r="AJ662">
        <v>1</v>
      </c>
      <c r="AK662">
        <v>23</v>
      </c>
      <c r="AL662" t="s">
        <v>4248</v>
      </c>
      <c r="AM662" t="s">
        <v>4249</v>
      </c>
      <c r="AN662" t="s">
        <v>4250</v>
      </c>
      <c r="AO662" t="s">
        <v>12124</v>
      </c>
      <c r="AP662" t="s">
        <v>12125</v>
      </c>
      <c r="AQ662" t="s">
        <v>74</v>
      </c>
      <c r="AR662" t="s">
        <v>12126</v>
      </c>
      <c r="AS662" t="s">
        <v>12127</v>
      </c>
      <c r="AT662" t="s">
        <v>74</v>
      </c>
      <c r="AU662">
        <v>2013</v>
      </c>
      <c r="AV662">
        <v>5</v>
      </c>
      <c r="AW662">
        <v>1</v>
      </c>
      <c r="AX662" t="s">
        <v>74</v>
      </c>
      <c r="AY662" t="s">
        <v>74</v>
      </c>
      <c r="AZ662" t="s">
        <v>74</v>
      </c>
      <c r="BA662" t="s">
        <v>74</v>
      </c>
      <c r="BB662">
        <v>145</v>
      </c>
      <c r="BC662">
        <v>153</v>
      </c>
      <c r="BD662" t="s">
        <v>74</v>
      </c>
      <c r="BE662" t="s">
        <v>12211</v>
      </c>
      <c r="BF662" t="str">
        <f>HYPERLINK("http://dx.doi.org/10.5194/essd-5-145-2013","http://dx.doi.org/10.5194/essd-5-145-2013")</f>
        <v>http://dx.doi.org/10.5194/essd-5-145-2013</v>
      </c>
      <c r="BG662" t="s">
        <v>74</v>
      </c>
      <c r="BH662" t="s">
        <v>74</v>
      </c>
      <c r="BI662">
        <v>9</v>
      </c>
      <c r="BJ662" t="s">
        <v>6089</v>
      </c>
      <c r="BK662" t="s">
        <v>102</v>
      </c>
      <c r="BL662" t="s">
        <v>6090</v>
      </c>
      <c r="BM662" t="s">
        <v>12129</v>
      </c>
      <c r="BN662" t="s">
        <v>74</v>
      </c>
      <c r="BO662" t="s">
        <v>10762</v>
      </c>
      <c r="BP662" t="s">
        <v>74</v>
      </c>
      <c r="BQ662" t="s">
        <v>74</v>
      </c>
      <c r="BR662" t="s">
        <v>105</v>
      </c>
      <c r="BS662" t="s">
        <v>12212</v>
      </c>
      <c r="BT662" t="str">
        <f>HYPERLINK("https%3A%2F%2Fwww.webofscience.com%2Fwos%2Fwoscc%2Ffull-record%2FWOS:000209415400011","View Full Record in Web of Science")</f>
        <v>View Full Record in Web of Science</v>
      </c>
    </row>
    <row r="663" spans="1:72" x14ac:dyDescent="0.15">
      <c r="A663" t="s">
        <v>72</v>
      </c>
      <c r="B663" t="s">
        <v>12213</v>
      </c>
      <c r="C663" t="s">
        <v>74</v>
      </c>
      <c r="D663" t="s">
        <v>74</v>
      </c>
      <c r="E663" t="s">
        <v>74</v>
      </c>
      <c r="F663" t="s">
        <v>12214</v>
      </c>
      <c r="G663" t="s">
        <v>74</v>
      </c>
      <c r="H663" t="s">
        <v>74</v>
      </c>
      <c r="I663" t="s">
        <v>12215</v>
      </c>
      <c r="J663" t="s">
        <v>12116</v>
      </c>
      <c r="K663" t="s">
        <v>74</v>
      </c>
      <c r="L663" t="s">
        <v>74</v>
      </c>
      <c r="M663" t="s">
        <v>78</v>
      </c>
      <c r="N663" t="s">
        <v>79</v>
      </c>
      <c r="O663" t="s">
        <v>74</v>
      </c>
      <c r="P663" t="s">
        <v>74</v>
      </c>
      <c r="Q663" t="s">
        <v>74</v>
      </c>
      <c r="R663" t="s">
        <v>74</v>
      </c>
      <c r="S663" t="s">
        <v>74</v>
      </c>
      <c r="T663" t="s">
        <v>74</v>
      </c>
      <c r="U663" t="s">
        <v>12216</v>
      </c>
      <c r="V663" t="s">
        <v>12217</v>
      </c>
      <c r="W663" t="s">
        <v>12218</v>
      </c>
      <c r="X663" t="s">
        <v>12219</v>
      </c>
      <c r="Y663" t="s">
        <v>12220</v>
      </c>
      <c r="Z663" t="s">
        <v>12221</v>
      </c>
      <c r="AA663" t="s">
        <v>74</v>
      </c>
      <c r="AB663" t="s">
        <v>74</v>
      </c>
      <c r="AC663" t="s">
        <v>74</v>
      </c>
      <c r="AD663" t="s">
        <v>74</v>
      </c>
      <c r="AE663" t="s">
        <v>74</v>
      </c>
      <c r="AF663" t="s">
        <v>74</v>
      </c>
      <c r="AG663">
        <v>44</v>
      </c>
      <c r="AH663">
        <v>177</v>
      </c>
      <c r="AI663">
        <v>195</v>
      </c>
      <c r="AJ663">
        <v>2</v>
      </c>
      <c r="AK663">
        <v>36</v>
      </c>
      <c r="AL663" t="s">
        <v>4248</v>
      </c>
      <c r="AM663" t="s">
        <v>4249</v>
      </c>
      <c r="AN663" t="s">
        <v>4250</v>
      </c>
      <c r="AO663" t="s">
        <v>12124</v>
      </c>
      <c r="AP663" t="s">
        <v>12125</v>
      </c>
      <c r="AQ663" t="s">
        <v>74</v>
      </c>
      <c r="AR663" t="s">
        <v>12126</v>
      </c>
      <c r="AS663" t="s">
        <v>12127</v>
      </c>
      <c r="AT663" t="s">
        <v>74</v>
      </c>
      <c r="AU663">
        <v>2013</v>
      </c>
      <c r="AV663">
        <v>5</v>
      </c>
      <c r="AW663">
        <v>1</v>
      </c>
      <c r="AX663" t="s">
        <v>74</v>
      </c>
      <c r="AY663" t="s">
        <v>74</v>
      </c>
      <c r="AZ663" t="s">
        <v>74</v>
      </c>
      <c r="BA663" t="s">
        <v>74</v>
      </c>
      <c r="BB663">
        <v>187</v>
      </c>
      <c r="BC663">
        <v>197</v>
      </c>
      <c r="BD663" t="s">
        <v>74</v>
      </c>
      <c r="BE663" t="s">
        <v>12222</v>
      </c>
      <c r="BF663" t="str">
        <f>HYPERLINK("http://dx.doi.org/10.5194/essd-5-187-2013","http://dx.doi.org/10.5194/essd-5-187-2013")</f>
        <v>http://dx.doi.org/10.5194/essd-5-187-2013</v>
      </c>
      <c r="BG663" t="s">
        <v>74</v>
      </c>
      <c r="BH663" t="s">
        <v>74</v>
      </c>
      <c r="BI663">
        <v>11</v>
      </c>
      <c r="BJ663" t="s">
        <v>6089</v>
      </c>
      <c r="BK663" t="s">
        <v>102</v>
      </c>
      <c r="BL663" t="s">
        <v>6090</v>
      </c>
      <c r="BM663" t="s">
        <v>12129</v>
      </c>
      <c r="BN663" t="s">
        <v>74</v>
      </c>
      <c r="BO663" t="s">
        <v>4132</v>
      </c>
      <c r="BP663" t="s">
        <v>74</v>
      </c>
      <c r="BQ663" t="s">
        <v>74</v>
      </c>
      <c r="BR663" t="s">
        <v>105</v>
      </c>
      <c r="BS663" t="s">
        <v>12223</v>
      </c>
      <c r="BT663" t="str">
        <f>HYPERLINK("https%3A%2F%2Fwww.webofscience.com%2Fwos%2Fwoscc%2Ffull-record%2FWOS:000209415400014","View Full Record in Web of Science")</f>
        <v>View Full Record in Web of Science</v>
      </c>
    </row>
    <row r="664" spans="1:72" x14ac:dyDescent="0.15">
      <c r="A664" t="s">
        <v>72</v>
      </c>
      <c r="B664" t="s">
        <v>12224</v>
      </c>
      <c r="C664" t="s">
        <v>74</v>
      </c>
      <c r="D664" t="s">
        <v>74</v>
      </c>
      <c r="E664" t="s">
        <v>74</v>
      </c>
      <c r="F664" t="s">
        <v>12225</v>
      </c>
      <c r="G664" t="s">
        <v>74</v>
      </c>
      <c r="H664" t="s">
        <v>74</v>
      </c>
      <c r="I664" t="s">
        <v>12226</v>
      </c>
      <c r="J664" t="s">
        <v>12116</v>
      </c>
      <c r="K664" t="s">
        <v>74</v>
      </c>
      <c r="L664" t="s">
        <v>74</v>
      </c>
      <c r="M664" t="s">
        <v>78</v>
      </c>
      <c r="N664" t="s">
        <v>12134</v>
      </c>
      <c r="O664" t="s">
        <v>74</v>
      </c>
      <c r="P664" t="s">
        <v>74</v>
      </c>
      <c r="Q664" t="s">
        <v>74</v>
      </c>
      <c r="R664" t="s">
        <v>74</v>
      </c>
      <c r="S664" t="s">
        <v>74</v>
      </c>
      <c r="T664" t="s">
        <v>74</v>
      </c>
      <c r="U664" t="s">
        <v>12227</v>
      </c>
      <c r="V664" t="s">
        <v>12228</v>
      </c>
      <c r="W664" t="s">
        <v>12229</v>
      </c>
      <c r="X664" t="s">
        <v>12230</v>
      </c>
      <c r="Y664" t="s">
        <v>12231</v>
      </c>
      <c r="Z664" t="s">
        <v>12232</v>
      </c>
      <c r="AA664" t="s">
        <v>74</v>
      </c>
      <c r="AB664" t="s">
        <v>12233</v>
      </c>
      <c r="AC664" t="s">
        <v>12234</v>
      </c>
      <c r="AD664" t="s">
        <v>12235</v>
      </c>
      <c r="AE664" t="s">
        <v>12236</v>
      </c>
      <c r="AF664" t="s">
        <v>74</v>
      </c>
      <c r="AG664">
        <v>31</v>
      </c>
      <c r="AH664">
        <v>11</v>
      </c>
      <c r="AI664">
        <v>11</v>
      </c>
      <c r="AJ664">
        <v>0</v>
      </c>
      <c r="AK664">
        <v>2</v>
      </c>
      <c r="AL664" t="s">
        <v>4248</v>
      </c>
      <c r="AM664" t="s">
        <v>4249</v>
      </c>
      <c r="AN664" t="s">
        <v>4250</v>
      </c>
      <c r="AO664" t="s">
        <v>12124</v>
      </c>
      <c r="AP664" t="s">
        <v>12125</v>
      </c>
      <c r="AQ664" t="s">
        <v>74</v>
      </c>
      <c r="AR664" t="s">
        <v>12126</v>
      </c>
      <c r="AS664" t="s">
        <v>12127</v>
      </c>
      <c r="AT664" t="s">
        <v>74</v>
      </c>
      <c r="AU664">
        <v>2013</v>
      </c>
      <c r="AV664">
        <v>5</v>
      </c>
      <c r="AW664">
        <v>1</v>
      </c>
      <c r="AX664" t="s">
        <v>74</v>
      </c>
      <c r="AY664" t="s">
        <v>74</v>
      </c>
      <c r="AZ664" t="s">
        <v>74</v>
      </c>
      <c r="BA664" t="s">
        <v>74</v>
      </c>
      <c r="BB664">
        <v>199</v>
      </c>
      <c r="BC664">
        <v>208</v>
      </c>
      <c r="BD664" t="s">
        <v>74</v>
      </c>
      <c r="BE664" t="s">
        <v>12237</v>
      </c>
      <c r="BF664" t="str">
        <f>HYPERLINK("http://dx.doi.org/10.5194/essd-5-199-2013","http://dx.doi.org/10.5194/essd-5-199-2013")</f>
        <v>http://dx.doi.org/10.5194/essd-5-199-2013</v>
      </c>
      <c r="BG664" t="s">
        <v>74</v>
      </c>
      <c r="BH664" t="s">
        <v>74</v>
      </c>
      <c r="BI664">
        <v>10</v>
      </c>
      <c r="BJ664" t="s">
        <v>6089</v>
      </c>
      <c r="BK664" t="s">
        <v>102</v>
      </c>
      <c r="BL664" t="s">
        <v>6090</v>
      </c>
      <c r="BM664" t="s">
        <v>12129</v>
      </c>
      <c r="BN664" t="s">
        <v>74</v>
      </c>
      <c r="BO664" t="s">
        <v>4556</v>
      </c>
      <c r="BP664" t="s">
        <v>74</v>
      </c>
      <c r="BQ664" t="s">
        <v>74</v>
      </c>
      <c r="BR664" t="s">
        <v>105</v>
      </c>
      <c r="BS664" t="s">
        <v>12238</v>
      </c>
      <c r="BT664" t="str">
        <f>HYPERLINK("https%3A%2F%2Fwww.webofscience.com%2Fwos%2Fwoscc%2Ffull-record%2FWOS:000209415400015","View Full Record in Web of Science")</f>
        <v>View Full Record in Web of Science</v>
      </c>
    </row>
    <row r="665" spans="1:72" x14ac:dyDescent="0.15">
      <c r="A665" t="s">
        <v>72</v>
      </c>
      <c r="B665" t="s">
        <v>12239</v>
      </c>
      <c r="C665" t="s">
        <v>74</v>
      </c>
      <c r="D665" t="s">
        <v>74</v>
      </c>
      <c r="E665" t="s">
        <v>74</v>
      </c>
      <c r="F665" t="s">
        <v>12240</v>
      </c>
      <c r="G665" t="s">
        <v>74</v>
      </c>
      <c r="H665" t="s">
        <v>74</v>
      </c>
      <c r="I665" t="s">
        <v>12241</v>
      </c>
      <c r="J665" t="s">
        <v>12116</v>
      </c>
      <c r="K665" t="s">
        <v>74</v>
      </c>
      <c r="L665" t="s">
        <v>74</v>
      </c>
      <c r="M665" t="s">
        <v>78</v>
      </c>
      <c r="N665" t="s">
        <v>12134</v>
      </c>
      <c r="O665" t="s">
        <v>74</v>
      </c>
      <c r="P665" t="s">
        <v>74</v>
      </c>
      <c r="Q665" t="s">
        <v>74</v>
      </c>
      <c r="R665" t="s">
        <v>74</v>
      </c>
      <c r="S665" t="s">
        <v>74</v>
      </c>
      <c r="T665" t="s">
        <v>74</v>
      </c>
      <c r="U665" t="s">
        <v>12242</v>
      </c>
      <c r="V665" t="s">
        <v>12243</v>
      </c>
      <c r="W665" t="s">
        <v>12244</v>
      </c>
      <c r="X665" t="s">
        <v>3547</v>
      </c>
      <c r="Y665" t="s">
        <v>12245</v>
      </c>
      <c r="Z665" t="s">
        <v>12246</v>
      </c>
      <c r="AA665" t="s">
        <v>74</v>
      </c>
      <c r="AB665" t="s">
        <v>12247</v>
      </c>
      <c r="AC665" t="s">
        <v>12248</v>
      </c>
      <c r="AD665" t="s">
        <v>11549</v>
      </c>
      <c r="AE665" t="s">
        <v>12249</v>
      </c>
      <c r="AF665" t="s">
        <v>74</v>
      </c>
      <c r="AG665">
        <v>36</v>
      </c>
      <c r="AH665">
        <v>17</v>
      </c>
      <c r="AI665">
        <v>20</v>
      </c>
      <c r="AJ665">
        <v>0</v>
      </c>
      <c r="AK665">
        <v>8</v>
      </c>
      <c r="AL665" t="s">
        <v>4248</v>
      </c>
      <c r="AM665" t="s">
        <v>4249</v>
      </c>
      <c r="AN665" t="s">
        <v>4250</v>
      </c>
      <c r="AO665" t="s">
        <v>12124</v>
      </c>
      <c r="AP665" t="s">
        <v>12125</v>
      </c>
      <c r="AQ665" t="s">
        <v>74</v>
      </c>
      <c r="AR665" t="s">
        <v>12126</v>
      </c>
      <c r="AS665" t="s">
        <v>12127</v>
      </c>
      <c r="AT665" t="s">
        <v>74</v>
      </c>
      <c r="AU665">
        <v>2013</v>
      </c>
      <c r="AV665">
        <v>5</v>
      </c>
      <c r="AW665">
        <v>1</v>
      </c>
      <c r="AX665" t="s">
        <v>74</v>
      </c>
      <c r="AY665" t="s">
        <v>74</v>
      </c>
      <c r="AZ665" t="s">
        <v>74</v>
      </c>
      <c r="BA665" t="s">
        <v>74</v>
      </c>
      <c r="BB665">
        <v>209</v>
      </c>
      <c r="BC665">
        <v>226</v>
      </c>
      <c r="BD665" t="s">
        <v>74</v>
      </c>
      <c r="BE665" t="s">
        <v>12250</v>
      </c>
      <c r="BF665" t="str">
        <f>HYPERLINK("http://dx.doi.org/10.5194/essd-5-209-2013","http://dx.doi.org/10.5194/essd-5-209-2013")</f>
        <v>http://dx.doi.org/10.5194/essd-5-209-2013</v>
      </c>
      <c r="BG665" t="s">
        <v>74</v>
      </c>
      <c r="BH665" t="s">
        <v>74</v>
      </c>
      <c r="BI665">
        <v>18</v>
      </c>
      <c r="BJ665" t="s">
        <v>6089</v>
      </c>
      <c r="BK665" t="s">
        <v>102</v>
      </c>
      <c r="BL665" t="s">
        <v>6090</v>
      </c>
      <c r="BM665" t="s">
        <v>12129</v>
      </c>
      <c r="BN665" t="s">
        <v>74</v>
      </c>
      <c r="BO665" t="s">
        <v>4621</v>
      </c>
      <c r="BP665" t="s">
        <v>74</v>
      </c>
      <c r="BQ665" t="s">
        <v>74</v>
      </c>
      <c r="BR665" t="s">
        <v>105</v>
      </c>
      <c r="BS665" t="s">
        <v>12251</v>
      </c>
      <c r="BT665" t="str">
        <f>HYPERLINK("https%3A%2F%2Fwww.webofscience.com%2Fwos%2Fwoscc%2Ffull-record%2FWOS:000209415400016","View Full Record in Web of Science")</f>
        <v>View Full Record in Web of Science</v>
      </c>
    </row>
    <row r="666" spans="1:72" x14ac:dyDescent="0.15">
      <c r="A666" t="s">
        <v>72</v>
      </c>
      <c r="B666" t="s">
        <v>12252</v>
      </c>
      <c r="C666" t="s">
        <v>74</v>
      </c>
      <c r="D666" t="s">
        <v>74</v>
      </c>
      <c r="E666" t="s">
        <v>74</v>
      </c>
      <c r="F666" t="s">
        <v>12253</v>
      </c>
      <c r="G666" t="s">
        <v>74</v>
      </c>
      <c r="H666" t="s">
        <v>74</v>
      </c>
      <c r="I666" t="s">
        <v>12254</v>
      </c>
      <c r="J666" t="s">
        <v>12116</v>
      </c>
      <c r="K666" t="s">
        <v>74</v>
      </c>
      <c r="L666" t="s">
        <v>74</v>
      </c>
      <c r="M666" t="s">
        <v>78</v>
      </c>
      <c r="N666" t="s">
        <v>12134</v>
      </c>
      <c r="O666" t="s">
        <v>74</v>
      </c>
      <c r="P666" t="s">
        <v>74</v>
      </c>
      <c r="Q666" t="s">
        <v>74</v>
      </c>
      <c r="R666" t="s">
        <v>74</v>
      </c>
      <c r="S666" t="s">
        <v>74</v>
      </c>
      <c r="T666" t="s">
        <v>74</v>
      </c>
      <c r="U666" t="s">
        <v>12255</v>
      </c>
      <c r="V666" t="s">
        <v>12256</v>
      </c>
      <c r="W666" t="s">
        <v>12257</v>
      </c>
      <c r="X666" t="s">
        <v>12258</v>
      </c>
      <c r="Y666" t="s">
        <v>12259</v>
      </c>
      <c r="Z666" t="s">
        <v>12260</v>
      </c>
      <c r="AA666" t="s">
        <v>12261</v>
      </c>
      <c r="AB666" t="s">
        <v>12262</v>
      </c>
      <c r="AC666" t="s">
        <v>12263</v>
      </c>
      <c r="AD666" t="s">
        <v>12264</v>
      </c>
      <c r="AE666" t="s">
        <v>74</v>
      </c>
      <c r="AF666" t="s">
        <v>74</v>
      </c>
      <c r="AG666">
        <v>49</v>
      </c>
      <c r="AH666">
        <v>34</v>
      </c>
      <c r="AI666">
        <v>34</v>
      </c>
      <c r="AJ666">
        <v>1</v>
      </c>
      <c r="AK666">
        <v>58</v>
      </c>
      <c r="AL666" t="s">
        <v>4248</v>
      </c>
      <c r="AM666" t="s">
        <v>4249</v>
      </c>
      <c r="AN666" t="s">
        <v>4250</v>
      </c>
      <c r="AO666" t="s">
        <v>12124</v>
      </c>
      <c r="AP666" t="s">
        <v>12125</v>
      </c>
      <c r="AQ666" t="s">
        <v>74</v>
      </c>
      <c r="AR666" t="s">
        <v>12126</v>
      </c>
      <c r="AS666" t="s">
        <v>12127</v>
      </c>
      <c r="AT666" t="s">
        <v>74</v>
      </c>
      <c r="AU666">
        <v>2013</v>
      </c>
      <c r="AV666">
        <v>5</v>
      </c>
      <c r="AW666">
        <v>2</v>
      </c>
      <c r="AX666" t="s">
        <v>74</v>
      </c>
      <c r="AY666" t="s">
        <v>74</v>
      </c>
      <c r="AZ666" t="s">
        <v>74</v>
      </c>
      <c r="BA666" t="s">
        <v>74</v>
      </c>
      <c r="BB666">
        <v>241</v>
      </c>
      <c r="BC666">
        <v>257</v>
      </c>
      <c r="BD666" t="s">
        <v>74</v>
      </c>
      <c r="BE666" t="s">
        <v>12265</v>
      </c>
      <c r="BF666" t="str">
        <f>HYPERLINK("http://dx.doi.org/10.5194/essd-5-241-2013","http://dx.doi.org/10.5194/essd-5-241-2013")</f>
        <v>http://dx.doi.org/10.5194/essd-5-241-2013</v>
      </c>
      <c r="BG666" t="s">
        <v>74</v>
      </c>
      <c r="BH666" t="s">
        <v>74</v>
      </c>
      <c r="BI666">
        <v>17</v>
      </c>
      <c r="BJ666" t="s">
        <v>6089</v>
      </c>
      <c r="BK666" t="s">
        <v>102</v>
      </c>
      <c r="BL666" t="s">
        <v>6090</v>
      </c>
      <c r="BM666" t="s">
        <v>12266</v>
      </c>
      <c r="BN666" t="s">
        <v>74</v>
      </c>
      <c r="BO666" t="s">
        <v>5838</v>
      </c>
      <c r="BP666" t="s">
        <v>74</v>
      </c>
      <c r="BQ666" t="s">
        <v>74</v>
      </c>
      <c r="BR666" t="s">
        <v>105</v>
      </c>
      <c r="BS666" t="s">
        <v>12267</v>
      </c>
      <c r="BT666" t="str">
        <f>HYPERLINK("https%3A%2F%2Fwww.webofscience.com%2Fwos%2Fwoscc%2Ffull-record%2FWOS:000209415500002","View Full Record in Web of Science")</f>
        <v>View Full Record in Web of Science</v>
      </c>
    </row>
    <row r="667" spans="1:72" x14ac:dyDescent="0.15">
      <c r="A667" t="s">
        <v>72</v>
      </c>
      <c r="B667" t="s">
        <v>12268</v>
      </c>
      <c r="C667" t="s">
        <v>74</v>
      </c>
      <c r="D667" t="s">
        <v>74</v>
      </c>
      <c r="E667" t="s">
        <v>74</v>
      </c>
      <c r="F667" t="s">
        <v>12269</v>
      </c>
      <c r="G667" t="s">
        <v>74</v>
      </c>
      <c r="H667" t="s">
        <v>74</v>
      </c>
      <c r="I667" t="s">
        <v>12270</v>
      </c>
      <c r="J667" t="s">
        <v>12116</v>
      </c>
      <c r="K667" t="s">
        <v>74</v>
      </c>
      <c r="L667" t="s">
        <v>74</v>
      </c>
      <c r="M667" t="s">
        <v>78</v>
      </c>
      <c r="N667" t="s">
        <v>12134</v>
      </c>
      <c r="O667" t="s">
        <v>74</v>
      </c>
      <c r="P667" t="s">
        <v>74</v>
      </c>
      <c r="Q667" t="s">
        <v>74</v>
      </c>
      <c r="R667" t="s">
        <v>74</v>
      </c>
      <c r="S667" t="s">
        <v>74</v>
      </c>
      <c r="T667" t="s">
        <v>74</v>
      </c>
      <c r="U667" t="s">
        <v>12271</v>
      </c>
      <c r="V667" t="s">
        <v>12272</v>
      </c>
      <c r="W667" t="s">
        <v>12273</v>
      </c>
      <c r="X667" t="s">
        <v>12274</v>
      </c>
      <c r="Y667" t="s">
        <v>12275</v>
      </c>
      <c r="Z667" t="s">
        <v>12276</v>
      </c>
      <c r="AA667" t="s">
        <v>12277</v>
      </c>
      <c r="AB667" t="s">
        <v>12278</v>
      </c>
      <c r="AC667" t="s">
        <v>12279</v>
      </c>
      <c r="AD667" t="s">
        <v>12280</v>
      </c>
      <c r="AE667" t="s">
        <v>74</v>
      </c>
      <c r="AF667" t="s">
        <v>74</v>
      </c>
      <c r="AG667">
        <v>95</v>
      </c>
      <c r="AH667">
        <v>55</v>
      </c>
      <c r="AI667">
        <v>57</v>
      </c>
      <c r="AJ667">
        <v>0</v>
      </c>
      <c r="AK667">
        <v>18</v>
      </c>
      <c r="AL667" t="s">
        <v>4248</v>
      </c>
      <c r="AM667" t="s">
        <v>4249</v>
      </c>
      <c r="AN667" t="s">
        <v>4250</v>
      </c>
      <c r="AO667" t="s">
        <v>12124</v>
      </c>
      <c r="AP667" t="s">
        <v>12125</v>
      </c>
      <c r="AQ667" t="s">
        <v>74</v>
      </c>
      <c r="AR667" t="s">
        <v>12126</v>
      </c>
      <c r="AS667" t="s">
        <v>12127</v>
      </c>
      <c r="AT667" t="s">
        <v>74</v>
      </c>
      <c r="AU667">
        <v>2013</v>
      </c>
      <c r="AV667">
        <v>5</v>
      </c>
      <c r="AW667">
        <v>2</v>
      </c>
      <c r="AX667" t="s">
        <v>74</v>
      </c>
      <c r="AY667" t="s">
        <v>74</v>
      </c>
      <c r="AZ667" t="s">
        <v>74</v>
      </c>
      <c r="BA667" t="s">
        <v>74</v>
      </c>
      <c r="BB667">
        <v>259</v>
      </c>
      <c r="BC667">
        <v>276</v>
      </c>
      <c r="BD667" t="s">
        <v>74</v>
      </c>
      <c r="BE667" t="s">
        <v>12281</v>
      </c>
      <c r="BF667" t="str">
        <f>HYPERLINK("http://dx.doi.org/10.5194/essd-5-259-2013","http://dx.doi.org/10.5194/essd-5-259-2013")</f>
        <v>http://dx.doi.org/10.5194/essd-5-259-2013</v>
      </c>
      <c r="BG667" t="s">
        <v>74</v>
      </c>
      <c r="BH667" t="s">
        <v>74</v>
      </c>
      <c r="BI667">
        <v>18</v>
      </c>
      <c r="BJ667" t="s">
        <v>6089</v>
      </c>
      <c r="BK667" t="s">
        <v>102</v>
      </c>
      <c r="BL667" t="s">
        <v>6090</v>
      </c>
      <c r="BM667" t="s">
        <v>12266</v>
      </c>
      <c r="BN667" t="s">
        <v>74</v>
      </c>
      <c r="BO667" t="s">
        <v>11010</v>
      </c>
      <c r="BP667" t="s">
        <v>74</v>
      </c>
      <c r="BQ667" t="s">
        <v>74</v>
      </c>
      <c r="BR667" t="s">
        <v>105</v>
      </c>
      <c r="BS667" t="s">
        <v>12282</v>
      </c>
      <c r="BT667" t="str">
        <f>HYPERLINK("https%3A%2F%2Fwww.webofscience.com%2Fwos%2Fwoscc%2Ffull-record%2FWOS:000209415500003","View Full Record in Web of Science")</f>
        <v>View Full Record in Web of Science</v>
      </c>
    </row>
    <row r="668" spans="1:72" x14ac:dyDescent="0.15">
      <c r="A668" t="s">
        <v>72</v>
      </c>
      <c r="B668" t="s">
        <v>12283</v>
      </c>
      <c r="C668" t="s">
        <v>74</v>
      </c>
      <c r="D668" t="s">
        <v>74</v>
      </c>
      <c r="E668" t="s">
        <v>74</v>
      </c>
      <c r="F668" t="s">
        <v>12284</v>
      </c>
      <c r="G668" t="s">
        <v>74</v>
      </c>
      <c r="H668" t="s">
        <v>74</v>
      </c>
      <c r="I668" t="s">
        <v>12285</v>
      </c>
      <c r="J668" t="s">
        <v>12286</v>
      </c>
      <c r="K668" t="s">
        <v>74</v>
      </c>
      <c r="L668" t="s">
        <v>74</v>
      </c>
      <c r="M668" t="s">
        <v>78</v>
      </c>
      <c r="N668" t="s">
        <v>79</v>
      </c>
      <c r="O668" t="s">
        <v>74</v>
      </c>
      <c r="P668" t="s">
        <v>74</v>
      </c>
      <c r="Q668" t="s">
        <v>74</v>
      </c>
      <c r="R668" t="s">
        <v>74</v>
      </c>
      <c r="S668" t="s">
        <v>74</v>
      </c>
      <c r="T668" t="s">
        <v>12287</v>
      </c>
      <c r="U668" t="s">
        <v>12288</v>
      </c>
      <c r="V668" t="s">
        <v>12289</v>
      </c>
      <c r="W668" t="s">
        <v>12290</v>
      </c>
      <c r="X668" t="s">
        <v>8238</v>
      </c>
      <c r="Y668" t="s">
        <v>12291</v>
      </c>
      <c r="Z668" t="s">
        <v>12292</v>
      </c>
      <c r="AA668" t="s">
        <v>74</v>
      </c>
      <c r="AB668" t="s">
        <v>74</v>
      </c>
      <c r="AC668" t="s">
        <v>12293</v>
      </c>
      <c r="AD668" t="s">
        <v>12294</v>
      </c>
      <c r="AE668" t="s">
        <v>12295</v>
      </c>
      <c r="AF668" t="s">
        <v>74</v>
      </c>
      <c r="AG668">
        <v>80</v>
      </c>
      <c r="AH668">
        <v>36</v>
      </c>
      <c r="AI668">
        <v>39</v>
      </c>
      <c r="AJ668">
        <v>1</v>
      </c>
      <c r="AK668">
        <v>33</v>
      </c>
      <c r="AL668" t="s">
        <v>541</v>
      </c>
      <c r="AM668" t="s">
        <v>542</v>
      </c>
      <c r="AN668" t="s">
        <v>543</v>
      </c>
      <c r="AO668" t="s">
        <v>12296</v>
      </c>
      <c r="AP668" t="s">
        <v>74</v>
      </c>
      <c r="AQ668" t="s">
        <v>74</v>
      </c>
      <c r="AR668" t="s">
        <v>12297</v>
      </c>
      <c r="AS668" t="s">
        <v>12298</v>
      </c>
      <c r="AT668" t="s">
        <v>5170</v>
      </c>
      <c r="AU668">
        <v>2013</v>
      </c>
      <c r="AV668">
        <v>24</v>
      </c>
      <c r="AW668" t="s">
        <v>74</v>
      </c>
      <c r="AX668" t="s">
        <v>74</v>
      </c>
      <c r="AY668" t="s">
        <v>74</v>
      </c>
      <c r="AZ668" t="s">
        <v>74</v>
      </c>
      <c r="BA668" t="s">
        <v>74</v>
      </c>
      <c r="BB668">
        <v>201</v>
      </c>
      <c r="BC668">
        <v>210</v>
      </c>
      <c r="BD668" t="s">
        <v>74</v>
      </c>
      <c r="BE668" t="s">
        <v>12299</v>
      </c>
      <c r="BF668" t="str">
        <f>HYPERLINK("http://dx.doi.org/10.1016/j.ecolind.2012.06.017","http://dx.doi.org/10.1016/j.ecolind.2012.06.017")</f>
        <v>http://dx.doi.org/10.1016/j.ecolind.2012.06.017</v>
      </c>
      <c r="BG668" t="s">
        <v>74</v>
      </c>
      <c r="BH668" t="s">
        <v>74</v>
      </c>
      <c r="BI668">
        <v>10</v>
      </c>
      <c r="BJ668" t="s">
        <v>12300</v>
      </c>
      <c r="BK668" t="s">
        <v>102</v>
      </c>
      <c r="BL668" t="s">
        <v>958</v>
      </c>
      <c r="BM668" t="s">
        <v>12301</v>
      </c>
      <c r="BN668" t="s">
        <v>74</v>
      </c>
      <c r="BO668" t="s">
        <v>429</v>
      </c>
      <c r="BP668" t="s">
        <v>74</v>
      </c>
      <c r="BQ668" t="s">
        <v>74</v>
      </c>
      <c r="BR668" t="s">
        <v>105</v>
      </c>
      <c r="BS668" t="s">
        <v>12302</v>
      </c>
      <c r="BT668" t="str">
        <f>HYPERLINK("https%3A%2F%2Fwww.webofscience.com%2Fwos%2Fwoscc%2Ffull-record%2FWOS:000311059900023","View Full Record in Web of Science")</f>
        <v>View Full Record in Web of Science</v>
      </c>
    </row>
    <row r="669" spans="1:72" x14ac:dyDescent="0.15">
      <c r="A669" t="s">
        <v>72</v>
      </c>
      <c r="B669" t="s">
        <v>12303</v>
      </c>
      <c r="C669" t="s">
        <v>74</v>
      </c>
      <c r="D669" t="s">
        <v>74</v>
      </c>
      <c r="E669" t="s">
        <v>74</v>
      </c>
      <c r="F669" t="s">
        <v>12304</v>
      </c>
      <c r="G669" t="s">
        <v>74</v>
      </c>
      <c r="H669" t="s">
        <v>74</v>
      </c>
      <c r="I669" t="s">
        <v>12305</v>
      </c>
      <c r="J669" t="s">
        <v>12306</v>
      </c>
      <c r="K669" t="s">
        <v>74</v>
      </c>
      <c r="L669" t="s">
        <v>74</v>
      </c>
      <c r="M669" t="s">
        <v>78</v>
      </c>
      <c r="N669" t="s">
        <v>1170</v>
      </c>
      <c r="O669" t="s">
        <v>74</v>
      </c>
      <c r="P669" t="s">
        <v>74</v>
      </c>
      <c r="Q669" t="s">
        <v>74</v>
      </c>
      <c r="R669" t="s">
        <v>74</v>
      </c>
      <c r="S669" t="s">
        <v>74</v>
      </c>
      <c r="T669" t="s">
        <v>74</v>
      </c>
      <c r="U669" t="s">
        <v>12307</v>
      </c>
      <c r="V669" t="s">
        <v>74</v>
      </c>
      <c r="W669" t="s">
        <v>12308</v>
      </c>
      <c r="X669" t="s">
        <v>12309</v>
      </c>
      <c r="Y669" t="s">
        <v>12310</v>
      </c>
      <c r="Z669" t="s">
        <v>12311</v>
      </c>
      <c r="AA669" t="s">
        <v>74</v>
      </c>
      <c r="AB669" t="s">
        <v>74</v>
      </c>
      <c r="AC669" t="s">
        <v>74</v>
      </c>
      <c r="AD669" t="s">
        <v>74</v>
      </c>
      <c r="AE669" t="s">
        <v>74</v>
      </c>
      <c r="AF669" t="s">
        <v>74</v>
      </c>
      <c r="AG669">
        <v>48</v>
      </c>
      <c r="AH669">
        <v>9</v>
      </c>
      <c r="AI669">
        <v>9</v>
      </c>
      <c r="AJ669">
        <v>0</v>
      </c>
      <c r="AK669">
        <v>26</v>
      </c>
      <c r="AL669" t="s">
        <v>257</v>
      </c>
      <c r="AM669" t="s">
        <v>215</v>
      </c>
      <c r="AN669" t="s">
        <v>216</v>
      </c>
      <c r="AO669" t="s">
        <v>12312</v>
      </c>
      <c r="AP669" t="s">
        <v>12313</v>
      </c>
      <c r="AQ669" t="s">
        <v>74</v>
      </c>
      <c r="AR669" t="s">
        <v>12314</v>
      </c>
      <c r="AS669" t="s">
        <v>12315</v>
      </c>
      <c r="AT669" t="s">
        <v>5170</v>
      </c>
      <c r="AU669">
        <v>2013</v>
      </c>
      <c r="AV669">
        <v>14</v>
      </c>
      <c r="AW669">
        <v>1</v>
      </c>
      <c r="AX669" t="s">
        <v>74</v>
      </c>
      <c r="AY669" t="s">
        <v>74</v>
      </c>
      <c r="AZ669" t="s">
        <v>74</v>
      </c>
      <c r="BA669" t="s">
        <v>74</v>
      </c>
      <c r="BB669">
        <v>17</v>
      </c>
      <c r="BC669">
        <v>24</v>
      </c>
      <c r="BD669" t="s">
        <v>74</v>
      </c>
      <c r="BE669" t="s">
        <v>12316</v>
      </c>
      <c r="BF669" t="str">
        <f>HYPERLINK("http://dx.doi.org/10.1038/embor.2012.203","http://dx.doi.org/10.1038/embor.2012.203")</f>
        <v>http://dx.doi.org/10.1038/embor.2012.203</v>
      </c>
      <c r="BG669" t="s">
        <v>74</v>
      </c>
      <c r="BH669" t="s">
        <v>74</v>
      </c>
      <c r="BI669">
        <v>8</v>
      </c>
      <c r="BJ669" t="s">
        <v>12317</v>
      </c>
      <c r="BK669" t="s">
        <v>102</v>
      </c>
      <c r="BL669" t="s">
        <v>12317</v>
      </c>
      <c r="BM669" t="s">
        <v>12318</v>
      </c>
      <c r="BN669">
        <v>23229590</v>
      </c>
      <c r="BO669" t="s">
        <v>429</v>
      </c>
      <c r="BP669" t="s">
        <v>74</v>
      </c>
      <c r="BQ669" t="s">
        <v>74</v>
      </c>
      <c r="BR669" t="s">
        <v>105</v>
      </c>
      <c r="BS669" t="s">
        <v>12319</v>
      </c>
      <c r="BT669" t="str">
        <f>HYPERLINK("https%3A%2F%2Fwww.webofscience.com%2Fwos%2Fwoscc%2Ffull-record%2FWOS:000316980300009","View Full Record in Web of Science")</f>
        <v>View Full Record in Web of Science</v>
      </c>
    </row>
    <row r="670" spans="1:72" x14ac:dyDescent="0.15">
      <c r="A670" t="s">
        <v>72</v>
      </c>
      <c r="B670" t="s">
        <v>12320</v>
      </c>
      <c r="C670" t="s">
        <v>74</v>
      </c>
      <c r="D670" t="s">
        <v>74</v>
      </c>
      <c r="E670" t="s">
        <v>74</v>
      </c>
      <c r="F670" t="s">
        <v>12321</v>
      </c>
      <c r="G670" t="s">
        <v>74</v>
      </c>
      <c r="H670" t="s">
        <v>74</v>
      </c>
      <c r="I670" t="s">
        <v>12322</v>
      </c>
      <c r="J670" t="s">
        <v>12323</v>
      </c>
      <c r="K670" t="s">
        <v>74</v>
      </c>
      <c r="L670" t="s">
        <v>74</v>
      </c>
      <c r="M670" t="s">
        <v>78</v>
      </c>
      <c r="N670" t="s">
        <v>79</v>
      </c>
      <c r="O670" t="s">
        <v>74</v>
      </c>
      <c r="P670" t="s">
        <v>74</v>
      </c>
      <c r="Q670" t="s">
        <v>74</v>
      </c>
      <c r="R670" t="s">
        <v>74</v>
      </c>
      <c r="S670" t="s">
        <v>74</v>
      </c>
      <c r="T670" t="s">
        <v>74</v>
      </c>
      <c r="U670" t="s">
        <v>12324</v>
      </c>
      <c r="V670" t="s">
        <v>12325</v>
      </c>
      <c r="W670" t="s">
        <v>74</v>
      </c>
      <c r="X670" t="s">
        <v>74</v>
      </c>
      <c r="Y670" t="s">
        <v>12326</v>
      </c>
      <c r="Z670" t="s">
        <v>12327</v>
      </c>
      <c r="AA670" t="s">
        <v>12328</v>
      </c>
      <c r="AB670" t="s">
        <v>12329</v>
      </c>
      <c r="AC670" t="s">
        <v>74</v>
      </c>
      <c r="AD670" t="s">
        <v>74</v>
      </c>
      <c r="AE670" t="s">
        <v>74</v>
      </c>
      <c r="AF670" t="s">
        <v>74</v>
      </c>
      <c r="AG670">
        <v>26</v>
      </c>
      <c r="AH670">
        <v>20</v>
      </c>
      <c r="AI670">
        <v>21</v>
      </c>
      <c r="AJ670">
        <v>0</v>
      </c>
      <c r="AK670">
        <v>9</v>
      </c>
      <c r="AL670" t="s">
        <v>4363</v>
      </c>
      <c r="AM670" t="s">
        <v>4364</v>
      </c>
      <c r="AN670" t="s">
        <v>4365</v>
      </c>
      <c r="AO670" t="s">
        <v>12330</v>
      </c>
      <c r="AP670" t="s">
        <v>12331</v>
      </c>
      <c r="AQ670" t="s">
        <v>74</v>
      </c>
      <c r="AR670" t="s">
        <v>12332</v>
      </c>
      <c r="AS670" t="s">
        <v>12333</v>
      </c>
      <c r="AT670" t="s">
        <v>74</v>
      </c>
      <c r="AU670">
        <v>2013</v>
      </c>
      <c r="AV670">
        <v>22</v>
      </c>
      <c r="AW670">
        <v>1</v>
      </c>
      <c r="AX670" t="s">
        <v>74</v>
      </c>
      <c r="AY670" t="s">
        <v>74</v>
      </c>
      <c r="AZ670" t="s">
        <v>74</v>
      </c>
      <c r="BA670" t="s">
        <v>74</v>
      </c>
      <c r="BB670">
        <v>33</v>
      </c>
      <c r="BC670">
        <v>38</v>
      </c>
      <c r="BD670" t="s">
        <v>74</v>
      </c>
      <c r="BE670" t="s">
        <v>12334</v>
      </c>
      <c r="BF670" t="str">
        <f>HYPERLINK("http://dx.doi.org/10.3354/esr00536","http://dx.doi.org/10.3354/esr00536")</f>
        <v>http://dx.doi.org/10.3354/esr00536</v>
      </c>
      <c r="BG670" t="s">
        <v>74</v>
      </c>
      <c r="BH670" t="s">
        <v>74</v>
      </c>
      <c r="BI670">
        <v>6</v>
      </c>
      <c r="BJ670" t="s">
        <v>12335</v>
      </c>
      <c r="BK670" t="s">
        <v>102</v>
      </c>
      <c r="BL670" t="s">
        <v>12336</v>
      </c>
      <c r="BM670" t="s">
        <v>12337</v>
      </c>
      <c r="BN670" t="s">
        <v>74</v>
      </c>
      <c r="BO670" t="s">
        <v>128</v>
      </c>
      <c r="BP670" t="s">
        <v>74</v>
      </c>
      <c r="BQ670" t="s">
        <v>74</v>
      </c>
      <c r="BR670" t="s">
        <v>105</v>
      </c>
      <c r="BS670" t="s">
        <v>12338</v>
      </c>
      <c r="BT670" t="str">
        <f>HYPERLINK("https%3A%2F%2Fwww.webofscience.com%2Fwos%2Fwoscc%2Ffull-record%2FWOS:000326654200004","View Full Record in Web of Science")</f>
        <v>View Full Record in Web of Science</v>
      </c>
    </row>
    <row r="671" spans="1:72" x14ac:dyDescent="0.15">
      <c r="A671" t="s">
        <v>72</v>
      </c>
      <c r="B671" t="s">
        <v>12339</v>
      </c>
      <c r="C671" t="s">
        <v>74</v>
      </c>
      <c r="D671" t="s">
        <v>74</v>
      </c>
      <c r="E671" t="s">
        <v>74</v>
      </c>
      <c r="F671" t="s">
        <v>12340</v>
      </c>
      <c r="G671" t="s">
        <v>74</v>
      </c>
      <c r="H671" t="s">
        <v>74</v>
      </c>
      <c r="I671" t="s">
        <v>12341</v>
      </c>
      <c r="J671" t="s">
        <v>12342</v>
      </c>
      <c r="K671" t="s">
        <v>74</v>
      </c>
      <c r="L671" t="s">
        <v>74</v>
      </c>
      <c r="M671" t="s">
        <v>78</v>
      </c>
      <c r="N671" t="s">
        <v>79</v>
      </c>
      <c r="O671" t="s">
        <v>74</v>
      </c>
      <c r="P671" t="s">
        <v>74</v>
      </c>
      <c r="Q671" t="s">
        <v>74</v>
      </c>
      <c r="R671" t="s">
        <v>74</v>
      </c>
      <c r="S671" t="s">
        <v>74</v>
      </c>
      <c r="T671" t="s">
        <v>74</v>
      </c>
      <c r="U671" t="s">
        <v>12343</v>
      </c>
      <c r="V671" t="s">
        <v>12344</v>
      </c>
      <c r="W671" t="s">
        <v>12345</v>
      </c>
      <c r="X671" t="s">
        <v>12346</v>
      </c>
      <c r="Y671" t="s">
        <v>12347</v>
      </c>
      <c r="Z671" t="s">
        <v>12348</v>
      </c>
      <c r="AA671" t="s">
        <v>12349</v>
      </c>
      <c r="AB671" t="s">
        <v>12350</v>
      </c>
      <c r="AC671" t="s">
        <v>3418</v>
      </c>
      <c r="AD671" t="s">
        <v>3418</v>
      </c>
      <c r="AE671" t="s">
        <v>12351</v>
      </c>
      <c r="AF671" t="s">
        <v>74</v>
      </c>
      <c r="AG671">
        <v>43</v>
      </c>
      <c r="AH671">
        <v>5</v>
      </c>
      <c r="AI671">
        <v>5</v>
      </c>
      <c r="AJ671">
        <v>0</v>
      </c>
      <c r="AK671">
        <v>38</v>
      </c>
      <c r="AL671" t="s">
        <v>5541</v>
      </c>
      <c r="AM671" t="s">
        <v>6910</v>
      </c>
      <c r="AN671" t="s">
        <v>6911</v>
      </c>
      <c r="AO671" t="s">
        <v>12352</v>
      </c>
      <c r="AP671" t="s">
        <v>12353</v>
      </c>
      <c r="AQ671" t="s">
        <v>74</v>
      </c>
      <c r="AR671" t="s">
        <v>12354</v>
      </c>
      <c r="AS671" t="s">
        <v>12355</v>
      </c>
      <c r="AT671" t="s">
        <v>74</v>
      </c>
      <c r="AU671">
        <v>2013</v>
      </c>
      <c r="AV671">
        <v>10</v>
      </c>
      <c r="AW671">
        <v>5</v>
      </c>
      <c r="AX671" t="s">
        <v>74</v>
      </c>
      <c r="AY671" t="s">
        <v>74</v>
      </c>
      <c r="AZ671" t="s">
        <v>74</v>
      </c>
      <c r="BA671" t="s">
        <v>74</v>
      </c>
      <c r="BB671">
        <v>417</v>
      </c>
      <c r="BC671">
        <v>423</v>
      </c>
      <c r="BD671" t="s">
        <v>74</v>
      </c>
      <c r="BE671" t="s">
        <v>12356</v>
      </c>
      <c r="BF671" t="str">
        <f>HYPERLINK("http://dx.doi.org/10.1071/EN12089","http://dx.doi.org/10.1071/EN12089")</f>
        <v>http://dx.doi.org/10.1071/EN12089</v>
      </c>
      <c r="BG671" t="s">
        <v>74</v>
      </c>
      <c r="BH671" t="s">
        <v>74</v>
      </c>
      <c r="BI671">
        <v>7</v>
      </c>
      <c r="BJ671" t="s">
        <v>12357</v>
      </c>
      <c r="BK671" t="s">
        <v>102</v>
      </c>
      <c r="BL671" t="s">
        <v>778</v>
      </c>
      <c r="BM671" t="s">
        <v>12358</v>
      </c>
      <c r="BN671" t="s">
        <v>74</v>
      </c>
      <c r="BO671" t="s">
        <v>74</v>
      </c>
      <c r="BP671" t="s">
        <v>74</v>
      </c>
      <c r="BQ671" t="s">
        <v>74</v>
      </c>
      <c r="BR671" t="s">
        <v>105</v>
      </c>
      <c r="BS671" t="s">
        <v>12359</v>
      </c>
      <c r="BT671" t="str">
        <f>HYPERLINK("https%3A%2F%2Fwww.webofscience.com%2Fwos%2Fwoscc%2Ffull-record%2FWOS:000330591300007","View Full Record in Web of Science")</f>
        <v>View Full Record in Web of Science</v>
      </c>
    </row>
    <row r="672" spans="1:72" x14ac:dyDescent="0.15">
      <c r="A672" t="s">
        <v>72</v>
      </c>
      <c r="B672" t="s">
        <v>12360</v>
      </c>
      <c r="C672" t="s">
        <v>74</v>
      </c>
      <c r="D672" t="s">
        <v>74</v>
      </c>
      <c r="E672" t="s">
        <v>74</v>
      </c>
      <c r="F672" t="s">
        <v>12361</v>
      </c>
      <c r="G672" t="s">
        <v>74</v>
      </c>
      <c r="H672" t="s">
        <v>74</v>
      </c>
      <c r="I672" t="s">
        <v>12362</v>
      </c>
      <c r="J672" t="s">
        <v>12363</v>
      </c>
      <c r="K672" t="s">
        <v>74</v>
      </c>
      <c r="L672" t="s">
        <v>74</v>
      </c>
      <c r="M672" t="s">
        <v>78</v>
      </c>
      <c r="N672" t="s">
        <v>79</v>
      </c>
      <c r="O672" t="s">
        <v>74</v>
      </c>
      <c r="P672" t="s">
        <v>74</v>
      </c>
      <c r="Q672" t="s">
        <v>74</v>
      </c>
      <c r="R672" t="s">
        <v>74</v>
      </c>
      <c r="S672" t="s">
        <v>74</v>
      </c>
      <c r="T672" t="s">
        <v>74</v>
      </c>
      <c r="U672" t="s">
        <v>12364</v>
      </c>
      <c r="V672" t="s">
        <v>12365</v>
      </c>
      <c r="W672" t="s">
        <v>12366</v>
      </c>
      <c r="X672" t="s">
        <v>12367</v>
      </c>
      <c r="Y672" t="s">
        <v>12368</v>
      </c>
      <c r="Z672" t="s">
        <v>12369</v>
      </c>
      <c r="AA672" t="s">
        <v>12370</v>
      </c>
      <c r="AB672" t="s">
        <v>12371</v>
      </c>
      <c r="AC672" t="s">
        <v>12372</v>
      </c>
      <c r="AD672" t="s">
        <v>12372</v>
      </c>
      <c r="AE672" t="s">
        <v>12373</v>
      </c>
      <c r="AF672" t="s">
        <v>74</v>
      </c>
      <c r="AG672">
        <v>60</v>
      </c>
      <c r="AH672">
        <v>32</v>
      </c>
      <c r="AI672">
        <v>34</v>
      </c>
      <c r="AJ672">
        <v>0</v>
      </c>
      <c r="AK672">
        <v>52</v>
      </c>
      <c r="AL672" t="s">
        <v>6321</v>
      </c>
      <c r="AM672" t="s">
        <v>2038</v>
      </c>
      <c r="AN672" t="s">
        <v>6322</v>
      </c>
      <c r="AO672" t="s">
        <v>12374</v>
      </c>
      <c r="AP672" t="s">
        <v>12375</v>
      </c>
      <c r="AQ672" t="s">
        <v>74</v>
      </c>
      <c r="AR672" t="s">
        <v>12376</v>
      </c>
      <c r="AS672" t="s">
        <v>12377</v>
      </c>
      <c r="AT672" t="s">
        <v>74</v>
      </c>
      <c r="AU672">
        <v>2013</v>
      </c>
      <c r="AV672">
        <v>15</v>
      </c>
      <c r="AW672">
        <v>12</v>
      </c>
      <c r="AX672" t="s">
        <v>74</v>
      </c>
      <c r="AY672" t="s">
        <v>74</v>
      </c>
      <c r="AZ672" t="s">
        <v>74</v>
      </c>
      <c r="BA672" t="s">
        <v>74</v>
      </c>
      <c r="BB672">
        <v>2304</v>
      </c>
      <c r="BC672">
        <v>2311</v>
      </c>
      <c r="BD672" t="s">
        <v>74</v>
      </c>
      <c r="BE672" t="s">
        <v>12378</v>
      </c>
      <c r="BF672" t="str">
        <f>HYPERLINK("http://dx.doi.org/10.1039/c3em00433c","http://dx.doi.org/10.1039/c3em00433c")</f>
        <v>http://dx.doi.org/10.1039/c3em00433c</v>
      </c>
      <c r="BG672" t="s">
        <v>74</v>
      </c>
      <c r="BH672" t="s">
        <v>74</v>
      </c>
      <c r="BI672">
        <v>8</v>
      </c>
      <c r="BJ672" t="s">
        <v>12357</v>
      </c>
      <c r="BK672" t="s">
        <v>102</v>
      </c>
      <c r="BL672" t="s">
        <v>778</v>
      </c>
      <c r="BM672" t="s">
        <v>12379</v>
      </c>
      <c r="BN672">
        <v>24158382</v>
      </c>
      <c r="BO672" t="s">
        <v>509</v>
      </c>
      <c r="BP672" t="s">
        <v>74</v>
      </c>
      <c r="BQ672" t="s">
        <v>74</v>
      </c>
      <c r="BR672" t="s">
        <v>105</v>
      </c>
      <c r="BS672" t="s">
        <v>12380</v>
      </c>
      <c r="BT672" t="str">
        <f>HYPERLINK("https%3A%2F%2Fwww.webofscience.com%2Fwos%2Fwoscc%2Ffull-record%2FWOS:000327501300016","View Full Record in Web of Science")</f>
        <v>View Full Record in Web of Science</v>
      </c>
    </row>
    <row r="673" spans="1:72" x14ac:dyDescent="0.15">
      <c r="A673" t="s">
        <v>72</v>
      </c>
      <c r="B673" t="s">
        <v>12381</v>
      </c>
      <c r="C673" t="s">
        <v>74</v>
      </c>
      <c r="D673" t="s">
        <v>74</v>
      </c>
      <c r="E673" t="s">
        <v>74</v>
      </c>
      <c r="F673" t="s">
        <v>12382</v>
      </c>
      <c r="G673" t="s">
        <v>74</v>
      </c>
      <c r="H673" t="s">
        <v>74</v>
      </c>
      <c r="I673" t="s">
        <v>12383</v>
      </c>
      <c r="J673" t="s">
        <v>12384</v>
      </c>
      <c r="K673" t="s">
        <v>74</v>
      </c>
      <c r="L673" t="s">
        <v>74</v>
      </c>
      <c r="M673" t="s">
        <v>78</v>
      </c>
      <c r="N673" t="s">
        <v>79</v>
      </c>
      <c r="O673" t="s">
        <v>74</v>
      </c>
      <c r="P673" t="s">
        <v>74</v>
      </c>
      <c r="Q673" t="s">
        <v>74</v>
      </c>
      <c r="R673" t="s">
        <v>74</v>
      </c>
      <c r="S673" t="s">
        <v>74</v>
      </c>
      <c r="T673" t="s">
        <v>12385</v>
      </c>
      <c r="U673" t="s">
        <v>12386</v>
      </c>
      <c r="V673" t="s">
        <v>12387</v>
      </c>
      <c r="W673" t="s">
        <v>12388</v>
      </c>
      <c r="X673" t="s">
        <v>367</v>
      </c>
      <c r="Y673" t="s">
        <v>12389</v>
      </c>
      <c r="Z673" t="s">
        <v>12390</v>
      </c>
      <c r="AA673" t="s">
        <v>12391</v>
      </c>
      <c r="AB673" t="s">
        <v>12392</v>
      </c>
      <c r="AC673" t="s">
        <v>12393</v>
      </c>
      <c r="AD673" t="s">
        <v>12393</v>
      </c>
      <c r="AE673" t="s">
        <v>12394</v>
      </c>
      <c r="AF673" t="s">
        <v>74</v>
      </c>
      <c r="AG673">
        <v>63</v>
      </c>
      <c r="AH673">
        <v>32</v>
      </c>
      <c r="AI673">
        <v>34</v>
      </c>
      <c r="AJ673">
        <v>1</v>
      </c>
      <c r="AK673">
        <v>75</v>
      </c>
      <c r="AL673" t="s">
        <v>500</v>
      </c>
      <c r="AM673" t="s">
        <v>296</v>
      </c>
      <c r="AN673" t="s">
        <v>501</v>
      </c>
      <c r="AO673" t="s">
        <v>12395</v>
      </c>
      <c r="AP673" t="s">
        <v>12396</v>
      </c>
      <c r="AQ673" t="s">
        <v>74</v>
      </c>
      <c r="AR673" t="s">
        <v>12397</v>
      </c>
      <c r="AS673" t="s">
        <v>12398</v>
      </c>
      <c r="AT673" t="s">
        <v>5170</v>
      </c>
      <c r="AU673">
        <v>2013</v>
      </c>
      <c r="AV673">
        <v>58</v>
      </c>
      <c r="AW673">
        <v>1</v>
      </c>
      <c r="AX673" t="s">
        <v>74</v>
      </c>
      <c r="AY673" t="s">
        <v>74</v>
      </c>
      <c r="AZ673" t="s">
        <v>74</v>
      </c>
      <c r="BA673" t="s">
        <v>74</v>
      </c>
      <c r="BB673">
        <v>299</v>
      </c>
      <c r="BC673">
        <v>310</v>
      </c>
      <c r="BD673" t="s">
        <v>74</v>
      </c>
      <c r="BE673" t="s">
        <v>12399</v>
      </c>
      <c r="BF673" t="str">
        <f>HYPERLINK("http://dx.doi.org/10.1007/s13225-012-0218-1","http://dx.doi.org/10.1007/s13225-012-0218-1")</f>
        <v>http://dx.doi.org/10.1007/s13225-012-0218-1</v>
      </c>
      <c r="BG673" t="s">
        <v>74</v>
      </c>
      <c r="BH673" t="s">
        <v>74</v>
      </c>
      <c r="BI673">
        <v>12</v>
      </c>
      <c r="BJ673" t="s">
        <v>12400</v>
      </c>
      <c r="BK673" t="s">
        <v>102</v>
      </c>
      <c r="BL673" t="s">
        <v>12400</v>
      </c>
      <c r="BM673" t="s">
        <v>12401</v>
      </c>
      <c r="BN673" t="s">
        <v>74</v>
      </c>
      <c r="BO673" t="s">
        <v>74</v>
      </c>
      <c r="BP673" t="s">
        <v>74</v>
      </c>
      <c r="BQ673" t="s">
        <v>74</v>
      </c>
      <c r="BR673" t="s">
        <v>105</v>
      </c>
      <c r="BS673" t="s">
        <v>12402</v>
      </c>
      <c r="BT673" t="str">
        <f>HYPERLINK("https%3A%2F%2Fwww.webofscience.com%2Fwos%2Fwoscc%2Ffull-record%2FWOS:000313366900019","View Full Record in Web of Science")</f>
        <v>View Full Record in Web of Science</v>
      </c>
    </row>
    <row r="674" spans="1:72" x14ac:dyDescent="0.15">
      <c r="A674" t="s">
        <v>72</v>
      </c>
      <c r="B674" t="s">
        <v>12403</v>
      </c>
      <c r="C674" t="s">
        <v>74</v>
      </c>
      <c r="D674" t="s">
        <v>74</v>
      </c>
      <c r="E674" t="s">
        <v>74</v>
      </c>
      <c r="F674" t="s">
        <v>12404</v>
      </c>
      <c r="G674" t="s">
        <v>74</v>
      </c>
      <c r="H674" t="s">
        <v>74</v>
      </c>
      <c r="I674" t="s">
        <v>12405</v>
      </c>
      <c r="J674" t="s">
        <v>12406</v>
      </c>
      <c r="K674" t="s">
        <v>74</v>
      </c>
      <c r="L674" t="s">
        <v>74</v>
      </c>
      <c r="M674" t="s">
        <v>4282</v>
      </c>
      <c r="N674" t="s">
        <v>79</v>
      </c>
      <c r="O674" t="s">
        <v>74</v>
      </c>
      <c r="P674" t="s">
        <v>74</v>
      </c>
      <c r="Q674" t="s">
        <v>74</v>
      </c>
      <c r="R674" t="s">
        <v>74</v>
      </c>
      <c r="S674" t="s">
        <v>74</v>
      </c>
      <c r="T674" t="s">
        <v>12407</v>
      </c>
      <c r="U674" t="s">
        <v>12408</v>
      </c>
      <c r="V674" t="s">
        <v>12409</v>
      </c>
      <c r="W674" t="s">
        <v>12410</v>
      </c>
      <c r="X674" t="s">
        <v>12411</v>
      </c>
      <c r="Y674" t="s">
        <v>12412</v>
      </c>
      <c r="Z674" t="s">
        <v>12413</v>
      </c>
      <c r="AA674" t="s">
        <v>12414</v>
      </c>
      <c r="AB674" t="s">
        <v>12415</v>
      </c>
      <c r="AC674" t="s">
        <v>74</v>
      </c>
      <c r="AD674" t="s">
        <v>74</v>
      </c>
      <c r="AE674" t="s">
        <v>74</v>
      </c>
      <c r="AF674" t="s">
        <v>74</v>
      </c>
      <c r="AG674">
        <v>27</v>
      </c>
      <c r="AH674">
        <v>11</v>
      </c>
      <c r="AI674">
        <v>16</v>
      </c>
      <c r="AJ674">
        <v>0</v>
      </c>
      <c r="AK674">
        <v>11</v>
      </c>
      <c r="AL674" t="s">
        <v>4292</v>
      </c>
      <c r="AM674" t="s">
        <v>4293</v>
      </c>
      <c r="AN674" t="s">
        <v>4294</v>
      </c>
      <c r="AO674" t="s">
        <v>12416</v>
      </c>
      <c r="AP674" t="s">
        <v>74</v>
      </c>
      <c r="AQ674" t="s">
        <v>74</v>
      </c>
      <c r="AR674" t="s">
        <v>12417</v>
      </c>
      <c r="AS674" t="s">
        <v>12418</v>
      </c>
      <c r="AT674" t="s">
        <v>74</v>
      </c>
      <c r="AU674">
        <v>2013</v>
      </c>
      <c r="AV674">
        <v>70</v>
      </c>
      <c r="AW674">
        <v>2</v>
      </c>
      <c r="AX674" t="s">
        <v>74</v>
      </c>
      <c r="AY674" t="s">
        <v>74</v>
      </c>
      <c r="AZ674" t="s">
        <v>74</v>
      </c>
      <c r="BA674" t="s">
        <v>74</v>
      </c>
      <c r="BB674">
        <v>337</v>
      </c>
      <c r="BC674">
        <v>343</v>
      </c>
      <c r="BD674" t="s">
        <v>74</v>
      </c>
      <c r="BE674" t="s">
        <v>74</v>
      </c>
      <c r="BF674" t="s">
        <v>74</v>
      </c>
      <c r="BG674" t="s">
        <v>74</v>
      </c>
      <c r="BH674" t="s">
        <v>74</v>
      </c>
      <c r="BI674">
        <v>7</v>
      </c>
      <c r="BJ674" t="s">
        <v>427</v>
      </c>
      <c r="BK674" t="s">
        <v>102</v>
      </c>
      <c r="BL674" t="s">
        <v>427</v>
      </c>
      <c r="BM674" t="s">
        <v>12419</v>
      </c>
      <c r="BN674" t="s">
        <v>74</v>
      </c>
      <c r="BO674" t="s">
        <v>74</v>
      </c>
      <c r="BP674" t="s">
        <v>74</v>
      </c>
      <c r="BQ674" t="s">
        <v>74</v>
      </c>
      <c r="BR674" t="s">
        <v>105</v>
      </c>
      <c r="BS674" t="s">
        <v>12420</v>
      </c>
      <c r="BT674" t="str">
        <f>HYPERLINK("https%3A%2F%2Fwww.webofscience.com%2Fwos%2Fwoscc%2Ffull-record%2FWOS:000329378300011","View Full Record in Web of Science")</f>
        <v>View Full Record in Web of Science</v>
      </c>
    </row>
    <row r="675" spans="1:72" x14ac:dyDescent="0.15">
      <c r="A675" t="s">
        <v>3224</v>
      </c>
      <c r="B675" t="s">
        <v>12421</v>
      </c>
      <c r="C675" t="s">
        <v>74</v>
      </c>
      <c r="D675" t="s">
        <v>74</v>
      </c>
      <c r="E675" t="s">
        <v>12422</v>
      </c>
      <c r="F675" t="s">
        <v>12423</v>
      </c>
      <c r="G675" t="s">
        <v>74</v>
      </c>
      <c r="H675" t="s">
        <v>74</v>
      </c>
      <c r="I675" t="s">
        <v>12424</v>
      </c>
      <c r="J675" t="s">
        <v>12425</v>
      </c>
      <c r="K675" t="s">
        <v>12426</v>
      </c>
      <c r="L675" t="s">
        <v>74</v>
      </c>
      <c r="M675" t="s">
        <v>78</v>
      </c>
      <c r="N675" t="s">
        <v>3231</v>
      </c>
      <c r="O675" t="s">
        <v>12427</v>
      </c>
      <c r="P675" t="s">
        <v>12428</v>
      </c>
      <c r="Q675" t="s">
        <v>12429</v>
      </c>
      <c r="R675" t="s">
        <v>74</v>
      </c>
      <c r="S675" t="s">
        <v>74</v>
      </c>
      <c r="T675" t="s">
        <v>12430</v>
      </c>
      <c r="U675" t="s">
        <v>12431</v>
      </c>
      <c r="V675" t="s">
        <v>12432</v>
      </c>
      <c r="W675" t="s">
        <v>12433</v>
      </c>
      <c r="X675" t="s">
        <v>12434</v>
      </c>
      <c r="Y675" t="s">
        <v>12435</v>
      </c>
      <c r="Z675" t="s">
        <v>74</v>
      </c>
      <c r="AA675" t="s">
        <v>12436</v>
      </c>
      <c r="AB675" t="s">
        <v>12437</v>
      </c>
      <c r="AC675" t="s">
        <v>74</v>
      </c>
      <c r="AD675" t="s">
        <v>74</v>
      </c>
      <c r="AE675" t="s">
        <v>74</v>
      </c>
      <c r="AF675" t="s">
        <v>74</v>
      </c>
      <c r="AG675">
        <v>21</v>
      </c>
      <c r="AH675">
        <v>1</v>
      </c>
      <c r="AI675">
        <v>1</v>
      </c>
      <c r="AJ675">
        <v>0</v>
      </c>
      <c r="AK675">
        <v>6</v>
      </c>
      <c r="AL675" t="s">
        <v>12438</v>
      </c>
      <c r="AM675" t="s">
        <v>4076</v>
      </c>
      <c r="AN675" t="s">
        <v>12439</v>
      </c>
      <c r="AO675" t="s">
        <v>12440</v>
      </c>
      <c r="AP675" t="s">
        <v>74</v>
      </c>
      <c r="AQ675" t="s">
        <v>12441</v>
      </c>
      <c r="AR675" t="s">
        <v>12442</v>
      </c>
      <c r="AS675" t="s">
        <v>74</v>
      </c>
      <c r="AT675" t="s">
        <v>74</v>
      </c>
      <c r="AU675">
        <v>2013</v>
      </c>
      <c r="AV675" t="s">
        <v>74</v>
      </c>
      <c r="AW675" t="s">
        <v>74</v>
      </c>
      <c r="AX675" t="s">
        <v>74</v>
      </c>
      <c r="AY675" t="s">
        <v>74</v>
      </c>
      <c r="AZ675" t="s">
        <v>74</v>
      </c>
      <c r="BA675" t="s">
        <v>74</v>
      </c>
      <c r="BB675">
        <v>95</v>
      </c>
      <c r="BC675">
        <v>100</v>
      </c>
      <c r="BD675" t="s">
        <v>74</v>
      </c>
      <c r="BE675" t="s">
        <v>74</v>
      </c>
      <c r="BF675" t="s">
        <v>74</v>
      </c>
      <c r="BG675" t="s">
        <v>74</v>
      </c>
      <c r="BH675" t="s">
        <v>74</v>
      </c>
      <c r="BI675">
        <v>6</v>
      </c>
      <c r="BJ675" t="s">
        <v>12443</v>
      </c>
      <c r="BK675" t="s">
        <v>3247</v>
      </c>
      <c r="BL675" t="s">
        <v>4836</v>
      </c>
      <c r="BM675" t="s">
        <v>12444</v>
      </c>
      <c r="BN675" t="s">
        <v>74</v>
      </c>
      <c r="BO675" t="s">
        <v>74</v>
      </c>
      <c r="BP675" t="s">
        <v>74</v>
      </c>
      <c r="BQ675" t="s">
        <v>74</v>
      </c>
      <c r="BR675" t="s">
        <v>105</v>
      </c>
      <c r="BS675" t="s">
        <v>12445</v>
      </c>
      <c r="BT675" t="str">
        <f>HYPERLINK("https%3A%2F%2Fwww.webofscience.com%2Fwos%2Fwoscc%2Ffull-record%2FWOS:000349062300013","View Full Record in Web of Science")</f>
        <v>View Full Record in Web of Science</v>
      </c>
    </row>
    <row r="676" spans="1:72" x14ac:dyDescent="0.15">
      <c r="A676" t="s">
        <v>72</v>
      </c>
      <c r="B676" t="s">
        <v>12446</v>
      </c>
      <c r="C676" t="s">
        <v>74</v>
      </c>
      <c r="D676" t="s">
        <v>74</v>
      </c>
      <c r="E676" t="s">
        <v>74</v>
      </c>
      <c r="F676" t="s">
        <v>12447</v>
      </c>
      <c r="G676" t="s">
        <v>74</v>
      </c>
      <c r="H676" t="s">
        <v>74</v>
      </c>
      <c r="I676" t="s">
        <v>12448</v>
      </c>
      <c r="J676" t="s">
        <v>1702</v>
      </c>
      <c r="K676" t="s">
        <v>74</v>
      </c>
      <c r="L676" t="s">
        <v>74</v>
      </c>
      <c r="M676" t="s">
        <v>78</v>
      </c>
      <c r="N676" t="s">
        <v>79</v>
      </c>
      <c r="O676" t="s">
        <v>74</v>
      </c>
      <c r="P676" t="s">
        <v>74</v>
      </c>
      <c r="Q676" t="s">
        <v>74</v>
      </c>
      <c r="R676" t="s">
        <v>74</v>
      </c>
      <c r="S676" t="s">
        <v>74</v>
      </c>
      <c r="T676" t="s">
        <v>12449</v>
      </c>
      <c r="U676" t="s">
        <v>74</v>
      </c>
      <c r="V676" t="s">
        <v>12450</v>
      </c>
      <c r="W676" t="s">
        <v>12451</v>
      </c>
      <c r="X676" t="s">
        <v>12452</v>
      </c>
      <c r="Y676" t="s">
        <v>12453</v>
      </c>
      <c r="Z676" t="s">
        <v>12454</v>
      </c>
      <c r="AA676" t="s">
        <v>12455</v>
      </c>
      <c r="AB676" t="s">
        <v>74</v>
      </c>
      <c r="AC676" t="s">
        <v>12456</v>
      </c>
      <c r="AD676" t="s">
        <v>12457</v>
      </c>
      <c r="AE676" t="s">
        <v>12458</v>
      </c>
      <c r="AF676" t="s">
        <v>74</v>
      </c>
      <c r="AG676">
        <v>10</v>
      </c>
      <c r="AH676">
        <v>3</v>
      </c>
      <c r="AI676">
        <v>3</v>
      </c>
      <c r="AJ676">
        <v>1</v>
      </c>
      <c r="AK676">
        <v>1</v>
      </c>
      <c r="AL676" t="s">
        <v>321</v>
      </c>
      <c r="AM676" t="s">
        <v>322</v>
      </c>
      <c r="AN676" t="s">
        <v>1712</v>
      </c>
      <c r="AO676" t="s">
        <v>1713</v>
      </c>
      <c r="AP676" t="s">
        <v>74</v>
      </c>
      <c r="AQ676" t="s">
        <v>74</v>
      </c>
      <c r="AR676" t="s">
        <v>1714</v>
      </c>
      <c r="AS676" t="s">
        <v>1715</v>
      </c>
      <c r="AT676" t="s">
        <v>74</v>
      </c>
      <c r="AU676">
        <v>2013</v>
      </c>
      <c r="AV676">
        <v>4</v>
      </c>
      <c r="AW676">
        <v>4</v>
      </c>
      <c r="AX676" t="s">
        <v>74</v>
      </c>
      <c r="AY676" t="s">
        <v>74</v>
      </c>
      <c r="AZ676" t="s">
        <v>74</v>
      </c>
      <c r="BA676" t="s">
        <v>74</v>
      </c>
      <c r="BB676">
        <v>33</v>
      </c>
      <c r="BC676">
        <v>40</v>
      </c>
      <c r="BD676" t="s">
        <v>74</v>
      </c>
      <c r="BE676" t="s">
        <v>12459</v>
      </c>
      <c r="BF676" t="str">
        <f>HYPERLINK("http://dx.doi.org/10.3724/SP.J.1246.2013.04040","http://dx.doi.org/10.3724/SP.J.1246.2013.04040")</f>
        <v>http://dx.doi.org/10.3724/SP.J.1246.2013.04040</v>
      </c>
      <c r="BG676" t="s">
        <v>74</v>
      </c>
      <c r="BH676" t="s">
        <v>74</v>
      </c>
      <c r="BI676">
        <v>8</v>
      </c>
      <c r="BJ676" t="s">
        <v>263</v>
      </c>
      <c r="BK676" t="s">
        <v>1717</v>
      </c>
      <c r="BL676" t="s">
        <v>263</v>
      </c>
      <c r="BM676" t="s">
        <v>12460</v>
      </c>
      <c r="BN676" t="s">
        <v>74</v>
      </c>
      <c r="BO676" t="s">
        <v>1719</v>
      </c>
      <c r="BP676" t="s">
        <v>74</v>
      </c>
      <c r="BQ676" t="s">
        <v>74</v>
      </c>
      <c r="BR676" t="s">
        <v>105</v>
      </c>
      <c r="BS676" t="s">
        <v>12461</v>
      </c>
      <c r="BT676" t="str">
        <f>HYPERLINK("https%3A%2F%2Fwww.webofscience.com%2Fwos%2Fwoscc%2Ffull-record%2FWOS:000420962500005","View Full Record in Web of Science")</f>
        <v>View Full Record in Web of Science</v>
      </c>
    </row>
    <row r="677" spans="1:72" x14ac:dyDescent="0.15">
      <c r="A677" t="s">
        <v>72</v>
      </c>
      <c r="B677" t="s">
        <v>12462</v>
      </c>
      <c r="C677" t="s">
        <v>74</v>
      </c>
      <c r="D677" t="s">
        <v>74</v>
      </c>
      <c r="E677" t="s">
        <v>74</v>
      </c>
      <c r="F677" t="s">
        <v>12463</v>
      </c>
      <c r="G677" t="s">
        <v>74</v>
      </c>
      <c r="H677" t="s">
        <v>74</v>
      </c>
      <c r="I677" t="s">
        <v>12464</v>
      </c>
      <c r="J677" t="s">
        <v>12465</v>
      </c>
      <c r="K677" t="s">
        <v>74</v>
      </c>
      <c r="L677" t="s">
        <v>74</v>
      </c>
      <c r="M677" t="s">
        <v>12466</v>
      </c>
      <c r="N677" t="s">
        <v>79</v>
      </c>
      <c r="O677" t="s">
        <v>74</v>
      </c>
      <c r="P677" t="s">
        <v>74</v>
      </c>
      <c r="Q677" t="s">
        <v>74</v>
      </c>
      <c r="R677" t="s">
        <v>74</v>
      </c>
      <c r="S677" t="s">
        <v>74</v>
      </c>
      <c r="T677" t="s">
        <v>12467</v>
      </c>
      <c r="U677" t="s">
        <v>74</v>
      </c>
      <c r="V677" t="s">
        <v>12468</v>
      </c>
      <c r="W677" t="s">
        <v>12469</v>
      </c>
      <c r="X677" t="s">
        <v>74</v>
      </c>
      <c r="Y677" t="s">
        <v>12470</v>
      </c>
      <c r="Z677" t="s">
        <v>12471</v>
      </c>
      <c r="AA677" t="s">
        <v>74</v>
      </c>
      <c r="AB677" t="s">
        <v>74</v>
      </c>
      <c r="AC677" t="s">
        <v>74</v>
      </c>
      <c r="AD677" t="s">
        <v>74</v>
      </c>
      <c r="AE677" t="s">
        <v>74</v>
      </c>
      <c r="AF677" t="s">
        <v>74</v>
      </c>
      <c r="AG677">
        <v>17</v>
      </c>
      <c r="AH677">
        <v>4</v>
      </c>
      <c r="AI677">
        <v>4</v>
      </c>
      <c r="AJ677">
        <v>0</v>
      </c>
      <c r="AK677">
        <v>0</v>
      </c>
      <c r="AL677" t="s">
        <v>12472</v>
      </c>
      <c r="AM677" t="s">
        <v>12473</v>
      </c>
      <c r="AN677" t="s">
        <v>12474</v>
      </c>
      <c r="AO677" t="s">
        <v>12475</v>
      </c>
      <c r="AP677" t="s">
        <v>74</v>
      </c>
      <c r="AQ677" t="s">
        <v>74</v>
      </c>
      <c r="AR677" t="s">
        <v>12476</v>
      </c>
      <c r="AS677" t="s">
        <v>12477</v>
      </c>
      <c r="AT677" t="s">
        <v>74</v>
      </c>
      <c r="AU677">
        <v>2013</v>
      </c>
      <c r="AV677">
        <v>4</v>
      </c>
      <c r="AW677">
        <v>2</v>
      </c>
      <c r="AX677" t="s">
        <v>74</v>
      </c>
      <c r="AY677" t="s">
        <v>74</v>
      </c>
      <c r="AZ677" t="s">
        <v>74</v>
      </c>
      <c r="BA677" t="s">
        <v>74</v>
      </c>
      <c r="BB677">
        <v>187</v>
      </c>
      <c r="BC677">
        <v>195</v>
      </c>
      <c r="BD677" t="s">
        <v>74</v>
      </c>
      <c r="BE677" t="s">
        <v>12478</v>
      </c>
      <c r="BF677" t="str">
        <f>HYPERLINK("http://dx.doi.org/10.5800/GT-2013-4-2-0097","http://dx.doi.org/10.5800/GT-2013-4-2-0097")</f>
        <v>http://dx.doi.org/10.5800/GT-2013-4-2-0097</v>
      </c>
      <c r="BG677" t="s">
        <v>74</v>
      </c>
      <c r="BH677" t="s">
        <v>74</v>
      </c>
      <c r="BI677">
        <v>9</v>
      </c>
      <c r="BJ677" t="s">
        <v>263</v>
      </c>
      <c r="BK677" t="s">
        <v>1717</v>
      </c>
      <c r="BL677" t="s">
        <v>263</v>
      </c>
      <c r="BM677" t="s">
        <v>12479</v>
      </c>
      <c r="BN677" t="s">
        <v>74</v>
      </c>
      <c r="BO677" t="s">
        <v>1719</v>
      </c>
      <c r="BP677" t="s">
        <v>74</v>
      </c>
      <c r="BQ677" t="s">
        <v>74</v>
      </c>
      <c r="BR677" t="s">
        <v>105</v>
      </c>
      <c r="BS677" t="s">
        <v>12480</v>
      </c>
      <c r="BT677" t="str">
        <f>HYPERLINK("https%3A%2F%2Fwww.webofscience.com%2Fwos%2Fwoscc%2Ffull-record%2FWOS:000409710700005","View Full Record in Web of Science")</f>
        <v>View Full Record in Web of Science</v>
      </c>
    </row>
    <row r="678" spans="1:72" x14ac:dyDescent="0.15">
      <c r="A678" t="s">
        <v>72</v>
      </c>
      <c r="B678" t="s">
        <v>12481</v>
      </c>
      <c r="C678" t="s">
        <v>74</v>
      </c>
      <c r="D678" t="s">
        <v>74</v>
      </c>
      <c r="E678" t="s">
        <v>74</v>
      </c>
      <c r="F678" t="s">
        <v>12482</v>
      </c>
      <c r="G678" t="s">
        <v>74</v>
      </c>
      <c r="H678" t="s">
        <v>74</v>
      </c>
      <c r="I678" t="s">
        <v>12483</v>
      </c>
      <c r="J678" t="s">
        <v>12484</v>
      </c>
      <c r="K678" t="s">
        <v>74</v>
      </c>
      <c r="L678" t="s">
        <v>74</v>
      </c>
      <c r="M678" t="s">
        <v>12466</v>
      </c>
      <c r="N678" t="s">
        <v>79</v>
      </c>
      <c r="O678" t="s">
        <v>74</v>
      </c>
      <c r="P678" t="s">
        <v>74</v>
      </c>
      <c r="Q678" t="s">
        <v>74</v>
      </c>
      <c r="R678" t="s">
        <v>74</v>
      </c>
      <c r="S678" t="s">
        <v>74</v>
      </c>
      <c r="T678" t="s">
        <v>74</v>
      </c>
      <c r="U678" t="s">
        <v>74</v>
      </c>
      <c r="V678" t="s">
        <v>12485</v>
      </c>
      <c r="W678" t="s">
        <v>12486</v>
      </c>
      <c r="X678" t="s">
        <v>12487</v>
      </c>
      <c r="Y678" t="s">
        <v>12488</v>
      </c>
      <c r="Z678" t="s">
        <v>74</v>
      </c>
      <c r="AA678" t="s">
        <v>12489</v>
      </c>
      <c r="AB678" t="s">
        <v>12490</v>
      </c>
      <c r="AC678" t="s">
        <v>74</v>
      </c>
      <c r="AD678" t="s">
        <v>74</v>
      </c>
      <c r="AE678" t="s">
        <v>74</v>
      </c>
      <c r="AF678" t="s">
        <v>74</v>
      </c>
      <c r="AG678">
        <v>8</v>
      </c>
      <c r="AH678">
        <v>8</v>
      </c>
      <c r="AI678">
        <v>8</v>
      </c>
      <c r="AJ678">
        <v>0</v>
      </c>
      <c r="AK678">
        <v>0</v>
      </c>
      <c r="AL678" t="s">
        <v>12491</v>
      </c>
      <c r="AM678" t="s">
        <v>12492</v>
      </c>
      <c r="AN678" t="s">
        <v>12493</v>
      </c>
      <c r="AO678" t="s">
        <v>12494</v>
      </c>
      <c r="AP678" t="s">
        <v>12495</v>
      </c>
      <c r="AQ678" t="s">
        <v>74</v>
      </c>
      <c r="AR678" t="s">
        <v>12496</v>
      </c>
      <c r="AS678" t="s">
        <v>12497</v>
      </c>
      <c r="AT678" t="s">
        <v>74</v>
      </c>
      <c r="AU678">
        <v>2013</v>
      </c>
      <c r="AV678">
        <v>35</v>
      </c>
      <c r="AW678">
        <v>3</v>
      </c>
      <c r="AX678" t="s">
        <v>74</v>
      </c>
      <c r="AY678" t="s">
        <v>74</v>
      </c>
      <c r="AZ678" t="s">
        <v>74</v>
      </c>
      <c r="BA678" t="s">
        <v>74</v>
      </c>
      <c r="BB678">
        <v>3</v>
      </c>
      <c r="BC678">
        <v>30</v>
      </c>
      <c r="BD678" t="s">
        <v>74</v>
      </c>
      <c r="BE678" t="s">
        <v>74</v>
      </c>
      <c r="BF678" t="s">
        <v>74</v>
      </c>
      <c r="BG678" t="s">
        <v>74</v>
      </c>
      <c r="BH678" t="s">
        <v>74</v>
      </c>
      <c r="BI678">
        <v>28</v>
      </c>
      <c r="BJ678" t="s">
        <v>263</v>
      </c>
      <c r="BK678" t="s">
        <v>1717</v>
      </c>
      <c r="BL678" t="s">
        <v>263</v>
      </c>
      <c r="BM678" t="s">
        <v>12498</v>
      </c>
      <c r="BN678" t="s">
        <v>74</v>
      </c>
      <c r="BO678" t="s">
        <v>74</v>
      </c>
      <c r="BP678" t="s">
        <v>74</v>
      </c>
      <c r="BQ678" t="s">
        <v>74</v>
      </c>
      <c r="BR678" t="s">
        <v>105</v>
      </c>
      <c r="BS678" t="s">
        <v>12499</v>
      </c>
      <c r="BT678" t="str">
        <f>HYPERLINK("https%3A%2F%2Fwww.webofscience.com%2Fwos%2Fwoscc%2Ffull-record%2FWOS:000439632100001","View Full Record in Web of Science")</f>
        <v>View Full Record in Web of Science</v>
      </c>
    </row>
    <row r="679" spans="1:72" x14ac:dyDescent="0.15">
      <c r="A679" t="s">
        <v>72</v>
      </c>
      <c r="B679" t="s">
        <v>12500</v>
      </c>
      <c r="C679" t="s">
        <v>74</v>
      </c>
      <c r="D679" t="s">
        <v>74</v>
      </c>
      <c r="E679" t="s">
        <v>74</v>
      </c>
      <c r="F679" t="s">
        <v>12501</v>
      </c>
      <c r="G679" t="s">
        <v>74</v>
      </c>
      <c r="H679" t="s">
        <v>74</v>
      </c>
      <c r="I679" t="s">
        <v>12502</v>
      </c>
      <c r="J679" t="s">
        <v>12484</v>
      </c>
      <c r="K679" t="s">
        <v>74</v>
      </c>
      <c r="L679" t="s">
        <v>74</v>
      </c>
      <c r="M679" t="s">
        <v>12466</v>
      </c>
      <c r="N679" t="s">
        <v>79</v>
      </c>
      <c r="O679" t="s">
        <v>74</v>
      </c>
      <c r="P679" t="s">
        <v>74</v>
      </c>
      <c r="Q679" t="s">
        <v>74</v>
      </c>
      <c r="R679" t="s">
        <v>74</v>
      </c>
      <c r="S679" t="s">
        <v>74</v>
      </c>
      <c r="T679" t="s">
        <v>74</v>
      </c>
      <c r="U679" t="s">
        <v>12503</v>
      </c>
      <c r="V679" t="s">
        <v>12504</v>
      </c>
      <c r="W679" t="s">
        <v>12505</v>
      </c>
      <c r="X679" t="s">
        <v>12506</v>
      </c>
      <c r="Y679" t="s">
        <v>12507</v>
      </c>
      <c r="Z679" t="s">
        <v>74</v>
      </c>
      <c r="AA679" t="s">
        <v>12508</v>
      </c>
      <c r="AB679" t="s">
        <v>12509</v>
      </c>
      <c r="AC679" t="s">
        <v>74</v>
      </c>
      <c r="AD679" t="s">
        <v>74</v>
      </c>
      <c r="AE679" t="s">
        <v>74</v>
      </c>
      <c r="AF679" t="s">
        <v>74</v>
      </c>
      <c r="AG679">
        <v>1147</v>
      </c>
      <c r="AH679">
        <v>0</v>
      </c>
      <c r="AI679">
        <v>0</v>
      </c>
      <c r="AJ679">
        <v>0</v>
      </c>
      <c r="AK679">
        <v>0</v>
      </c>
      <c r="AL679" t="s">
        <v>12491</v>
      </c>
      <c r="AM679" t="s">
        <v>12492</v>
      </c>
      <c r="AN679" t="s">
        <v>12493</v>
      </c>
      <c r="AO679" t="s">
        <v>12494</v>
      </c>
      <c r="AP679" t="s">
        <v>12495</v>
      </c>
      <c r="AQ679" t="s">
        <v>74</v>
      </c>
      <c r="AR679" t="s">
        <v>12496</v>
      </c>
      <c r="AS679" t="s">
        <v>12497</v>
      </c>
      <c r="AT679" t="s">
        <v>74</v>
      </c>
      <c r="AU679">
        <v>2013</v>
      </c>
      <c r="AV679">
        <v>35</v>
      </c>
      <c r="AW679">
        <v>5</v>
      </c>
      <c r="AX679" t="s">
        <v>74</v>
      </c>
      <c r="AY679" t="s">
        <v>74</v>
      </c>
      <c r="AZ679" t="s">
        <v>74</v>
      </c>
      <c r="BA679" t="s">
        <v>74</v>
      </c>
      <c r="BB679">
        <v>3</v>
      </c>
      <c r="BC679">
        <v>128</v>
      </c>
      <c r="BD679" t="s">
        <v>74</v>
      </c>
      <c r="BE679" t="s">
        <v>74</v>
      </c>
      <c r="BF679" t="s">
        <v>74</v>
      </c>
      <c r="BG679" t="s">
        <v>74</v>
      </c>
      <c r="BH679" t="s">
        <v>74</v>
      </c>
      <c r="BI679">
        <v>126</v>
      </c>
      <c r="BJ679" t="s">
        <v>263</v>
      </c>
      <c r="BK679" t="s">
        <v>1717</v>
      </c>
      <c r="BL679" t="s">
        <v>263</v>
      </c>
      <c r="BM679" t="s">
        <v>12510</v>
      </c>
      <c r="BN679" t="s">
        <v>74</v>
      </c>
      <c r="BO679" t="s">
        <v>74</v>
      </c>
      <c r="BP679" t="s">
        <v>74</v>
      </c>
      <c r="BQ679" t="s">
        <v>74</v>
      </c>
      <c r="BR679" t="s">
        <v>105</v>
      </c>
      <c r="BS679" t="s">
        <v>12511</v>
      </c>
      <c r="BT679" t="str">
        <f>HYPERLINK("https%3A%2F%2Fwww.webofscience.com%2Fwos%2Fwoscc%2Ffull-record%2FWOS:000439634300001","View Full Record in Web of Science")</f>
        <v>View Full Record in Web of Science</v>
      </c>
    </row>
    <row r="680" spans="1:72" x14ac:dyDescent="0.15">
      <c r="A680" t="s">
        <v>72</v>
      </c>
      <c r="B680" t="s">
        <v>12512</v>
      </c>
      <c r="C680" t="s">
        <v>74</v>
      </c>
      <c r="D680" t="s">
        <v>74</v>
      </c>
      <c r="E680" t="s">
        <v>74</v>
      </c>
      <c r="F680" t="s">
        <v>12513</v>
      </c>
      <c r="G680" t="s">
        <v>74</v>
      </c>
      <c r="H680" t="s">
        <v>74</v>
      </c>
      <c r="I680" t="s">
        <v>12514</v>
      </c>
      <c r="J680" t="s">
        <v>1724</v>
      </c>
      <c r="K680" t="s">
        <v>74</v>
      </c>
      <c r="L680" t="s">
        <v>74</v>
      </c>
      <c r="M680" t="s">
        <v>78</v>
      </c>
      <c r="N680" t="s">
        <v>79</v>
      </c>
      <c r="O680" t="s">
        <v>74</v>
      </c>
      <c r="P680" t="s">
        <v>74</v>
      </c>
      <c r="Q680" t="s">
        <v>74</v>
      </c>
      <c r="R680" t="s">
        <v>74</v>
      </c>
      <c r="S680" t="s">
        <v>74</v>
      </c>
      <c r="T680" t="s">
        <v>74</v>
      </c>
      <c r="U680" t="s">
        <v>12515</v>
      </c>
      <c r="V680" t="s">
        <v>12516</v>
      </c>
      <c r="W680" t="s">
        <v>12517</v>
      </c>
      <c r="X680" t="s">
        <v>12518</v>
      </c>
      <c r="Y680" t="s">
        <v>12519</v>
      </c>
      <c r="Z680" t="s">
        <v>12520</v>
      </c>
      <c r="AA680" t="s">
        <v>12521</v>
      </c>
      <c r="AB680" t="s">
        <v>12522</v>
      </c>
      <c r="AC680" t="s">
        <v>12523</v>
      </c>
      <c r="AD680" t="s">
        <v>12524</v>
      </c>
      <c r="AE680" t="s">
        <v>12525</v>
      </c>
      <c r="AF680" t="s">
        <v>74</v>
      </c>
      <c r="AG680">
        <v>29</v>
      </c>
      <c r="AH680">
        <v>65</v>
      </c>
      <c r="AI680">
        <v>68</v>
      </c>
      <c r="AJ680">
        <v>1</v>
      </c>
      <c r="AK680">
        <v>70</v>
      </c>
      <c r="AL680" t="s">
        <v>1735</v>
      </c>
      <c r="AM680" t="s">
        <v>1321</v>
      </c>
      <c r="AN680" t="s">
        <v>1736</v>
      </c>
      <c r="AO680" t="s">
        <v>1737</v>
      </c>
      <c r="AP680" t="s">
        <v>1738</v>
      </c>
      <c r="AQ680" t="s">
        <v>74</v>
      </c>
      <c r="AR680" t="s">
        <v>1724</v>
      </c>
      <c r="AS680" t="s">
        <v>1605</v>
      </c>
      <c r="AT680" t="s">
        <v>5170</v>
      </c>
      <c r="AU680">
        <v>2013</v>
      </c>
      <c r="AV680">
        <v>41</v>
      </c>
      <c r="AW680">
        <v>1</v>
      </c>
      <c r="AX680" t="s">
        <v>74</v>
      </c>
      <c r="AY680" t="s">
        <v>74</v>
      </c>
      <c r="AZ680" t="s">
        <v>74</v>
      </c>
      <c r="BA680" t="s">
        <v>74</v>
      </c>
      <c r="BB680">
        <v>35</v>
      </c>
      <c r="BC680">
        <v>38</v>
      </c>
      <c r="BD680" t="s">
        <v>74</v>
      </c>
      <c r="BE680" t="s">
        <v>12526</v>
      </c>
      <c r="BF680" t="str">
        <f>HYPERLINK("http://dx.doi.org/10.1130/G33469.1","http://dx.doi.org/10.1130/G33469.1")</f>
        <v>http://dx.doi.org/10.1130/G33469.1</v>
      </c>
      <c r="BG680" t="s">
        <v>74</v>
      </c>
      <c r="BH680" t="s">
        <v>74</v>
      </c>
      <c r="BI680">
        <v>4</v>
      </c>
      <c r="BJ680" t="s">
        <v>1605</v>
      </c>
      <c r="BK680" t="s">
        <v>102</v>
      </c>
      <c r="BL680" t="s">
        <v>1605</v>
      </c>
      <c r="BM680" t="s">
        <v>12527</v>
      </c>
      <c r="BN680" t="s">
        <v>74</v>
      </c>
      <c r="BO680" t="s">
        <v>74</v>
      </c>
      <c r="BP680" t="s">
        <v>74</v>
      </c>
      <c r="BQ680" t="s">
        <v>74</v>
      </c>
      <c r="BR680" t="s">
        <v>105</v>
      </c>
      <c r="BS680" t="s">
        <v>12528</v>
      </c>
      <c r="BT680" t="str">
        <f>HYPERLINK("https%3A%2F%2Fwww.webofscience.com%2Fwos%2Fwoscc%2Ffull-record%2FWOS:000313026200009","View Full Record in Web of Science")</f>
        <v>View Full Record in Web of Science</v>
      </c>
    </row>
    <row r="681" spans="1:72" x14ac:dyDescent="0.15">
      <c r="A681" t="s">
        <v>72</v>
      </c>
      <c r="B681" t="s">
        <v>12529</v>
      </c>
      <c r="C681" t="s">
        <v>74</v>
      </c>
      <c r="D681" t="s">
        <v>74</v>
      </c>
      <c r="E681" t="s">
        <v>74</v>
      </c>
      <c r="F681" t="s">
        <v>12530</v>
      </c>
      <c r="G681" t="s">
        <v>74</v>
      </c>
      <c r="H681" t="s">
        <v>74</v>
      </c>
      <c r="I681" t="s">
        <v>12531</v>
      </c>
      <c r="J681" t="s">
        <v>12532</v>
      </c>
      <c r="K681" t="s">
        <v>74</v>
      </c>
      <c r="L681" t="s">
        <v>74</v>
      </c>
      <c r="M681" t="s">
        <v>78</v>
      </c>
      <c r="N681" t="s">
        <v>79</v>
      </c>
      <c r="O681" t="s">
        <v>74</v>
      </c>
      <c r="P681" t="s">
        <v>74</v>
      </c>
      <c r="Q681" t="s">
        <v>74</v>
      </c>
      <c r="R681" t="s">
        <v>74</v>
      </c>
      <c r="S681" t="s">
        <v>74</v>
      </c>
      <c r="T681" t="s">
        <v>74</v>
      </c>
      <c r="U681" t="s">
        <v>12533</v>
      </c>
      <c r="V681" t="s">
        <v>12534</v>
      </c>
      <c r="W681" t="s">
        <v>12535</v>
      </c>
      <c r="X681" t="s">
        <v>12536</v>
      </c>
      <c r="Y681" t="s">
        <v>12537</v>
      </c>
      <c r="Z681" t="s">
        <v>12538</v>
      </c>
      <c r="AA681" t="s">
        <v>12539</v>
      </c>
      <c r="AB681" t="s">
        <v>12540</v>
      </c>
      <c r="AC681" t="s">
        <v>74</v>
      </c>
      <c r="AD681" t="s">
        <v>74</v>
      </c>
      <c r="AE681" t="s">
        <v>74</v>
      </c>
      <c r="AF681" t="s">
        <v>74</v>
      </c>
      <c r="AG681">
        <v>28</v>
      </c>
      <c r="AH681">
        <v>0</v>
      </c>
      <c r="AI681">
        <v>0</v>
      </c>
      <c r="AJ681">
        <v>0</v>
      </c>
      <c r="AK681">
        <v>4</v>
      </c>
      <c r="AL681" t="s">
        <v>295</v>
      </c>
      <c r="AM681" t="s">
        <v>296</v>
      </c>
      <c r="AN681" t="s">
        <v>297</v>
      </c>
      <c r="AO681" t="s">
        <v>12541</v>
      </c>
      <c r="AP681" t="s">
        <v>12542</v>
      </c>
      <c r="AQ681" t="s">
        <v>74</v>
      </c>
      <c r="AR681" t="s">
        <v>12543</v>
      </c>
      <c r="AS681" t="s">
        <v>12544</v>
      </c>
      <c r="AT681" t="s">
        <v>5170</v>
      </c>
      <c r="AU681">
        <v>2013</v>
      </c>
      <c r="AV681">
        <v>53</v>
      </c>
      <c r="AW681">
        <v>1</v>
      </c>
      <c r="AX681" t="s">
        <v>74</v>
      </c>
      <c r="AY681" t="s">
        <v>74</v>
      </c>
      <c r="AZ681" t="s">
        <v>74</v>
      </c>
      <c r="BA681" t="s">
        <v>74</v>
      </c>
      <c r="BB681">
        <v>32</v>
      </c>
      <c r="BC681">
        <v>42</v>
      </c>
      <c r="BD681" t="s">
        <v>74</v>
      </c>
      <c r="BE681" t="s">
        <v>12545</v>
      </c>
      <c r="BF681" t="str">
        <f>HYPERLINK("http://dx.doi.org/10.1134/S0016793213010040","http://dx.doi.org/10.1134/S0016793213010040")</f>
        <v>http://dx.doi.org/10.1134/S0016793213010040</v>
      </c>
      <c r="BG681" t="s">
        <v>74</v>
      </c>
      <c r="BH681" t="s">
        <v>74</v>
      </c>
      <c r="BI681">
        <v>11</v>
      </c>
      <c r="BJ681" t="s">
        <v>263</v>
      </c>
      <c r="BK681" t="s">
        <v>102</v>
      </c>
      <c r="BL681" t="s">
        <v>263</v>
      </c>
      <c r="BM681" t="s">
        <v>12546</v>
      </c>
      <c r="BN681" t="s">
        <v>74</v>
      </c>
      <c r="BO681" t="s">
        <v>74</v>
      </c>
      <c r="BP681" t="s">
        <v>74</v>
      </c>
      <c r="BQ681" t="s">
        <v>74</v>
      </c>
      <c r="BR681" t="s">
        <v>105</v>
      </c>
      <c r="BS681" t="s">
        <v>12547</v>
      </c>
      <c r="BT681" t="str">
        <f>HYPERLINK("https%3A%2F%2Fwww.webofscience.com%2Fwos%2Fwoscc%2Ffull-record%2FWOS:000314409800005","View Full Record in Web of Science")</f>
        <v>View Full Record in Web of Science</v>
      </c>
    </row>
    <row r="682" spans="1:72" x14ac:dyDescent="0.15">
      <c r="A682" t="s">
        <v>72</v>
      </c>
      <c r="B682" t="s">
        <v>12548</v>
      </c>
      <c r="C682" t="s">
        <v>74</v>
      </c>
      <c r="D682" t="s">
        <v>74</v>
      </c>
      <c r="E682" t="s">
        <v>74</v>
      </c>
      <c r="F682" t="s">
        <v>12549</v>
      </c>
      <c r="G682" t="s">
        <v>74</v>
      </c>
      <c r="H682" t="s">
        <v>74</v>
      </c>
      <c r="I682" t="s">
        <v>12550</v>
      </c>
      <c r="J682" t="s">
        <v>5510</v>
      </c>
      <c r="K682" t="s">
        <v>74</v>
      </c>
      <c r="L682" t="s">
        <v>74</v>
      </c>
      <c r="M682" t="s">
        <v>78</v>
      </c>
      <c r="N682" t="s">
        <v>79</v>
      </c>
      <c r="O682" t="s">
        <v>74</v>
      </c>
      <c r="P682" t="s">
        <v>74</v>
      </c>
      <c r="Q682" t="s">
        <v>74</v>
      </c>
      <c r="R682" t="s">
        <v>74</v>
      </c>
      <c r="S682" t="s">
        <v>74</v>
      </c>
      <c r="T682" t="s">
        <v>74</v>
      </c>
      <c r="U682" t="s">
        <v>12551</v>
      </c>
      <c r="V682" t="s">
        <v>12552</v>
      </c>
      <c r="W682" t="s">
        <v>12553</v>
      </c>
      <c r="X682" t="s">
        <v>12554</v>
      </c>
      <c r="Y682" t="s">
        <v>12555</v>
      </c>
      <c r="Z682" t="s">
        <v>12556</v>
      </c>
      <c r="AA682" t="s">
        <v>12557</v>
      </c>
      <c r="AB682" t="s">
        <v>12558</v>
      </c>
      <c r="AC682" t="s">
        <v>12559</v>
      </c>
      <c r="AD682" t="s">
        <v>12560</v>
      </c>
      <c r="AE682" t="s">
        <v>12561</v>
      </c>
      <c r="AF682" t="s">
        <v>74</v>
      </c>
      <c r="AG682">
        <v>89</v>
      </c>
      <c r="AH682">
        <v>248</v>
      </c>
      <c r="AI682">
        <v>264</v>
      </c>
      <c r="AJ682">
        <v>5</v>
      </c>
      <c r="AK682">
        <v>43</v>
      </c>
      <c r="AL682" t="s">
        <v>4248</v>
      </c>
      <c r="AM682" t="s">
        <v>4249</v>
      </c>
      <c r="AN682" t="s">
        <v>4250</v>
      </c>
      <c r="AO682" t="s">
        <v>5521</v>
      </c>
      <c r="AP682" t="s">
        <v>5522</v>
      </c>
      <c r="AQ682" t="s">
        <v>74</v>
      </c>
      <c r="AR682" t="s">
        <v>5523</v>
      </c>
      <c r="AS682" t="s">
        <v>5524</v>
      </c>
      <c r="AT682" t="s">
        <v>74</v>
      </c>
      <c r="AU682">
        <v>2013</v>
      </c>
      <c r="AV682">
        <v>6</v>
      </c>
      <c r="AW682">
        <v>4</v>
      </c>
      <c r="AX682" t="s">
        <v>74</v>
      </c>
      <c r="AY682" t="s">
        <v>74</v>
      </c>
      <c r="AZ682" t="s">
        <v>74</v>
      </c>
      <c r="BA682" t="s">
        <v>74</v>
      </c>
      <c r="BB682">
        <v>1299</v>
      </c>
      <c r="BC682">
        <v>1318</v>
      </c>
      <c r="BD682" t="s">
        <v>74</v>
      </c>
      <c r="BE682" t="s">
        <v>12562</v>
      </c>
      <c r="BF682" t="str">
        <f>HYPERLINK("http://dx.doi.org/10.5194/gmd-6-1299-2013","http://dx.doi.org/10.5194/gmd-6-1299-2013")</f>
        <v>http://dx.doi.org/10.5194/gmd-6-1299-2013</v>
      </c>
      <c r="BG682" t="s">
        <v>74</v>
      </c>
      <c r="BH682" t="s">
        <v>74</v>
      </c>
      <c r="BI682">
        <v>20</v>
      </c>
      <c r="BJ682" t="s">
        <v>1604</v>
      </c>
      <c r="BK682" t="s">
        <v>102</v>
      </c>
      <c r="BL682" t="s">
        <v>1605</v>
      </c>
      <c r="BM682" t="s">
        <v>12563</v>
      </c>
      <c r="BN682" t="s">
        <v>74</v>
      </c>
      <c r="BO682" t="s">
        <v>11061</v>
      </c>
      <c r="BP682" t="s">
        <v>74</v>
      </c>
      <c r="BQ682" t="s">
        <v>74</v>
      </c>
      <c r="BR682" t="s">
        <v>105</v>
      </c>
      <c r="BS682" t="s">
        <v>12564</v>
      </c>
      <c r="BT682" t="str">
        <f>HYPERLINK("https%3A%2F%2Fwww.webofscience.com%2Fwos%2Fwoscc%2Ffull-record%2FWOS:000323981100024","View Full Record in Web of Science")</f>
        <v>View Full Record in Web of Science</v>
      </c>
    </row>
    <row r="683" spans="1:72" x14ac:dyDescent="0.15">
      <c r="A683" t="s">
        <v>72</v>
      </c>
      <c r="B683" t="s">
        <v>12565</v>
      </c>
      <c r="C683" t="s">
        <v>74</v>
      </c>
      <c r="D683" t="s">
        <v>74</v>
      </c>
      <c r="E683" t="s">
        <v>74</v>
      </c>
      <c r="F683" t="s">
        <v>12566</v>
      </c>
      <c r="G683" t="s">
        <v>74</v>
      </c>
      <c r="H683" t="s">
        <v>74</v>
      </c>
      <c r="I683" t="s">
        <v>12567</v>
      </c>
      <c r="J683" t="s">
        <v>5510</v>
      </c>
      <c r="K683" t="s">
        <v>74</v>
      </c>
      <c r="L683" t="s">
        <v>74</v>
      </c>
      <c r="M683" t="s">
        <v>78</v>
      </c>
      <c r="N683" t="s">
        <v>79</v>
      </c>
      <c r="O683" t="s">
        <v>74</v>
      </c>
      <c r="P683" t="s">
        <v>74</v>
      </c>
      <c r="Q683" t="s">
        <v>74</v>
      </c>
      <c r="R683" t="s">
        <v>74</v>
      </c>
      <c r="S683" t="s">
        <v>74</v>
      </c>
      <c r="T683" t="s">
        <v>74</v>
      </c>
      <c r="U683" t="s">
        <v>12568</v>
      </c>
      <c r="V683" t="s">
        <v>12569</v>
      </c>
      <c r="W683" t="s">
        <v>12570</v>
      </c>
      <c r="X683" t="s">
        <v>11212</v>
      </c>
      <c r="Y683" t="s">
        <v>12571</v>
      </c>
      <c r="Z683" t="s">
        <v>12572</v>
      </c>
      <c r="AA683" t="s">
        <v>12573</v>
      </c>
      <c r="AB683" t="s">
        <v>12574</v>
      </c>
      <c r="AC683" t="s">
        <v>12575</v>
      </c>
      <c r="AD683" t="s">
        <v>12576</v>
      </c>
      <c r="AE683" t="s">
        <v>12577</v>
      </c>
      <c r="AF683" t="s">
        <v>74</v>
      </c>
      <c r="AG683">
        <v>74</v>
      </c>
      <c r="AH683">
        <v>98</v>
      </c>
      <c r="AI683">
        <v>101</v>
      </c>
      <c r="AJ683">
        <v>0</v>
      </c>
      <c r="AK683">
        <v>19</v>
      </c>
      <c r="AL683" t="s">
        <v>4248</v>
      </c>
      <c r="AM683" t="s">
        <v>4249</v>
      </c>
      <c r="AN683" t="s">
        <v>4250</v>
      </c>
      <c r="AO683" t="s">
        <v>5521</v>
      </c>
      <c r="AP683" t="s">
        <v>5522</v>
      </c>
      <c r="AQ683" t="s">
        <v>74</v>
      </c>
      <c r="AR683" t="s">
        <v>5523</v>
      </c>
      <c r="AS683" t="s">
        <v>5524</v>
      </c>
      <c r="AT683" t="s">
        <v>74</v>
      </c>
      <c r="AU683">
        <v>2013</v>
      </c>
      <c r="AV683">
        <v>6</v>
      </c>
      <c r="AW683">
        <v>5</v>
      </c>
      <c r="AX683" t="s">
        <v>74</v>
      </c>
      <c r="AY683" t="s">
        <v>74</v>
      </c>
      <c r="AZ683" t="s">
        <v>74</v>
      </c>
      <c r="BA683" t="s">
        <v>74</v>
      </c>
      <c r="BB683">
        <v>1407</v>
      </c>
      <c r="BC683">
        <v>1427</v>
      </c>
      <c r="BD683" t="s">
        <v>74</v>
      </c>
      <c r="BE683" t="s">
        <v>12578</v>
      </c>
      <c r="BF683" t="str">
        <f>HYPERLINK("http://dx.doi.org/10.5194/gmd-6-1407-2013","http://dx.doi.org/10.5194/gmd-6-1407-2013")</f>
        <v>http://dx.doi.org/10.5194/gmd-6-1407-2013</v>
      </c>
      <c r="BG683" t="s">
        <v>74</v>
      </c>
      <c r="BH683" t="s">
        <v>74</v>
      </c>
      <c r="BI683">
        <v>21</v>
      </c>
      <c r="BJ683" t="s">
        <v>1604</v>
      </c>
      <c r="BK683" t="s">
        <v>102</v>
      </c>
      <c r="BL683" t="s">
        <v>1605</v>
      </c>
      <c r="BM683" t="s">
        <v>5526</v>
      </c>
      <c r="BN683" t="s">
        <v>74</v>
      </c>
      <c r="BO683" t="s">
        <v>3098</v>
      </c>
      <c r="BP683" t="s">
        <v>74</v>
      </c>
      <c r="BQ683" t="s">
        <v>74</v>
      </c>
      <c r="BR683" t="s">
        <v>105</v>
      </c>
      <c r="BS683" t="s">
        <v>12579</v>
      </c>
      <c r="BT683" t="str">
        <f>HYPERLINK("https%3A%2F%2Fwww.webofscience.com%2Fwos%2Fwoscc%2Ffull-record%2FWOS:000326601300002","View Full Record in Web of Science")</f>
        <v>View Full Record in Web of Science</v>
      </c>
    </row>
    <row r="684" spans="1:72" x14ac:dyDescent="0.15">
      <c r="A684" t="s">
        <v>72</v>
      </c>
      <c r="B684" t="s">
        <v>12580</v>
      </c>
      <c r="C684" t="s">
        <v>74</v>
      </c>
      <c r="D684" t="s">
        <v>74</v>
      </c>
      <c r="E684" t="s">
        <v>74</v>
      </c>
      <c r="F684" t="s">
        <v>12581</v>
      </c>
      <c r="G684" t="s">
        <v>74</v>
      </c>
      <c r="H684" t="s">
        <v>74</v>
      </c>
      <c r="I684" t="s">
        <v>12582</v>
      </c>
      <c r="J684" t="s">
        <v>8594</v>
      </c>
      <c r="K684" t="s">
        <v>74</v>
      </c>
      <c r="L684" t="s">
        <v>74</v>
      </c>
      <c r="M684" t="s">
        <v>78</v>
      </c>
      <c r="N684" t="s">
        <v>79</v>
      </c>
      <c r="O684" t="s">
        <v>74</v>
      </c>
      <c r="P684" t="s">
        <v>74</v>
      </c>
      <c r="Q684" t="s">
        <v>74</v>
      </c>
      <c r="R684" t="s">
        <v>74</v>
      </c>
      <c r="S684" t="s">
        <v>74</v>
      </c>
      <c r="T684" t="s">
        <v>12583</v>
      </c>
      <c r="U684" t="s">
        <v>12584</v>
      </c>
      <c r="V684" t="s">
        <v>12585</v>
      </c>
      <c r="W684" t="s">
        <v>12586</v>
      </c>
      <c r="X684" t="s">
        <v>12587</v>
      </c>
      <c r="Y684" t="s">
        <v>12588</v>
      </c>
      <c r="Z684" t="s">
        <v>4993</v>
      </c>
      <c r="AA684" t="s">
        <v>12589</v>
      </c>
      <c r="AB684" t="s">
        <v>12590</v>
      </c>
      <c r="AC684" t="s">
        <v>12591</v>
      </c>
      <c r="AD684" t="s">
        <v>12592</v>
      </c>
      <c r="AE684" t="s">
        <v>12593</v>
      </c>
      <c r="AF684" t="s">
        <v>74</v>
      </c>
      <c r="AG684">
        <v>72</v>
      </c>
      <c r="AH684">
        <v>123</v>
      </c>
      <c r="AI684">
        <v>129</v>
      </c>
      <c r="AJ684">
        <v>4</v>
      </c>
      <c r="AK684">
        <v>13</v>
      </c>
      <c r="AL684" t="s">
        <v>586</v>
      </c>
      <c r="AM684" t="s">
        <v>542</v>
      </c>
      <c r="AN684" t="s">
        <v>587</v>
      </c>
      <c r="AO684" t="s">
        <v>8607</v>
      </c>
      <c r="AP684" t="s">
        <v>8608</v>
      </c>
      <c r="AQ684" t="s">
        <v>74</v>
      </c>
      <c r="AR684" t="s">
        <v>8609</v>
      </c>
      <c r="AS684" t="s">
        <v>8610</v>
      </c>
      <c r="AT684" t="s">
        <v>5170</v>
      </c>
      <c r="AU684">
        <v>2013</v>
      </c>
      <c r="AV684">
        <v>100</v>
      </c>
      <c r="AW684" t="s">
        <v>74</v>
      </c>
      <c r="AX684" t="s">
        <v>74</v>
      </c>
      <c r="AY684" t="s">
        <v>74</v>
      </c>
      <c r="AZ684" t="s">
        <v>74</v>
      </c>
      <c r="BA684" t="s">
        <v>74</v>
      </c>
      <c r="BB684">
        <v>215</v>
      </c>
      <c r="BC684">
        <v>223</v>
      </c>
      <c r="BD684" t="s">
        <v>74</v>
      </c>
      <c r="BE684" t="s">
        <v>12594</v>
      </c>
      <c r="BF684" t="str">
        <f>HYPERLINK("http://dx.doi.org/10.1016/j.gloplacha.2012.10.018","http://dx.doi.org/10.1016/j.gloplacha.2012.10.018")</f>
        <v>http://dx.doi.org/10.1016/j.gloplacha.2012.10.018</v>
      </c>
      <c r="BG684" t="s">
        <v>74</v>
      </c>
      <c r="BH684" t="s">
        <v>74</v>
      </c>
      <c r="BI684">
        <v>9</v>
      </c>
      <c r="BJ684" t="s">
        <v>2261</v>
      </c>
      <c r="BK684" t="s">
        <v>102</v>
      </c>
      <c r="BL684" t="s">
        <v>2262</v>
      </c>
      <c r="BM684" t="s">
        <v>8612</v>
      </c>
      <c r="BN684" t="s">
        <v>74</v>
      </c>
      <c r="BO684" t="s">
        <v>74</v>
      </c>
      <c r="BP684" t="s">
        <v>74</v>
      </c>
      <c r="BQ684" t="s">
        <v>74</v>
      </c>
      <c r="BR684" t="s">
        <v>105</v>
      </c>
      <c r="BS684" t="s">
        <v>12595</v>
      </c>
      <c r="BT684" t="str">
        <f>HYPERLINK("https%3A%2F%2Fwww.webofscience.com%2Fwos%2Fwoscc%2Ffull-record%2FWOS:000315557900019","View Full Record in Web of Science")</f>
        <v>View Full Record in Web of Science</v>
      </c>
    </row>
    <row r="685" spans="1:72" x14ac:dyDescent="0.15">
      <c r="A685" t="s">
        <v>72</v>
      </c>
      <c r="B685" t="s">
        <v>12596</v>
      </c>
      <c r="C685" t="s">
        <v>74</v>
      </c>
      <c r="D685" t="s">
        <v>74</v>
      </c>
      <c r="E685" t="s">
        <v>74</v>
      </c>
      <c r="F685" t="s">
        <v>12597</v>
      </c>
      <c r="G685" t="s">
        <v>74</v>
      </c>
      <c r="H685" t="s">
        <v>74</v>
      </c>
      <c r="I685" t="s">
        <v>12598</v>
      </c>
      <c r="J685" t="s">
        <v>8594</v>
      </c>
      <c r="K685" t="s">
        <v>74</v>
      </c>
      <c r="L685" t="s">
        <v>74</v>
      </c>
      <c r="M685" t="s">
        <v>78</v>
      </c>
      <c r="N685" t="s">
        <v>79</v>
      </c>
      <c r="O685" t="s">
        <v>74</v>
      </c>
      <c r="P685" t="s">
        <v>74</v>
      </c>
      <c r="Q685" t="s">
        <v>74</v>
      </c>
      <c r="R685" t="s">
        <v>74</v>
      </c>
      <c r="S685" t="s">
        <v>74</v>
      </c>
      <c r="T685" t="s">
        <v>12599</v>
      </c>
      <c r="U685" t="s">
        <v>12600</v>
      </c>
      <c r="V685" t="s">
        <v>12601</v>
      </c>
      <c r="W685" t="s">
        <v>12602</v>
      </c>
      <c r="X685" t="s">
        <v>12603</v>
      </c>
      <c r="Y685" t="s">
        <v>12604</v>
      </c>
      <c r="Z685" t="s">
        <v>12605</v>
      </c>
      <c r="AA685" t="s">
        <v>12606</v>
      </c>
      <c r="AB685" t="s">
        <v>12607</v>
      </c>
      <c r="AC685" t="s">
        <v>12608</v>
      </c>
      <c r="AD685" t="s">
        <v>12609</v>
      </c>
      <c r="AE685" t="s">
        <v>12610</v>
      </c>
      <c r="AF685" t="s">
        <v>74</v>
      </c>
      <c r="AG685">
        <v>68</v>
      </c>
      <c r="AH685">
        <v>16</v>
      </c>
      <c r="AI685">
        <v>17</v>
      </c>
      <c r="AJ685">
        <v>0</v>
      </c>
      <c r="AK685">
        <v>41</v>
      </c>
      <c r="AL685" t="s">
        <v>586</v>
      </c>
      <c r="AM685" t="s">
        <v>542</v>
      </c>
      <c r="AN685" t="s">
        <v>587</v>
      </c>
      <c r="AO685" t="s">
        <v>8607</v>
      </c>
      <c r="AP685" t="s">
        <v>8608</v>
      </c>
      <c r="AQ685" t="s">
        <v>74</v>
      </c>
      <c r="AR685" t="s">
        <v>8609</v>
      </c>
      <c r="AS685" t="s">
        <v>8610</v>
      </c>
      <c r="AT685" t="s">
        <v>5170</v>
      </c>
      <c r="AU685">
        <v>2013</v>
      </c>
      <c r="AV685">
        <v>100</v>
      </c>
      <c r="AW685" t="s">
        <v>74</v>
      </c>
      <c r="AX685" t="s">
        <v>74</v>
      </c>
      <c r="AY685" t="s">
        <v>74</v>
      </c>
      <c r="AZ685" t="s">
        <v>74</v>
      </c>
      <c r="BA685" t="s">
        <v>74</v>
      </c>
      <c r="BB685">
        <v>278</v>
      </c>
      <c r="BC685">
        <v>290</v>
      </c>
      <c r="BD685" t="s">
        <v>74</v>
      </c>
      <c r="BE685" t="s">
        <v>12611</v>
      </c>
      <c r="BF685" t="str">
        <f>HYPERLINK("http://dx.doi.org/10.1016/j.gloplacha.2012.11.002","http://dx.doi.org/10.1016/j.gloplacha.2012.11.002")</f>
        <v>http://dx.doi.org/10.1016/j.gloplacha.2012.11.002</v>
      </c>
      <c r="BG685" t="s">
        <v>74</v>
      </c>
      <c r="BH685" t="s">
        <v>74</v>
      </c>
      <c r="BI685">
        <v>13</v>
      </c>
      <c r="BJ685" t="s">
        <v>2261</v>
      </c>
      <c r="BK685" t="s">
        <v>102</v>
      </c>
      <c r="BL685" t="s">
        <v>2262</v>
      </c>
      <c r="BM685" t="s">
        <v>8612</v>
      </c>
      <c r="BN685" t="s">
        <v>74</v>
      </c>
      <c r="BO685" t="s">
        <v>74</v>
      </c>
      <c r="BP685" t="s">
        <v>74</v>
      </c>
      <c r="BQ685" t="s">
        <v>74</v>
      </c>
      <c r="BR685" t="s">
        <v>105</v>
      </c>
      <c r="BS685" t="s">
        <v>12612</v>
      </c>
      <c r="BT685" t="str">
        <f>HYPERLINK("https%3A%2F%2Fwww.webofscience.com%2Fwos%2Fwoscc%2Ffull-record%2FWOS:000315557900024","View Full Record in Web of Science")</f>
        <v>View Full Record in Web of Science</v>
      </c>
    </row>
    <row r="686" spans="1:72" x14ac:dyDescent="0.15">
      <c r="A686" t="s">
        <v>72</v>
      </c>
      <c r="B686" t="s">
        <v>12613</v>
      </c>
      <c r="C686" t="s">
        <v>74</v>
      </c>
      <c r="D686" t="s">
        <v>74</v>
      </c>
      <c r="E686" t="s">
        <v>74</v>
      </c>
      <c r="F686" t="s">
        <v>12614</v>
      </c>
      <c r="G686" t="s">
        <v>74</v>
      </c>
      <c r="H686" t="s">
        <v>74</v>
      </c>
      <c r="I686" t="s">
        <v>12615</v>
      </c>
      <c r="J686" t="s">
        <v>12616</v>
      </c>
      <c r="K686" t="s">
        <v>74</v>
      </c>
      <c r="L686" t="s">
        <v>74</v>
      </c>
      <c r="M686" t="s">
        <v>78</v>
      </c>
      <c r="N686" t="s">
        <v>1120</v>
      </c>
      <c r="O686" t="s">
        <v>74</v>
      </c>
      <c r="P686" t="s">
        <v>74</v>
      </c>
      <c r="Q686" t="s">
        <v>74</v>
      </c>
      <c r="R686" t="s">
        <v>74</v>
      </c>
      <c r="S686" t="s">
        <v>74</v>
      </c>
      <c r="T686" t="s">
        <v>12617</v>
      </c>
      <c r="U686" t="s">
        <v>12618</v>
      </c>
      <c r="V686" t="s">
        <v>12619</v>
      </c>
      <c r="W686" t="s">
        <v>12620</v>
      </c>
      <c r="X686" t="s">
        <v>12621</v>
      </c>
      <c r="Y686" t="s">
        <v>12622</v>
      </c>
      <c r="Z686" t="s">
        <v>12623</v>
      </c>
      <c r="AA686" t="s">
        <v>12624</v>
      </c>
      <c r="AB686" t="s">
        <v>12625</v>
      </c>
      <c r="AC686" t="s">
        <v>12626</v>
      </c>
      <c r="AD686" t="s">
        <v>12627</v>
      </c>
      <c r="AE686" t="s">
        <v>12628</v>
      </c>
      <c r="AF686" t="s">
        <v>74</v>
      </c>
      <c r="AG686">
        <v>46</v>
      </c>
      <c r="AH686">
        <v>123</v>
      </c>
      <c r="AI686">
        <v>130</v>
      </c>
      <c r="AJ686">
        <v>4</v>
      </c>
      <c r="AK686">
        <v>251</v>
      </c>
      <c r="AL686" t="s">
        <v>257</v>
      </c>
      <c r="AM686" t="s">
        <v>215</v>
      </c>
      <c r="AN686" t="s">
        <v>216</v>
      </c>
      <c r="AO686" t="s">
        <v>12629</v>
      </c>
      <c r="AP686" t="s">
        <v>12630</v>
      </c>
      <c r="AQ686" t="s">
        <v>74</v>
      </c>
      <c r="AR686" t="s">
        <v>12631</v>
      </c>
      <c r="AS686" t="s">
        <v>12632</v>
      </c>
      <c r="AT686" t="s">
        <v>5170</v>
      </c>
      <c r="AU686">
        <v>2013</v>
      </c>
      <c r="AV686">
        <v>19</v>
      </c>
      <c r="AW686">
        <v>1</v>
      </c>
      <c r="AX686" t="s">
        <v>74</v>
      </c>
      <c r="AY686" t="s">
        <v>74</v>
      </c>
      <c r="AZ686" t="s">
        <v>74</v>
      </c>
      <c r="BA686" t="s">
        <v>74</v>
      </c>
      <c r="BB686">
        <v>64</v>
      </c>
      <c r="BC686">
        <v>74</v>
      </c>
      <c r="BD686" t="s">
        <v>74</v>
      </c>
      <c r="BE686" t="s">
        <v>12633</v>
      </c>
      <c r="BF686" t="str">
        <f>HYPERLINK("http://dx.doi.org/10.1111/gcb.12028","http://dx.doi.org/10.1111/gcb.12028")</f>
        <v>http://dx.doi.org/10.1111/gcb.12028</v>
      </c>
      <c r="BG686" t="s">
        <v>74</v>
      </c>
      <c r="BH686" t="s">
        <v>74</v>
      </c>
      <c r="BI686">
        <v>11</v>
      </c>
      <c r="BJ686" t="s">
        <v>957</v>
      </c>
      <c r="BK686" t="s">
        <v>102</v>
      </c>
      <c r="BL686" t="s">
        <v>958</v>
      </c>
      <c r="BM686" t="s">
        <v>12634</v>
      </c>
      <c r="BN686">
        <v>23504721</v>
      </c>
      <c r="BO686" t="s">
        <v>74</v>
      </c>
      <c r="BP686" t="s">
        <v>74</v>
      </c>
      <c r="BQ686" t="s">
        <v>74</v>
      </c>
      <c r="BR686" t="s">
        <v>105</v>
      </c>
      <c r="BS686" t="s">
        <v>12635</v>
      </c>
      <c r="BT686" t="str">
        <f>HYPERLINK("https%3A%2F%2Fwww.webofscience.com%2Fwos%2Fwoscc%2Ffull-record%2FWOS:000312155100006","View Full Record in Web of Science")</f>
        <v>View Full Record in Web of Science</v>
      </c>
    </row>
    <row r="687" spans="1:72" x14ac:dyDescent="0.15">
      <c r="A687" t="s">
        <v>72</v>
      </c>
      <c r="B687" t="s">
        <v>12636</v>
      </c>
      <c r="C687" t="s">
        <v>74</v>
      </c>
      <c r="D687" t="s">
        <v>74</v>
      </c>
      <c r="E687" t="s">
        <v>74</v>
      </c>
      <c r="F687" t="s">
        <v>12637</v>
      </c>
      <c r="G687" t="s">
        <v>74</v>
      </c>
      <c r="H687" t="s">
        <v>74</v>
      </c>
      <c r="I687" t="s">
        <v>12638</v>
      </c>
      <c r="J687" t="s">
        <v>12616</v>
      </c>
      <c r="K687" t="s">
        <v>74</v>
      </c>
      <c r="L687" t="s">
        <v>74</v>
      </c>
      <c r="M687" t="s">
        <v>78</v>
      </c>
      <c r="N687" t="s">
        <v>79</v>
      </c>
      <c r="O687" t="s">
        <v>74</v>
      </c>
      <c r="P687" t="s">
        <v>74</v>
      </c>
      <c r="Q687" t="s">
        <v>74</v>
      </c>
      <c r="R687" t="s">
        <v>74</v>
      </c>
      <c r="S687" t="s">
        <v>74</v>
      </c>
      <c r="T687" t="s">
        <v>12639</v>
      </c>
      <c r="U687" t="s">
        <v>12640</v>
      </c>
      <c r="V687" t="s">
        <v>12641</v>
      </c>
      <c r="W687" t="s">
        <v>12642</v>
      </c>
      <c r="X687" t="s">
        <v>12643</v>
      </c>
      <c r="Y687" t="s">
        <v>12644</v>
      </c>
      <c r="Z687" t="s">
        <v>12645</v>
      </c>
      <c r="AA687" t="s">
        <v>12646</v>
      </c>
      <c r="AB687" t="s">
        <v>12647</v>
      </c>
      <c r="AC687" t="s">
        <v>12648</v>
      </c>
      <c r="AD687" t="s">
        <v>12649</v>
      </c>
      <c r="AE687" t="s">
        <v>12650</v>
      </c>
      <c r="AF687" t="s">
        <v>74</v>
      </c>
      <c r="AG687">
        <v>67</v>
      </c>
      <c r="AH687">
        <v>29</v>
      </c>
      <c r="AI687">
        <v>34</v>
      </c>
      <c r="AJ687">
        <v>2</v>
      </c>
      <c r="AK687">
        <v>75</v>
      </c>
      <c r="AL687" t="s">
        <v>257</v>
      </c>
      <c r="AM687" t="s">
        <v>215</v>
      </c>
      <c r="AN687" t="s">
        <v>216</v>
      </c>
      <c r="AO687" t="s">
        <v>12629</v>
      </c>
      <c r="AP687" t="s">
        <v>12630</v>
      </c>
      <c r="AQ687" t="s">
        <v>74</v>
      </c>
      <c r="AR687" t="s">
        <v>12631</v>
      </c>
      <c r="AS687" t="s">
        <v>12632</v>
      </c>
      <c r="AT687" t="s">
        <v>5170</v>
      </c>
      <c r="AU687">
        <v>2013</v>
      </c>
      <c r="AV687">
        <v>19</v>
      </c>
      <c r="AW687">
        <v>1</v>
      </c>
      <c r="AX687" t="s">
        <v>74</v>
      </c>
      <c r="AY687" t="s">
        <v>74</v>
      </c>
      <c r="AZ687" t="s">
        <v>74</v>
      </c>
      <c r="BA687" t="s">
        <v>74</v>
      </c>
      <c r="BB687">
        <v>136</v>
      </c>
      <c r="BC687">
        <v>148</v>
      </c>
      <c r="BD687" t="s">
        <v>74</v>
      </c>
      <c r="BE687" t="s">
        <v>12651</v>
      </c>
      <c r="BF687" t="str">
        <f>HYPERLINK("http://dx.doi.org/10.1111/gcb.12016","http://dx.doi.org/10.1111/gcb.12016")</f>
        <v>http://dx.doi.org/10.1111/gcb.12016</v>
      </c>
      <c r="BG687" t="s">
        <v>74</v>
      </c>
      <c r="BH687" t="s">
        <v>74</v>
      </c>
      <c r="BI687">
        <v>13</v>
      </c>
      <c r="BJ687" t="s">
        <v>957</v>
      </c>
      <c r="BK687" t="s">
        <v>102</v>
      </c>
      <c r="BL687" t="s">
        <v>958</v>
      </c>
      <c r="BM687" t="s">
        <v>12634</v>
      </c>
      <c r="BN687">
        <v>23504726</v>
      </c>
      <c r="BO687" t="s">
        <v>74</v>
      </c>
      <c r="BP687" t="s">
        <v>74</v>
      </c>
      <c r="BQ687" t="s">
        <v>74</v>
      </c>
      <c r="BR687" t="s">
        <v>105</v>
      </c>
      <c r="BS687" t="s">
        <v>12652</v>
      </c>
      <c r="BT687" t="str">
        <f>HYPERLINK("https%3A%2F%2Fwww.webofscience.com%2Fwos%2Fwoscc%2Ffull-record%2FWOS:000312155100011","View Full Record in Web of Science")</f>
        <v>View Full Record in Web of Science</v>
      </c>
    </row>
    <row r="688" spans="1:72" x14ac:dyDescent="0.15">
      <c r="A688" t="s">
        <v>72</v>
      </c>
      <c r="B688" t="s">
        <v>12653</v>
      </c>
      <c r="C688" t="s">
        <v>74</v>
      </c>
      <c r="D688" t="s">
        <v>74</v>
      </c>
      <c r="E688" t="s">
        <v>74</v>
      </c>
      <c r="F688" t="s">
        <v>12654</v>
      </c>
      <c r="G688" t="s">
        <v>74</v>
      </c>
      <c r="H688" t="s">
        <v>74</v>
      </c>
      <c r="I688" t="s">
        <v>12655</v>
      </c>
      <c r="J688" t="s">
        <v>9544</v>
      </c>
      <c r="K688" t="s">
        <v>74</v>
      </c>
      <c r="L688" t="s">
        <v>74</v>
      </c>
      <c r="M688" t="s">
        <v>78</v>
      </c>
      <c r="N688" t="s">
        <v>79</v>
      </c>
      <c r="O688" t="s">
        <v>74</v>
      </c>
      <c r="P688" t="s">
        <v>74</v>
      </c>
      <c r="Q688" t="s">
        <v>74</v>
      </c>
      <c r="R688" t="s">
        <v>74</v>
      </c>
      <c r="S688" t="s">
        <v>74</v>
      </c>
      <c r="T688" t="s">
        <v>74</v>
      </c>
      <c r="U688" t="s">
        <v>12656</v>
      </c>
      <c r="V688" t="s">
        <v>12657</v>
      </c>
      <c r="W688" t="s">
        <v>12658</v>
      </c>
      <c r="X688" t="s">
        <v>12659</v>
      </c>
      <c r="Y688" t="s">
        <v>12660</v>
      </c>
      <c r="Z688" t="s">
        <v>12661</v>
      </c>
      <c r="AA688" t="s">
        <v>12662</v>
      </c>
      <c r="AB688" t="s">
        <v>12663</v>
      </c>
      <c r="AC688" t="s">
        <v>1549</v>
      </c>
      <c r="AD688" t="s">
        <v>1550</v>
      </c>
      <c r="AE688" t="s">
        <v>74</v>
      </c>
      <c r="AF688" t="s">
        <v>74</v>
      </c>
      <c r="AG688">
        <v>40</v>
      </c>
      <c r="AH688">
        <v>16</v>
      </c>
      <c r="AI688">
        <v>17</v>
      </c>
      <c r="AJ688">
        <v>1</v>
      </c>
      <c r="AK688">
        <v>50</v>
      </c>
      <c r="AL688" t="s">
        <v>1132</v>
      </c>
      <c r="AM688" t="s">
        <v>147</v>
      </c>
      <c r="AN688" t="s">
        <v>1133</v>
      </c>
      <c r="AO688" t="s">
        <v>9555</v>
      </c>
      <c r="AP688" t="s">
        <v>74</v>
      </c>
      <c r="AQ688" t="s">
        <v>74</v>
      </c>
      <c r="AR688" t="s">
        <v>9556</v>
      </c>
      <c r="AS688" t="s">
        <v>9557</v>
      </c>
      <c r="AT688" t="s">
        <v>5170</v>
      </c>
      <c r="AU688">
        <v>2013</v>
      </c>
      <c r="AV688">
        <v>70</v>
      </c>
      <c r="AW688">
        <v>1</v>
      </c>
      <c r="AX688" t="s">
        <v>74</v>
      </c>
      <c r="AY688" t="s">
        <v>74</v>
      </c>
      <c r="AZ688" t="s">
        <v>74</v>
      </c>
      <c r="BA688" t="s">
        <v>74</v>
      </c>
      <c r="BB688">
        <v>46</v>
      </c>
      <c r="BC688">
        <v>49</v>
      </c>
      <c r="BD688" t="s">
        <v>74</v>
      </c>
      <c r="BE688" t="s">
        <v>12664</v>
      </c>
      <c r="BF688" t="str">
        <f>HYPERLINK("http://dx.doi.org/10.1093/icesjms/fss167","http://dx.doi.org/10.1093/icesjms/fss167")</f>
        <v>http://dx.doi.org/10.1093/icesjms/fss167</v>
      </c>
      <c r="BG688" t="s">
        <v>74</v>
      </c>
      <c r="BH688" t="s">
        <v>74</v>
      </c>
      <c r="BI688">
        <v>4</v>
      </c>
      <c r="BJ688" t="s">
        <v>9559</v>
      </c>
      <c r="BK688" t="s">
        <v>102</v>
      </c>
      <c r="BL688" t="s">
        <v>9559</v>
      </c>
      <c r="BM688" t="s">
        <v>9560</v>
      </c>
      <c r="BN688" t="s">
        <v>74</v>
      </c>
      <c r="BO688" t="s">
        <v>74</v>
      </c>
      <c r="BP688" t="s">
        <v>74</v>
      </c>
      <c r="BQ688" t="s">
        <v>74</v>
      </c>
      <c r="BR688" t="s">
        <v>105</v>
      </c>
      <c r="BS688" t="s">
        <v>12665</v>
      </c>
      <c r="BT688" t="str">
        <f>HYPERLINK("https%3A%2F%2Fwww.webofscience.com%2Fwos%2Fwoscc%2Ffull-record%2FWOS:000312644500004","View Full Record in Web of Science")</f>
        <v>View Full Record in Web of Science</v>
      </c>
    </row>
    <row r="689" spans="1:72" x14ac:dyDescent="0.15">
      <c r="A689" t="s">
        <v>72</v>
      </c>
      <c r="B689" t="s">
        <v>12666</v>
      </c>
      <c r="C689" t="s">
        <v>74</v>
      </c>
      <c r="D689" t="s">
        <v>74</v>
      </c>
      <c r="E689" t="s">
        <v>74</v>
      </c>
      <c r="F689" t="s">
        <v>12667</v>
      </c>
      <c r="G689" t="s">
        <v>74</v>
      </c>
      <c r="H689" t="s">
        <v>74</v>
      </c>
      <c r="I689" t="s">
        <v>12668</v>
      </c>
      <c r="J689" t="s">
        <v>12669</v>
      </c>
      <c r="K689" t="s">
        <v>74</v>
      </c>
      <c r="L689" t="s">
        <v>74</v>
      </c>
      <c r="M689" t="s">
        <v>5206</v>
      </c>
      <c r="N689" t="s">
        <v>79</v>
      </c>
      <c r="O689" t="s">
        <v>74</v>
      </c>
      <c r="P689" t="s">
        <v>74</v>
      </c>
      <c r="Q689" t="s">
        <v>74</v>
      </c>
      <c r="R689" t="s">
        <v>74</v>
      </c>
      <c r="S689" t="s">
        <v>74</v>
      </c>
      <c r="T689" t="s">
        <v>12670</v>
      </c>
      <c r="U689" t="s">
        <v>74</v>
      </c>
      <c r="V689" t="s">
        <v>12671</v>
      </c>
      <c r="W689" t="s">
        <v>12672</v>
      </c>
      <c r="X689" t="s">
        <v>12673</v>
      </c>
      <c r="Y689" t="s">
        <v>12674</v>
      </c>
      <c r="Z689" t="s">
        <v>12675</v>
      </c>
      <c r="AA689" t="s">
        <v>12676</v>
      </c>
      <c r="AB689" t="s">
        <v>12677</v>
      </c>
      <c r="AC689" t="s">
        <v>74</v>
      </c>
      <c r="AD689" t="s">
        <v>74</v>
      </c>
      <c r="AE689" t="s">
        <v>74</v>
      </c>
      <c r="AF689" t="s">
        <v>74</v>
      </c>
      <c r="AG689">
        <v>18</v>
      </c>
      <c r="AH689">
        <v>0</v>
      </c>
      <c r="AI689">
        <v>0</v>
      </c>
      <c r="AJ689">
        <v>0</v>
      </c>
      <c r="AK689">
        <v>0</v>
      </c>
      <c r="AL689" t="s">
        <v>12678</v>
      </c>
      <c r="AM689" t="s">
        <v>12679</v>
      </c>
      <c r="AN689" t="s">
        <v>12680</v>
      </c>
      <c r="AO689" t="s">
        <v>12681</v>
      </c>
      <c r="AP689" t="s">
        <v>12682</v>
      </c>
      <c r="AQ689" t="s">
        <v>74</v>
      </c>
      <c r="AR689" t="s">
        <v>12683</v>
      </c>
      <c r="AS689" t="s">
        <v>12684</v>
      </c>
      <c r="AT689" t="s">
        <v>74</v>
      </c>
      <c r="AU689">
        <v>2013</v>
      </c>
      <c r="AV689">
        <v>13</v>
      </c>
      <c r="AW689">
        <v>1</v>
      </c>
      <c r="AX689" t="s">
        <v>74</v>
      </c>
      <c r="AY689" t="s">
        <v>74</v>
      </c>
      <c r="AZ689" t="s">
        <v>74</v>
      </c>
      <c r="BA689" t="s">
        <v>74</v>
      </c>
      <c r="BB689">
        <v>67</v>
      </c>
      <c r="BC689">
        <v>89</v>
      </c>
      <c r="BD689" t="s">
        <v>74</v>
      </c>
      <c r="BE689" t="s">
        <v>74</v>
      </c>
      <c r="BF689" t="s">
        <v>74</v>
      </c>
      <c r="BG689" t="s">
        <v>74</v>
      </c>
      <c r="BH689" t="s">
        <v>74</v>
      </c>
      <c r="BI689">
        <v>23</v>
      </c>
      <c r="BJ689" t="s">
        <v>12685</v>
      </c>
      <c r="BK689" t="s">
        <v>1717</v>
      </c>
      <c r="BL689" t="s">
        <v>12685</v>
      </c>
      <c r="BM689" t="s">
        <v>12686</v>
      </c>
      <c r="BN689" t="s">
        <v>74</v>
      </c>
      <c r="BO689" t="s">
        <v>74</v>
      </c>
      <c r="BP689" t="s">
        <v>74</v>
      </c>
      <c r="BQ689" t="s">
        <v>74</v>
      </c>
      <c r="BR689" t="s">
        <v>105</v>
      </c>
      <c r="BS689" t="s">
        <v>12687</v>
      </c>
      <c r="BT689" t="str">
        <f>HYPERLINK("https%3A%2F%2Fwww.webofscience.com%2Fwos%2Fwoscc%2Ffull-record%2FWOS:000420954500004","View Full Record in Web of Science")</f>
        <v>View Full Record in Web of Science</v>
      </c>
    </row>
    <row r="690" spans="1:72" x14ac:dyDescent="0.15">
      <c r="A690" t="s">
        <v>72</v>
      </c>
      <c r="B690" t="s">
        <v>12688</v>
      </c>
      <c r="C690" t="s">
        <v>74</v>
      </c>
      <c r="D690" t="s">
        <v>74</v>
      </c>
      <c r="E690" t="s">
        <v>74</v>
      </c>
      <c r="F690" t="s">
        <v>12689</v>
      </c>
      <c r="G690" t="s">
        <v>74</v>
      </c>
      <c r="H690" t="s">
        <v>74</v>
      </c>
      <c r="I690" t="s">
        <v>12690</v>
      </c>
      <c r="J690" t="s">
        <v>12691</v>
      </c>
      <c r="K690" t="s">
        <v>74</v>
      </c>
      <c r="L690" t="s">
        <v>74</v>
      </c>
      <c r="M690" t="s">
        <v>78</v>
      </c>
      <c r="N690" t="s">
        <v>79</v>
      </c>
      <c r="O690" t="s">
        <v>74</v>
      </c>
      <c r="P690" t="s">
        <v>74</v>
      </c>
      <c r="Q690" t="s">
        <v>74</v>
      </c>
      <c r="R690" t="s">
        <v>74</v>
      </c>
      <c r="S690" t="s">
        <v>74</v>
      </c>
      <c r="T690" t="s">
        <v>12692</v>
      </c>
      <c r="U690" t="s">
        <v>12693</v>
      </c>
      <c r="V690" t="s">
        <v>12694</v>
      </c>
      <c r="W690" t="s">
        <v>12695</v>
      </c>
      <c r="X690" t="s">
        <v>12696</v>
      </c>
      <c r="Y690" t="s">
        <v>12697</v>
      </c>
      <c r="Z690" t="s">
        <v>12698</v>
      </c>
      <c r="AA690" t="s">
        <v>12699</v>
      </c>
      <c r="AB690" t="s">
        <v>12700</v>
      </c>
      <c r="AC690" t="s">
        <v>12701</v>
      </c>
      <c r="AD690" t="s">
        <v>12702</v>
      </c>
      <c r="AE690" t="s">
        <v>12703</v>
      </c>
      <c r="AF690" t="s">
        <v>74</v>
      </c>
      <c r="AG690">
        <v>61</v>
      </c>
      <c r="AH690">
        <v>48</v>
      </c>
      <c r="AI690">
        <v>52</v>
      </c>
      <c r="AJ690">
        <v>1</v>
      </c>
      <c r="AK690">
        <v>76</v>
      </c>
      <c r="AL690" t="s">
        <v>257</v>
      </c>
      <c r="AM690" t="s">
        <v>215</v>
      </c>
      <c r="AN690" t="s">
        <v>216</v>
      </c>
      <c r="AO690" t="s">
        <v>12704</v>
      </c>
      <c r="AP690" t="s">
        <v>12705</v>
      </c>
      <c r="AQ690" t="s">
        <v>74</v>
      </c>
      <c r="AR690" t="s">
        <v>12706</v>
      </c>
      <c r="AS690" t="s">
        <v>12707</v>
      </c>
      <c r="AT690" t="s">
        <v>5170</v>
      </c>
      <c r="AU690">
        <v>2013</v>
      </c>
      <c r="AV690">
        <v>82</v>
      </c>
      <c r="AW690">
        <v>1</v>
      </c>
      <c r="AX690" t="s">
        <v>74</v>
      </c>
      <c r="AY690" t="s">
        <v>74</v>
      </c>
      <c r="AZ690" t="s">
        <v>74</v>
      </c>
      <c r="BA690" t="s">
        <v>74</v>
      </c>
      <c r="BB690">
        <v>72</v>
      </c>
      <c r="BC690">
        <v>83</v>
      </c>
      <c r="BD690" t="s">
        <v>74</v>
      </c>
      <c r="BE690" t="s">
        <v>12708</v>
      </c>
      <c r="BF690" t="str">
        <f>HYPERLINK("http://dx.doi.org/10.1111/j.1365-2656.2012.02021.x","http://dx.doi.org/10.1111/j.1365-2656.2012.02021.x")</f>
        <v>http://dx.doi.org/10.1111/j.1365-2656.2012.02021.x</v>
      </c>
      <c r="BG690" t="s">
        <v>74</v>
      </c>
      <c r="BH690" t="s">
        <v>74</v>
      </c>
      <c r="BI690">
        <v>12</v>
      </c>
      <c r="BJ690" t="s">
        <v>6917</v>
      </c>
      <c r="BK690" t="s">
        <v>102</v>
      </c>
      <c r="BL690" t="s">
        <v>6918</v>
      </c>
      <c r="BM690" t="s">
        <v>12709</v>
      </c>
      <c r="BN690">
        <v>22881702</v>
      </c>
      <c r="BO690" t="s">
        <v>74</v>
      </c>
      <c r="BP690" t="s">
        <v>74</v>
      </c>
      <c r="BQ690" t="s">
        <v>74</v>
      </c>
      <c r="BR690" t="s">
        <v>105</v>
      </c>
      <c r="BS690" t="s">
        <v>12710</v>
      </c>
      <c r="BT690" t="str">
        <f>HYPERLINK("https%3A%2F%2Fwww.webofscience.com%2Fwos%2Fwoscc%2Ffull-record%2FWOS:000313752300009","View Full Record in Web of Science")</f>
        <v>View Full Record in Web of Science</v>
      </c>
    </row>
    <row r="691" spans="1:72" x14ac:dyDescent="0.15">
      <c r="A691" t="s">
        <v>72</v>
      </c>
      <c r="B691" t="s">
        <v>12711</v>
      </c>
      <c r="C691" t="s">
        <v>74</v>
      </c>
      <c r="D691" t="s">
        <v>74</v>
      </c>
      <c r="E691" t="s">
        <v>74</v>
      </c>
      <c r="F691" t="s">
        <v>12712</v>
      </c>
      <c r="G691" t="s">
        <v>74</v>
      </c>
      <c r="H691" t="s">
        <v>74</v>
      </c>
      <c r="I691" t="s">
        <v>12713</v>
      </c>
      <c r="J691" t="s">
        <v>160</v>
      </c>
      <c r="K691" t="s">
        <v>74</v>
      </c>
      <c r="L691" t="s">
        <v>74</v>
      </c>
      <c r="M691" t="s">
        <v>78</v>
      </c>
      <c r="N691" t="s">
        <v>79</v>
      </c>
      <c r="O691" t="s">
        <v>74</v>
      </c>
      <c r="P691" t="s">
        <v>74</v>
      </c>
      <c r="Q691" t="s">
        <v>74</v>
      </c>
      <c r="R691" t="s">
        <v>74</v>
      </c>
      <c r="S691" t="s">
        <v>74</v>
      </c>
      <c r="T691" t="s">
        <v>74</v>
      </c>
      <c r="U691" t="s">
        <v>12714</v>
      </c>
      <c r="V691" t="s">
        <v>12715</v>
      </c>
      <c r="W691" t="s">
        <v>12716</v>
      </c>
      <c r="X691" t="s">
        <v>12717</v>
      </c>
      <c r="Y691" t="s">
        <v>12718</v>
      </c>
      <c r="Z691" t="s">
        <v>12719</v>
      </c>
      <c r="AA691" t="s">
        <v>12720</v>
      </c>
      <c r="AB691" t="s">
        <v>12721</v>
      </c>
      <c r="AC691" t="s">
        <v>12722</v>
      </c>
      <c r="AD691" t="s">
        <v>12723</v>
      </c>
      <c r="AE691" t="s">
        <v>12724</v>
      </c>
      <c r="AF691" t="s">
        <v>74</v>
      </c>
      <c r="AG691">
        <v>43</v>
      </c>
      <c r="AH691">
        <v>80</v>
      </c>
      <c r="AI691">
        <v>98</v>
      </c>
      <c r="AJ691">
        <v>1</v>
      </c>
      <c r="AK691">
        <v>50</v>
      </c>
      <c r="AL691" t="s">
        <v>91</v>
      </c>
      <c r="AM691" t="s">
        <v>92</v>
      </c>
      <c r="AN691" t="s">
        <v>93</v>
      </c>
      <c r="AO691" t="s">
        <v>168</v>
      </c>
      <c r="AP691" t="s">
        <v>169</v>
      </c>
      <c r="AQ691" t="s">
        <v>74</v>
      </c>
      <c r="AR691" t="s">
        <v>170</v>
      </c>
      <c r="AS691" t="s">
        <v>171</v>
      </c>
      <c r="AT691" t="s">
        <v>5170</v>
      </c>
      <c r="AU691">
        <v>2013</v>
      </c>
      <c r="AV691">
        <v>52</v>
      </c>
      <c r="AW691">
        <v>1</v>
      </c>
      <c r="AX691" t="s">
        <v>74</v>
      </c>
      <c r="AY691" t="s">
        <v>74</v>
      </c>
      <c r="AZ691" t="s">
        <v>74</v>
      </c>
      <c r="BA691" t="s">
        <v>74</v>
      </c>
      <c r="BB691">
        <v>130</v>
      </c>
      <c r="BC691">
        <v>146</v>
      </c>
      <c r="BD691" t="s">
        <v>74</v>
      </c>
      <c r="BE691" t="s">
        <v>12725</v>
      </c>
      <c r="BF691" t="str">
        <f>HYPERLINK("http://dx.doi.org/10.1175/JAMC-D-12-0105.1","http://dx.doi.org/10.1175/JAMC-D-12-0105.1")</f>
        <v>http://dx.doi.org/10.1175/JAMC-D-12-0105.1</v>
      </c>
      <c r="BG691" t="s">
        <v>74</v>
      </c>
      <c r="BH691" t="s">
        <v>74</v>
      </c>
      <c r="BI691">
        <v>17</v>
      </c>
      <c r="BJ691" t="s">
        <v>101</v>
      </c>
      <c r="BK691" t="s">
        <v>102</v>
      </c>
      <c r="BL691" t="s">
        <v>101</v>
      </c>
      <c r="BM691" t="s">
        <v>9290</v>
      </c>
      <c r="BN691" t="s">
        <v>74</v>
      </c>
      <c r="BO691" t="s">
        <v>128</v>
      </c>
      <c r="BP691" t="s">
        <v>74</v>
      </c>
      <c r="BQ691" t="s">
        <v>74</v>
      </c>
      <c r="BR691" t="s">
        <v>105</v>
      </c>
      <c r="BS691" t="s">
        <v>12726</v>
      </c>
      <c r="BT691" t="str">
        <f>HYPERLINK("https%3A%2F%2Fwww.webofscience.com%2Fwos%2Fwoscc%2Ffull-record%2FWOS:000313559900010","View Full Record in Web of Science")</f>
        <v>View Full Record in Web of Science</v>
      </c>
    </row>
    <row r="692" spans="1:72" x14ac:dyDescent="0.15">
      <c r="A692" t="s">
        <v>72</v>
      </c>
      <c r="B692" t="s">
        <v>12727</v>
      </c>
      <c r="C692" t="s">
        <v>74</v>
      </c>
      <c r="D692" t="s">
        <v>74</v>
      </c>
      <c r="E692" t="s">
        <v>74</v>
      </c>
      <c r="F692" t="s">
        <v>12728</v>
      </c>
      <c r="G692" t="s">
        <v>74</v>
      </c>
      <c r="H692" t="s">
        <v>74</v>
      </c>
      <c r="I692" t="s">
        <v>12729</v>
      </c>
      <c r="J692" t="s">
        <v>12730</v>
      </c>
      <c r="K692" t="s">
        <v>74</v>
      </c>
      <c r="L692" t="s">
        <v>74</v>
      </c>
      <c r="M692" t="s">
        <v>78</v>
      </c>
      <c r="N692" t="s">
        <v>79</v>
      </c>
      <c r="O692" t="s">
        <v>74</v>
      </c>
      <c r="P692" t="s">
        <v>74</v>
      </c>
      <c r="Q692" t="s">
        <v>74</v>
      </c>
      <c r="R692" t="s">
        <v>74</v>
      </c>
      <c r="S692" t="s">
        <v>74</v>
      </c>
      <c r="T692" t="s">
        <v>12731</v>
      </c>
      <c r="U692" t="s">
        <v>12732</v>
      </c>
      <c r="V692" t="s">
        <v>12733</v>
      </c>
      <c r="W692" t="s">
        <v>12734</v>
      </c>
      <c r="X692" t="s">
        <v>12735</v>
      </c>
      <c r="Y692" t="s">
        <v>12736</v>
      </c>
      <c r="Z692" t="s">
        <v>12737</v>
      </c>
      <c r="AA692" t="s">
        <v>12738</v>
      </c>
      <c r="AB692" t="s">
        <v>12739</v>
      </c>
      <c r="AC692" t="s">
        <v>12740</v>
      </c>
      <c r="AD692" t="s">
        <v>12741</v>
      </c>
      <c r="AE692" t="s">
        <v>12742</v>
      </c>
      <c r="AF692" t="s">
        <v>74</v>
      </c>
      <c r="AG692">
        <v>40</v>
      </c>
      <c r="AH692">
        <v>44</v>
      </c>
      <c r="AI692">
        <v>47</v>
      </c>
      <c r="AJ692">
        <v>2</v>
      </c>
      <c r="AK692">
        <v>96</v>
      </c>
      <c r="AL692" t="s">
        <v>257</v>
      </c>
      <c r="AM692" t="s">
        <v>215</v>
      </c>
      <c r="AN692" t="s">
        <v>216</v>
      </c>
      <c r="AO692" t="s">
        <v>12743</v>
      </c>
      <c r="AP692" t="s">
        <v>12744</v>
      </c>
      <c r="AQ692" t="s">
        <v>74</v>
      </c>
      <c r="AR692" t="s">
        <v>12745</v>
      </c>
      <c r="AS692" t="s">
        <v>12746</v>
      </c>
      <c r="AT692" t="s">
        <v>5170</v>
      </c>
      <c r="AU692">
        <v>2013</v>
      </c>
      <c r="AV692">
        <v>40</v>
      </c>
      <c r="AW692">
        <v>1</v>
      </c>
      <c r="AX692" t="s">
        <v>74</v>
      </c>
      <c r="AY692" t="s">
        <v>74</v>
      </c>
      <c r="AZ692" t="s">
        <v>74</v>
      </c>
      <c r="BA692" t="s">
        <v>74</v>
      </c>
      <c r="BB692">
        <v>75</v>
      </c>
      <c r="BC692">
        <v>89</v>
      </c>
      <c r="BD692" t="s">
        <v>74</v>
      </c>
      <c r="BE692" t="s">
        <v>12747</v>
      </c>
      <c r="BF692" t="str">
        <f>HYPERLINK("http://dx.doi.org/10.1111/j.1365-2699.2012.02761.x","http://dx.doi.org/10.1111/j.1365-2699.2012.02761.x")</f>
        <v>http://dx.doi.org/10.1111/j.1365-2699.2012.02761.x</v>
      </c>
      <c r="BG692" t="s">
        <v>74</v>
      </c>
      <c r="BH692" t="s">
        <v>74</v>
      </c>
      <c r="BI692">
        <v>15</v>
      </c>
      <c r="BJ692" t="s">
        <v>1163</v>
      </c>
      <c r="BK692" t="s">
        <v>102</v>
      </c>
      <c r="BL692" t="s">
        <v>1164</v>
      </c>
      <c r="BM692" t="s">
        <v>12748</v>
      </c>
      <c r="BN692" t="s">
        <v>74</v>
      </c>
      <c r="BO692" t="s">
        <v>74</v>
      </c>
      <c r="BP692" t="s">
        <v>74</v>
      </c>
      <c r="BQ692" t="s">
        <v>74</v>
      </c>
      <c r="BR692" t="s">
        <v>105</v>
      </c>
      <c r="BS692" t="s">
        <v>12749</v>
      </c>
      <c r="BT692" t="str">
        <f>HYPERLINK("https%3A%2F%2Fwww.webofscience.com%2Fwos%2Fwoscc%2Ffull-record%2FWOS:000312646800007","View Full Record in Web of Science")</f>
        <v>View Full Record in Web of Science</v>
      </c>
    </row>
    <row r="693" spans="1:72" x14ac:dyDescent="0.15">
      <c r="A693" t="s">
        <v>72</v>
      </c>
      <c r="B693" t="s">
        <v>12750</v>
      </c>
      <c r="C693" t="s">
        <v>74</v>
      </c>
      <c r="D693" t="s">
        <v>74</v>
      </c>
      <c r="E693" t="s">
        <v>74</v>
      </c>
      <c r="F693" t="s">
        <v>12751</v>
      </c>
      <c r="G693" t="s">
        <v>74</v>
      </c>
      <c r="H693" t="s">
        <v>74</v>
      </c>
      <c r="I693" t="s">
        <v>12752</v>
      </c>
      <c r="J693" t="s">
        <v>5866</v>
      </c>
      <c r="K693" t="s">
        <v>74</v>
      </c>
      <c r="L693" t="s">
        <v>74</v>
      </c>
      <c r="M693" t="s">
        <v>78</v>
      </c>
      <c r="N693" t="s">
        <v>79</v>
      </c>
      <c r="O693" t="s">
        <v>74</v>
      </c>
      <c r="P693" t="s">
        <v>74</v>
      </c>
      <c r="Q693" t="s">
        <v>74</v>
      </c>
      <c r="R693" t="s">
        <v>74</v>
      </c>
      <c r="S693" t="s">
        <v>74</v>
      </c>
      <c r="T693" t="s">
        <v>74</v>
      </c>
      <c r="U693" t="s">
        <v>12753</v>
      </c>
      <c r="V693" t="s">
        <v>74</v>
      </c>
      <c r="W693" t="s">
        <v>12754</v>
      </c>
      <c r="X693" t="s">
        <v>12755</v>
      </c>
      <c r="Y693" t="s">
        <v>12756</v>
      </c>
      <c r="Z693" t="s">
        <v>12757</v>
      </c>
      <c r="AA693" t="s">
        <v>12758</v>
      </c>
      <c r="AB693" t="s">
        <v>12759</v>
      </c>
      <c r="AC693" t="s">
        <v>12760</v>
      </c>
      <c r="AD693" t="s">
        <v>10537</v>
      </c>
      <c r="AE693" t="s">
        <v>74</v>
      </c>
      <c r="AF693" t="s">
        <v>74</v>
      </c>
      <c r="AG693">
        <v>165</v>
      </c>
      <c r="AH693">
        <v>28</v>
      </c>
      <c r="AI693">
        <v>30</v>
      </c>
      <c r="AJ693">
        <v>0</v>
      </c>
      <c r="AK693">
        <v>29</v>
      </c>
      <c r="AL693" t="s">
        <v>1343</v>
      </c>
      <c r="AM693" t="s">
        <v>1344</v>
      </c>
      <c r="AN693" t="s">
        <v>1345</v>
      </c>
      <c r="AO693" t="s">
        <v>5878</v>
      </c>
      <c r="AP693" t="s">
        <v>5879</v>
      </c>
      <c r="AQ693" t="s">
        <v>74</v>
      </c>
      <c r="AR693" t="s">
        <v>5880</v>
      </c>
      <c r="AS693" t="s">
        <v>5881</v>
      </c>
      <c r="AT693" t="s">
        <v>74</v>
      </c>
      <c r="AU693">
        <v>2013</v>
      </c>
      <c r="AV693">
        <v>35</v>
      </c>
      <c r="AW693" t="s">
        <v>74</v>
      </c>
      <c r="AX693">
        <v>4</v>
      </c>
      <c r="AY693" t="s">
        <v>74</v>
      </c>
      <c r="AZ693" t="s">
        <v>74</v>
      </c>
      <c r="BA693" t="s">
        <v>74</v>
      </c>
      <c r="BB693">
        <v>290</v>
      </c>
      <c r="BC693">
        <v>305</v>
      </c>
      <c r="BD693" t="s">
        <v>74</v>
      </c>
      <c r="BE693" t="s">
        <v>12761</v>
      </c>
      <c r="BF693" t="str">
        <f>HYPERLINK("http://dx.doi.org/10.1179/1743282013Y.0000000073","http://dx.doi.org/10.1179/1743282013Y.0000000073")</f>
        <v>http://dx.doi.org/10.1179/1743282013Y.0000000073</v>
      </c>
      <c r="BG693" t="s">
        <v>74</v>
      </c>
      <c r="BH693" t="s">
        <v>74</v>
      </c>
      <c r="BI693">
        <v>16</v>
      </c>
      <c r="BJ693" t="s">
        <v>427</v>
      </c>
      <c r="BK693" t="s">
        <v>102</v>
      </c>
      <c r="BL693" t="s">
        <v>427</v>
      </c>
      <c r="BM693" t="s">
        <v>12762</v>
      </c>
      <c r="BN693" t="s">
        <v>74</v>
      </c>
      <c r="BO693" t="s">
        <v>74</v>
      </c>
      <c r="BP693" t="s">
        <v>74</v>
      </c>
      <c r="BQ693" t="s">
        <v>74</v>
      </c>
      <c r="BR693" t="s">
        <v>105</v>
      </c>
      <c r="BS693" t="s">
        <v>12763</v>
      </c>
      <c r="BT693" t="str">
        <f>HYPERLINK("https%3A%2F%2Fwww.webofscience.com%2Fwos%2Fwoscc%2Ffull-record%2FWOS:000330130500006","View Full Record in Web of Science")</f>
        <v>View Full Record in Web of Science</v>
      </c>
    </row>
    <row r="694" spans="1:72" x14ac:dyDescent="0.15">
      <c r="A694" t="s">
        <v>72</v>
      </c>
      <c r="B694" t="s">
        <v>12764</v>
      </c>
      <c r="C694" t="s">
        <v>74</v>
      </c>
      <c r="D694" t="s">
        <v>74</v>
      </c>
      <c r="E694" t="s">
        <v>74</v>
      </c>
      <c r="F694" t="s">
        <v>12765</v>
      </c>
      <c r="G694" t="s">
        <v>74</v>
      </c>
      <c r="H694" t="s">
        <v>74</v>
      </c>
      <c r="I694" t="s">
        <v>12766</v>
      </c>
      <c r="J694" t="s">
        <v>178</v>
      </c>
      <c r="K694" t="s">
        <v>74</v>
      </c>
      <c r="L694" t="s">
        <v>74</v>
      </c>
      <c r="M694" t="s">
        <v>78</v>
      </c>
      <c r="N694" t="s">
        <v>79</v>
      </c>
      <c r="O694" t="s">
        <v>74</v>
      </c>
      <c r="P694" t="s">
        <v>74</v>
      </c>
      <c r="Q694" t="s">
        <v>74</v>
      </c>
      <c r="R694" t="s">
        <v>74</v>
      </c>
      <c r="S694" t="s">
        <v>74</v>
      </c>
      <c r="T694" t="s">
        <v>74</v>
      </c>
      <c r="U694" t="s">
        <v>12767</v>
      </c>
      <c r="V694" t="s">
        <v>12768</v>
      </c>
      <c r="W694" t="s">
        <v>12769</v>
      </c>
      <c r="X694" t="s">
        <v>12770</v>
      </c>
      <c r="Y694" t="s">
        <v>12771</v>
      </c>
      <c r="Z694" t="s">
        <v>12772</v>
      </c>
      <c r="AA694" t="s">
        <v>12773</v>
      </c>
      <c r="AB694" t="s">
        <v>12774</v>
      </c>
      <c r="AC694" t="s">
        <v>12775</v>
      </c>
      <c r="AD694" t="s">
        <v>1550</v>
      </c>
      <c r="AE694" t="s">
        <v>74</v>
      </c>
      <c r="AF694" t="s">
        <v>74</v>
      </c>
      <c r="AG694">
        <v>25</v>
      </c>
      <c r="AH694">
        <v>13</v>
      </c>
      <c r="AI694">
        <v>13</v>
      </c>
      <c r="AJ694">
        <v>0</v>
      </c>
      <c r="AK694">
        <v>27</v>
      </c>
      <c r="AL694" t="s">
        <v>91</v>
      </c>
      <c r="AM694" t="s">
        <v>92</v>
      </c>
      <c r="AN694" t="s">
        <v>93</v>
      </c>
      <c r="AO694" t="s">
        <v>190</v>
      </c>
      <c r="AP694" t="s">
        <v>191</v>
      </c>
      <c r="AQ694" t="s">
        <v>74</v>
      </c>
      <c r="AR694" t="s">
        <v>192</v>
      </c>
      <c r="AS694" t="s">
        <v>193</v>
      </c>
      <c r="AT694" t="s">
        <v>5170</v>
      </c>
      <c r="AU694">
        <v>2013</v>
      </c>
      <c r="AV694">
        <v>26</v>
      </c>
      <c r="AW694">
        <v>2</v>
      </c>
      <c r="AX694" t="s">
        <v>74</v>
      </c>
      <c r="AY694" t="s">
        <v>74</v>
      </c>
      <c r="AZ694" t="s">
        <v>74</v>
      </c>
      <c r="BA694" t="s">
        <v>74</v>
      </c>
      <c r="BB694">
        <v>662</v>
      </c>
      <c r="BC694">
        <v>668</v>
      </c>
      <c r="BD694" t="s">
        <v>74</v>
      </c>
      <c r="BE694" t="s">
        <v>12776</v>
      </c>
      <c r="BF694" t="str">
        <f>HYPERLINK("http://dx.doi.org/10.1175/JCLI-D-12-00480.1","http://dx.doi.org/10.1175/JCLI-D-12-00480.1")</f>
        <v>http://dx.doi.org/10.1175/JCLI-D-12-00480.1</v>
      </c>
      <c r="BG694" t="s">
        <v>74</v>
      </c>
      <c r="BH694" t="s">
        <v>74</v>
      </c>
      <c r="BI694">
        <v>7</v>
      </c>
      <c r="BJ694" t="s">
        <v>101</v>
      </c>
      <c r="BK694" t="s">
        <v>102</v>
      </c>
      <c r="BL694" t="s">
        <v>101</v>
      </c>
      <c r="BM694" t="s">
        <v>9186</v>
      </c>
      <c r="BN694" t="s">
        <v>74</v>
      </c>
      <c r="BO694" t="s">
        <v>196</v>
      </c>
      <c r="BP694" t="s">
        <v>74</v>
      </c>
      <c r="BQ694" t="s">
        <v>74</v>
      </c>
      <c r="BR694" t="s">
        <v>105</v>
      </c>
      <c r="BS694" t="s">
        <v>12777</v>
      </c>
      <c r="BT694" t="str">
        <f>HYPERLINK("https%3A%2F%2Fwww.webofscience.com%2Fwos%2Fwoscc%2Ffull-record%2FWOS:000313740400021","View Full Record in Web of Science")</f>
        <v>View Full Record in Web of Science</v>
      </c>
    </row>
    <row r="695" spans="1:72" x14ac:dyDescent="0.15">
      <c r="A695" t="s">
        <v>72</v>
      </c>
      <c r="B695" t="s">
        <v>12778</v>
      </c>
      <c r="C695" t="s">
        <v>74</v>
      </c>
      <c r="D695" t="s">
        <v>74</v>
      </c>
      <c r="E695" t="s">
        <v>74</v>
      </c>
      <c r="F695" t="s">
        <v>12779</v>
      </c>
      <c r="G695" t="s">
        <v>74</v>
      </c>
      <c r="H695" t="s">
        <v>74</v>
      </c>
      <c r="I695" t="s">
        <v>12780</v>
      </c>
      <c r="J695" t="s">
        <v>178</v>
      </c>
      <c r="K695" t="s">
        <v>74</v>
      </c>
      <c r="L695" t="s">
        <v>74</v>
      </c>
      <c r="M695" t="s">
        <v>78</v>
      </c>
      <c r="N695" t="s">
        <v>79</v>
      </c>
      <c r="O695" t="s">
        <v>74</v>
      </c>
      <c r="P695" t="s">
        <v>74</v>
      </c>
      <c r="Q695" t="s">
        <v>74</v>
      </c>
      <c r="R695" t="s">
        <v>74</v>
      </c>
      <c r="S695" t="s">
        <v>74</v>
      </c>
      <c r="T695" t="s">
        <v>74</v>
      </c>
      <c r="U695" t="s">
        <v>12781</v>
      </c>
      <c r="V695" t="s">
        <v>12782</v>
      </c>
      <c r="W695" t="s">
        <v>12783</v>
      </c>
      <c r="X695" t="s">
        <v>12784</v>
      </c>
      <c r="Y695" t="s">
        <v>2579</v>
      </c>
      <c r="Z695" t="s">
        <v>2580</v>
      </c>
      <c r="AA695" t="s">
        <v>12785</v>
      </c>
      <c r="AB695" t="s">
        <v>12786</v>
      </c>
      <c r="AC695" t="s">
        <v>12787</v>
      </c>
      <c r="AD695" t="s">
        <v>10758</v>
      </c>
      <c r="AE695" t="s">
        <v>12788</v>
      </c>
      <c r="AF695" t="s">
        <v>74</v>
      </c>
      <c r="AG695">
        <v>22</v>
      </c>
      <c r="AH695">
        <v>68</v>
      </c>
      <c r="AI695">
        <v>74</v>
      </c>
      <c r="AJ695">
        <v>6</v>
      </c>
      <c r="AK695">
        <v>67</v>
      </c>
      <c r="AL695" t="s">
        <v>91</v>
      </c>
      <c r="AM695" t="s">
        <v>92</v>
      </c>
      <c r="AN695" t="s">
        <v>93</v>
      </c>
      <c r="AO695" t="s">
        <v>190</v>
      </c>
      <c r="AP695" t="s">
        <v>191</v>
      </c>
      <c r="AQ695" t="s">
        <v>74</v>
      </c>
      <c r="AR695" t="s">
        <v>192</v>
      </c>
      <c r="AS695" t="s">
        <v>193</v>
      </c>
      <c r="AT695" t="s">
        <v>5170</v>
      </c>
      <c r="AU695">
        <v>2013</v>
      </c>
      <c r="AV695">
        <v>26</v>
      </c>
      <c r="AW695">
        <v>2</v>
      </c>
      <c r="AX695" t="s">
        <v>74</v>
      </c>
      <c r="AY695" t="s">
        <v>74</v>
      </c>
      <c r="AZ695" t="s">
        <v>74</v>
      </c>
      <c r="BA695" t="s">
        <v>74</v>
      </c>
      <c r="BB695">
        <v>669</v>
      </c>
      <c r="BC695">
        <v>678</v>
      </c>
      <c r="BD695" t="s">
        <v>74</v>
      </c>
      <c r="BE695" t="s">
        <v>12789</v>
      </c>
      <c r="BF695" t="str">
        <f>HYPERLINK("http://dx.doi.org/10.1175/JCLI-D-12-00537.1","http://dx.doi.org/10.1175/JCLI-D-12-00537.1")</f>
        <v>http://dx.doi.org/10.1175/JCLI-D-12-00537.1</v>
      </c>
      <c r="BG695" t="s">
        <v>74</v>
      </c>
      <c r="BH695" t="s">
        <v>74</v>
      </c>
      <c r="BI695">
        <v>10</v>
      </c>
      <c r="BJ695" t="s">
        <v>101</v>
      </c>
      <c r="BK695" t="s">
        <v>102</v>
      </c>
      <c r="BL695" t="s">
        <v>101</v>
      </c>
      <c r="BM695" t="s">
        <v>9186</v>
      </c>
      <c r="BN695" t="s">
        <v>74</v>
      </c>
      <c r="BO695" t="s">
        <v>12790</v>
      </c>
      <c r="BP695" t="s">
        <v>74</v>
      </c>
      <c r="BQ695" t="s">
        <v>74</v>
      </c>
      <c r="BR695" t="s">
        <v>105</v>
      </c>
      <c r="BS695" t="s">
        <v>12791</v>
      </c>
      <c r="BT695" t="str">
        <f>HYPERLINK("https%3A%2F%2Fwww.webofscience.com%2Fwos%2Fwoscc%2Ffull-record%2FWOS:000313740400022","View Full Record in Web of Science")</f>
        <v>View Full Record in Web of Science</v>
      </c>
    </row>
    <row r="696" spans="1:72" x14ac:dyDescent="0.15">
      <c r="A696" t="s">
        <v>72</v>
      </c>
      <c r="B696" t="s">
        <v>12792</v>
      </c>
      <c r="C696" t="s">
        <v>74</v>
      </c>
      <c r="D696" t="s">
        <v>74</v>
      </c>
      <c r="E696" t="s">
        <v>74</v>
      </c>
      <c r="F696" t="s">
        <v>12793</v>
      </c>
      <c r="G696" t="s">
        <v>74</v>
      </c>
      <c r="H696" t="s">
        <v>74</v>
      </c>
      <c r="I696" t="s">
        <v>12794</v>
      </c>
      <c r="J696" t="s">
        <v>3966</v>
      </c>
      <c r="K696" t="s">
        <v>74</v>
      </c>
      <c r="L696" t="s">
        <v>74</v>
      </c>
      <c r="M696" t="s">
        <v>78</v>
      </c>
      <c r="N696" t="s">
        <v>79</v>
      </c>
      <c r="O696" t="s">
        <v>74</v>
      </c>
      <c r="P696" t="s">
        <v>74</v>
      </c>
      <c r="Q696" t="s">
        <v>74</v>
      </c>
      <c r="R696" t="s">
        <v>74</v>
      </c>
      <c r="S696" t="s">
        <v>74</v>
      </c>
      <c r="T696" t="s">
        <v>12795</v>
      </c>
      <c r="U696" t="s">
        <v>12796</v>
      </c>
      <c r="V696" t="s">
        <v>12797</v>
      </c>
      <c r="W696" t="s">
        <v>12798</v>
      </c>
      <c r="X696" t="s">
        <v>12799</v>
      </c>
      <c r="Y696" t="s">
        <v>12800</v>
      </c>
      <c r="Z696" t="s">
        <v>12801</v>
      </c>
      <c r="AA696" t="s">
        <v>74</v>
      </c>
      <c r="AB696" t="s">
        <v>74</v>
      </c>
      <c r="AC696" t="s">
        <v>74</v>
      </c>
      <c r="AD696" t="s">
        <v>74</v>
      </c>
      <c r="AE696" t="s">
        <v>74</v>
      </c>
      <c r="AF696" t="s">
        <v>74</v>
      </c>
      <c r="AG696">
        <v>65</v>
      </c>
      <c r="AH696">
        <v>4</v>
      </c>
      <c r="AI696">
        <v>4</v>
      </c>
      <c r="AJ696">
        <v>0</v>
      </c>
      <c r="AK696">
        <v>43</v>
      </c>
      <c r="AL696" t="s">
        <v>3982</v>
      </c>
      <c r="AM696" t="s">
        <v>3983</v>
      </c>
      <c r="AN696" t="s">
        <v>3984</v>
      </c>
      <c r="AO696" t="s">
        <v>3985</v>
      </c>
      <c r="AP696" t="s">
        <v>3986</v>
      </c>
      <c r="AQ696" t="s">
        <v>74</v>
      </c>
      <c r="AR696" t="s">
        <v>3987</v>
      </c>
      <c r="AS696" t="s">
        <v>3988</v>
      </c>
      <c r="AT696" t="s">
        <v>5170</v>
      </c>
      <c r="AU696">
        <v>2013</v>
      </c>
      <c r="AV696">
        <v>29</v>
      </c>
      <c r="AW696">
        <v>1</v>
      </c>
      <c r="AX696" t="s">
        <v>74</v>
      </c>
      <c r="AY696" t="s">
        <v>74</v>
      </c>
      <c r="AZ696" t="s">
        <v>74</v>
      </c>
      <c r="BA696" t="s">
        <v>74</v>
      </c>
      <c r="BB696">
        <v>118</v>
      </c>
      <c r="BC696">
        <v>132</v>
      </c>
      <c r="BD696" t="s">
        <v>74</v>
      </c>
      <c r="BE696" t="s">
        <v>12802</v>
      </c>
      <c r="BF696" t="str">
        <f>HYPERLINK("http://dx.doi.org/10.2112/JCOASTRES-D-11-00204.1","http://dx.doi.org/10.2112/JCOASTRES-D-11-00204.1")</f>
        <v>http://dx.doi.org/10.2112/JCOASTRES-D-11-00204.1</v>
      </c>
      <c r="BG696" t="s">
        <v>74</v>
      </c>
      <c r="BH696" t="s">
        <v>74</v>
      </c>
      <c r="BI696">
        <v>15</v>
      </c>
      <c r="BJ696" t="s">
        <v>823</v>
      </c>
      <c r="BK696" t="s">
        <v>102</v>
      </c>
      <c r="BL696" t="s">
        <v>824</v>
      </c>
      <c r="BM696" t="s">
        <v>12803</v>
      </c>
      <c r="BN696" t="s">
        <v>74</v>
      </c>
      <c r="BO696" t="s">
        <v>74</v>
      </c>
      <c r="BP696" t="s">
        <v>74</v>
      </c>
      <c r="BQ696" t="s">
        <v>74</v>
      </c>
      <c r="BR696" t="s">
        <v>105</v>
      </c>
      <c r="BS696" t="s">
        <v>12804</v>
      </c>
      <c r="BT696" t="str">
        <f>HYPERLINK("https%3A%2F%2Fwww.webofscience.com%2Fwos%2Fwoscc%2Ffull-record%2FWOS:000313930200012","View Full Record in Web of Science")</f>
        <v>View Full Record in Web of Science</v>
      </c>
    </row>
    <row r="697" spans="1:72" x14ac:dyDescent="0.15">
      <c r="A697" t="s">
        <v>72</v>
      </c>
      <c r="B697" t="s">
        <v>12805</v>
      </c>
      <c r="C697" t="s">
        <v>74</v>
      </c>
      <c r="D697" t="s">
        <v>74</v>
      </c>
      <c r="E697" t="s">
        <v>74</v>
      </c>
      <c r="F697" t="s">
        <v>12806</v>
      </c>
      <c r="G697" t="s">
        <v>74</v>
      </c>
      <c r="H697" t="s">
        <v>74</v>
      </c>
      <c r="I697" t="s">
        <v>12807</v>
      </c>
      <c r="J697" t="s">
        <v>3966</v>
      </c>
      <c r="K697" t="s">
        <v>74</v>
      </c>
      <c r="L697" t="s">
        <v>74</v>
      </c>
      <c r="M697" t="s">
        <v>78</v>
      </c>
      <c r="N697" t="s">
        <v>3967</v>
      </c>
      <c r="O697" t="s">
        <v>3968</v>
      </c>
      <c r="P697" t="s">
        <v>3814</v>
      </c>
      <c r="Q697" t="s">
        <v>3969</v>
      </c>
      <c r="R697" t="s">
        <v>74</v>
      </c>
      <c r="S697" t="s">
        <v>74</v>
      </c>
      <c r="T697" t="s">
        <v>12808</v>
      </c>
      <c r="U697" t="s">
        <v>12809</v>
      </c>
      <c r="V697" t="s">
        <v>12810</v>
      </c>
      <c r="W697" t="s">
        <v>12811</v>
      </c>
      <c r="X697" t="s">
        <v>12812</v>
      </c>
      <c r="Y697" t="s">
        <v>12813</v>
      </c>
      <c r="Z697" t="s">
        <v>12814</v>
      </c>
      <c r="AA697" t="s">
        <v>12815</v>
      </c>
      <c r="AB697" t="s">
        <v>12816</v>
      </c>
      <c r="AC697" t="s">
        <v>74</v>
      </c>
      <c r="AD697" t="s">
        <v>74</v>
      </c>
      <c r="AE697" t="s">
        <v>74</v>
      </c>
      <c r="AF697" t="s">
        <v>74</v>
      </c>
      <c r="AG697">
        <v>19</v>
      </c>
      <c r="AH697">
        <v>22</v>
      </c>
      <c r="AI697">
        <v>23</v>
      </c>
      <c r="AJ697">
        <v>3</v>
      </c>
      <c r="AK697">
        <v>35</v>
      </c>
      <c r="AL697" t="s">
        <v>3982</v>
      </c>
      <c r="AM697" t="s">
        <v>4004</v>
      </c>
      <c r="AN697" t="s">
        <v>4005</v>
      </c>
      <c r="AO697" t="s">
        <v>3985</v>
      </c>
      <c r="AP697" t="s">
        <v>3986</v>
      </c>
      <c r="AQ697" t="s">
        <v>74</v>
      </c>
      <c r="AR697" t="s">
        <v>3987</v>
      </c>
      <c r="AS697" t="s">
        <v>3988</v>
      </c>
      <c r="AT697" t="s">
        <v>74</v>
      </c>
      <c r="AU697">
        <v>2013</v>
      </c>
      <c r="AV697" t="s">
        <v>74</v>
      </c>
      <c r="AW697" t="s">
        <v>74</v>
      </c>
      <c r="AX697">
        <v>2</v>
      </c>
      <c r="AY697" t="s">
        <v>74</v>
      </c>
      <c r="AZ697">
        <v>65</v>
      </c>
      <c r="BA697" t="s">
        <v>74</v>
      </c>
      <c r="BB697">
        <v>1675</v>
      </c>
      <c r="BC697">
        <v>1680</v>
      </c>
      <c r="BD697" t="s">
        <v>74</v>
      </c>
      <c r="BE697" t="s">
        <v>12817</v>
      </c>
      <c r="BF697" t="str">
        <f>HYPERLINK("http://dx.doi.org/10.2112/SI65-283.1","http://dx.doi.org/10.2112/SI65-283.1")</f>
        <v>http://dx.doi.org/10.2112/SI65-283.1</v>
      </c>
      <c r="BG697" t="s">
        <v>74</v>
      </c>
      <c r="BH697" t="s">
        <v>74</v>
      </c>
      <c r="BI697">
        <v>6</v>
      </c>
      <c r="BJ697" t="s">
        <v>823</v>
      </c>
      <c r="BK697" t="s">
        <v>3990</v>
      </c>
      <c r="BL697" t="s">
        <v>824</v>
      </c>
      <c r="BM697" t="s">
        <v>3991</v>
      </c>
      <c r="BN697" t="s">
        <v>74</v>
      </c>
      <c r="BO697" t="s">
        <v>74</v>
      </c>
      <c r="BP697" t="s">
        <v>74</v>
      </c>
      <c r="BQ697" t="s">
        <v>74</v>
      </c>
      <c r="BR697" t="s">
        <v>105</v>
      </c>
      <c r="BS697" t="s">
        <v>12818</v>
      </c>
      <c r="BT697" t="str">
        <f>HYPERLINK("https%3A%2F%2Fwww.webofscience.com%2Fwos%2Fwoscc%2Ffull-record%2FWOS:000337995600101","View Full Record in Web of Science")</f>
        <v>View Full Record in Web of Science</v>
      </c>
    </row>
    <row r="698" spans="1:72" x14ac:dyDescent="0.15">
      <c r="A698" t="s">
        <v>72</v>
      </c>
      <c r="B698" t="s">
        <v>12819</v>
      </c>
      <c r="C698" t="s">
        <v>74</v>
      </c>
      <c r="D698" t="s">
        <v>74</v>
      </c>
      <c r="E698" t="s">
        <v>74</v>
      </c>
      <c r="F698" t="s">
        <v>12820</v>
      </c>
      <c r="G698" t="s">
        <v>74</v>
      </c>
      <c r="H698" t="s">
        <v>74</v>
      </c>
      <c r="I698" t="s">
        <v>12821</v>
      </c>
      <c r="J698" t="s">
        <v>12822</v>
      </c>
      <c r="K698" t="s">
        <v>74</v>
      </c>
      <c r="L698" t="s">
        <v>74</v>
      </c>
      <c r="M698" t="s">
        <v>78</v>
      </c>
      <c r="N698" t="s">
        <v>79</v>
      </c>
      <c r="O698" t="s">
        <v>74</v>
      </c>
      <c r="P698" t="s">
        <v>74</v>
      </c>
      <c r="Q698" t="s">
        <v>74</v>
      </c>
      <c r="R698" t="s">
        <v>74</v>
      </c>
      <c r="S698" t="s">
        <v>74</v>
      </c>
      <c r="T698" t="s">
        <v>12823</v>
      </c>
      <c r="U698" t="s">
        <v>12824</v>
      </c>
      <c r="V698" t="s">
        <v>12825</v>
      </c>
      <c r="W698" t="s">
        <v>12826</v>
      </c>
      <c r="X698" t="s">
        <v>12827</v>
      </c>
      <c r="Y698" t="s">
        <v>12828</v>
      </c>
      <c r="Z698" t="s">
        <v>12829</v>
      </c>
      <c r="AA698" t="s">
        <v>12830</v>
      </c>
      <c r="AB698" t="s">
        <v>12831</v>
      </c>
      <c r="AC698" t="s">
        <v>12832</v>
      </c>
      <c r="AD698" t="s">
        <v>12833</v>
      </c>
      <c r="AE698" t="s">
        <v>12834</v>
      </c>
      <c r="AF698" t="s">
        <v>74</v>
      </c>
      <c r="AG698">
        <v>54</v>
      </c>
      <c r="AH698">
        <v>166</v>
      </c>
      <c r="AI698">
        <v>183</v>
      </c>
      <c r="AJ698">
        <v>1</v>
      </c>
      <c r="AK698">
        <v>57</v>
      </c>
      <c r="AL698" t="s">
        <v>12835</v>
      </c>
      <c r="AM698" t="s">
        <v>6712</v>
      </c>
      <c r="AN698" t="s">
        <v>12836</v>
      </c>
      <c r="AO698" t="s">
        <v>12837</v>
      </c>
      <c r="AP698" t="s">
        <v>12838</v>
      </c>
      <c r="AQ698" t="s">
        <v>74</v>
      </c>
      <c r="AR698" t="s">
        <v>12839</v>
      </c>
      <c r="AS698" t="s">
        <v>12840</v>
      </c>
      <c r="AT698" t="s">
        <v>5170</v>
      </c>
      <c r="AU698">
        <v>2013</v>
      </c>
      <c r="AV698">
        <v>232</v>
      </c>
      <c r="AW698">
        <v>1</v>
      </c>
      <c r="AX698" t="s">
        <v>74</v>
      </c>
      <c r="AY698" t="s">
        <v>74</v>
      </c>
      <c r="AZ698" t="s">
        <v>74</v>
      </c>
      <c r="BA698" t="s">
        <v>74</v>
      </c>
      <c r="BB698">
        <v>529</v>
      </c>
      <c r="BC698">
        <v>549</v>
      </c>
      <c r="BD698" t="s">
        <v>74</v>
      </c>
      <c r="BE698" t="s">
        <v>12841</v>
      </c>
      <c r="BF698" t="str">
        <f>HYPERLINK("http://dx.doi.org/10.1016/j.jcp.2012.08.037","http://dx.doi.org/10.1016/j.jcp.2012.08.037")</f>
        <v>http://dx.doi.org/10.1016/j.jcp.2012.08.037</v>
      </c>
      <c r="BG698" t="s">
        <v>74</v>
      </c>
      <c r="BH698" t="s">
        <v>74</v>
      </c>
      <c r="BI698">
        <v>21</v>
      </c>
      <c r="BJ698" t="s">
        <v>12842</v>
      </c>
      <c r="BK698" t="s">
        <v>102</v>
      </c>
      <c r="BL698" t="s">
        <v>12843</v>
      </c>
      <c r="BM698" t="s">
        <v>12844</v>
      </c>
      <c r="BN698" t="s">
        <v>74</v>
      </c>
      <c r="BO698" t="s">
        <v>74</v>
      </c>
      <c r="BP698" t="s">
        <v>74</v>
      </c>
      <c r="BQ698" t="s">
        <v>74</v>
      </c>
      <c r="BR698" t="s">
        <v>105</v>
      </c>
      <c r="BS698" t="s">
        <v>12845</v>
      </c>
      <c r="BT698" t="str">
        <f>HYPERLINK("https%3A%2F%2Fwww.webofscience.com%2Fwos%2Fwoscc%2Ffull-record%2FWOS:000310647100032","View Full Record in Web of Science")</f>
        <v>View Full Record in Web of Science</v>
      </c>
    </row>
    <row r="699" spans="1:72" x14ac:dyDescent="0.15">
      <c r="A699" t="s">
        <v>72</v>
      </c>
      <c r="B699" t="s">
        <v>12846</v>
      </c>
      <c r="C699" t="s">
        <v>74</v>
      </c>
      <c r="D699" t="s">
        <v>74</v>
      </c>
      <c r="E699" t="s">
        <v>74</v>
      </c>
      <c r="F699" t="s">
        <v>12847</v>
      </c>
      <c r="G699" t="s">
        <v>74</v>
      </c>
      <c r="H699" t="s">
        <v>74</v>
      </c>
      <c r="I699" t="s">
        <v>12848</v>
      </c>
      <c r="J699" t="s">
        <v>7549</v>
      </c>
      <c r="K699" t="s">
        <v>74</v>
      </c>
      <c r="L699" t="s">
        <v>74</v>
      </c>
      <c r="M699" t="s">
        <v>78</v>
      </c>
      <c r="N699" t="s">
        <v>79</v>
      </c>
      <c r="O699" t="s">
        <v>74</v>
      </c>
      <c r="P699" t="s">
        <v>74</v>
      </c>
      <c r="Q699" t="s">
        <v>74</v>
      </c>
      <c r="R699" t="s">
        <v>74</v>
      </c>
      <c r="S699" t="s">
        <v>74</v>
      </c>
      <c r="T699" t="s">
        <v>74</v>
      </c>
      <c r="U699" t="s">
        <v>12849</v>
      </c>
      <c r="V699" t="s">
        <v>12850</v>
      </c>
      <c r="W699" t="s">
        <v>12851</v>
      </c>
      <c r="X699" t="s">
        <v>12852</v>
      </c>
      <c r="Y699" t="s">
        <v>12853</v>
      </c>
      <c r="Z699" t="s">
        <v>12854</v>
      </c>
      <c r="AA699" t="s">
        <v>12855</v>
      </c>
      <c r="AB699" t="s">
        <v>12856</v>
      </c>
      <c r="AC699" t="s">
        <v>12857</v>
      </c>
      <c r="AD699" t="s">
        <v>6479</v>
      </c>
      <c r="AE699" t="s">
        <v>12858</v>
      </c>
      <c r="AF699" t="s">
        <v>74</v>
      </c>
      <c r="AG699">
        <v>58</v>
      </c>
      <c r="AH699">
        <v>19</v>
      </c>
      <c r="AI699">
        <v>22</v>
      </c>
      <c r="AJ699">
        <v>0</v>
      </c>
      <c r="AK699">
        <v>28</v>
      </c>
      <c r="AL699" t="s">
        <v>2494</v>
      </c>
      <c r="AM699" t="s">
        <v>786</v>
      </c>
      <c r="AN699" t="s">
        <v>2495</v>
      </c>
      <c r="AO699" t="s">
        <v>7561</v>
      </c>
      <c r="AP699" t="s">
        <v>7562</v>
      </c>
      <c r="AQ699" t="s">
        <v>74</v>
      </c>
      <c r="AR699" t="s">
        <v>7563</v>
      </c>
      <c r="AS699" t="s">
        <v>7564</v>
      </c>
      <c r="AT699" t="s">
        <v>5170</v>
      </c>
      <c r="AU699">
        <v>2013</v>
      </c>
      <c r="AV699">
        <v>118</v>
      </c>
      <c r="AW699">
        <v>1</v>
      </c>
      <c r="AX699" t="s">
        <v>74</v>
      </c>
      <c r="AY699" t="s">
        <v>74</v>
      </c>
      <c r="AZ699" t="s">
        <v>74</v>
      </c>
      <c r="BA699" t="s">
        <v>74</v>
      </c>
      <c r="BB699">
        <v>448</v>
      </c>
      <c r="BC699">
        <v>461</v>
      </c>
      <c r="BD699" t="s">
        <v>74</v>
      </c>
      <c r="BE699" t="s">
        <v>12859</v>
      </c>
      <c r="BF699" t="str">
        <f>HYPERLINK("http://dx.doi.org/10.1029/2012JC008231","http://dx.doi.org/10.1029/2012JC008231")</f>
        <v>http://dx.doi.org/10.1029/2012JC008231</v>
      </c>
      <c r="BG699" t="s">
        <v>74</v>
      </c>
      <c r="BH699" t="s">
        <v>74</v>
      </c>
      <c r="BI699">
        <v>14</v>
      </c>
      <c r="BJ699" t="s">
        <v>303</v>
      </c>
      <c r="BK699" t="s">
        <v>102</v>
      </c>
      <c r="BL699" t="s">
        <v>303</v>
      </c>
      <c r="BM699" t="s">
        <v>7566</v>
      </c>
      <c r="BN699" t="s">
        <v>74</v>
      </c>
      <c r="BO699" t="s">
        <v>12860</v>
      </c>
      <c r="BP699" t="s">
        <v>74</v>
      </c>
      <c r="BQ699" t="s">
        <v>74</v>
      </c>
      <c r="BR699" t="s">
        <v>105</v>
      </c>
      <c r="BS699" t="s">
        <v>12861</v>
      </c>
      <c r="BT699" t="str">
        <f>HYPERLINK("https%3A%2F%2Fwww.webofscience.com%2Fwos%2Fwoscc%2Ffull-record%2FWOS:000317836100031","View Full Record in Web of Science")</f>
        <v>View Full Record in Web of Science</v>
      </c>
    </row>
    <row r="700" spans="1:72" x14ac:dyDescent="0.15">
      <c r="A700" t="s">
        <v>72</v>
      </c>
      <c r="B700" t="s">
        <v>12862</v>
      </c>
      <c r="C700" t="s">
        <v>74</v>
      </c>
      <c r="D700" t="s">
        <v>74</v>
      </c>
      <c r="E700" t="s">
        <v>74</v>
      </c>
      <c r="F700" t="s">
        <v>12863</v>
      </c>
      <c r="G700" t="s">
        <v>74</v>
      </c>
      <c r="H700" t="s">
        <v>74</v>
      </c>
      <c r="I700" t="s">
        <v>12864</v>
      </c>
      <c r="J700" t="s">
        <v>7619</v>
      </c>
      <c r="K700" t="s">
        <v>74</v>
      </c>
      <c r="L700" t="s">
        <v>74</v>
      </c>
      <c r="M700" t="s">
        <v>78</v>
      </c>
      <c r="N700" t="s">
        <v>79</v>
      </c>
      <c r="O700" t="s">
        <v>74</v>
      </c>
      <c r="P700" t="s">
        <v>74</v>
      </c>
      <c r="Q700" t="s">
        <v>74</v>
      </c>
      <c r="R700" t="s">
        <v>74</v>
      </c>
      <c r="S700" t="s">
        <v>74</v>
      </c>
      <c r="T700" t="s">
        <v>74</v>
      </c>
      <c r="U700" t="s">
        <v>12865</v>
      </c>
      <c r="V700" t="s">
        <v>12866</v>
      </c>
      <c r="W700" t="s">
        <v>12867</v>
      </c>
      <c r="X700" t="s">
        <v>12868</v>
      </c>
      <c r="Y700" t="s">
        <v>12869</v>
      </c>
      <c r="Z700" t="s">
        <v>12870</v>
      </c>
      <c r="AA700" t="s">
        <v>12871</v>
      </c>
      <c r="AB700" t="s">
        <v>12872</v>
      </c>
      <c r="AC700" t="s">
        <v>12873</v>
      </c>
      <c r="AD700" t="s">
        <v>12874</v>
      </c>
      <c r="AE700" t="s">
        <v>12875</v>
      </c>
      <c r="AF700" t="s">
        <v>74</v>
      </c>
      <c r="AG700">
        <v>40</v>
      </c>
      <c r="AH700">
        <v>38</v>
      </c>
      <c r="AI700">
        <v>38</v>
      </c>
      <c r="AJ700">
        <v>0</v>
      </c>
      <c r="AK700">
        <v>11</v>
      </c>
      <c r="AL700" t="s">
        <v>2494</v>
      </c>
      <c r="AM700" t="s">
        <v>786</v>
      </c>
      <c r="AN700" t="s">
        <v>2495</v>
      </c>
      <c r="AO700" t="s">
        <v>7631</v>
      </c>
      <c r="AP700" t="s">
        <v>7632</v>
      </c>
      <c r="AQ700" t="s">
        <v>74</v>
      </c>
      <c r="AR700" t="s">
        <v>7633</v>
      </c>
      <c r="AS700" t="s">
        <v>7634</v>
      </c>
      <c r="AT700" t="s">
        <v>5170</v>
      </c>
      <c r="AU700">
        <v>2013</v>
      </c>
      <c r="AV700">
        <v>118</v>
      </c>
      <c r="AW700">
        <v>1</v>
      </c>
      <c r="AX700" t="s">
        <v>74</v>
      </c>
      <c r="AY700" t="s">
        <v>74</v>
      </c>
      <c r="AZ700" t="s">
        <v>74</v>
      </c>
      <c r="BA700" t="s">
        <v>74</v>
      </c>
      <c r="BB700">
        <v>198</v>
      </c>
      <c r="BC700">
        <v>208</v>
      </c>
      <c r="BD700" t="s">
        <v>74</v>
      </c>
      <c r="BE700" t="s">
        <v>12876</v>
      </c>
      <c r="BF700" t="str">
        <f>HYPERLINK("http://dx.doi.org/10.1029/2012JA018380","http://dx.doi.org/10.1029/2012JA018380")</f>
        <v>http://dx.doi.org/10.1029/2012JA018380</v>
      </c>
      <c r="BG700" t="s">
        <v>74</v>
      </c>
      <c r="BH700" t="s">
        <v>74</v>
      </c>
      <c r="BI700">
        <v>11</v>
      </c>
      <c r="BJ700" t="s">
        <v>153</v>
      </c>
      <c r="BK700" t="s">
        <v>102</v>
      </c>
      <c r="BL700" t="s">
        <v>153</v>
      </c>
      <c r="BM700" t="s">
        <v>7636</v>
      </c>
      <c r="BN700" t="s">
        <v>74</v>
      </c>
      <c r="BO700" t="s">
        <v>429</v>
      </c>
      <c r="BP700" t="s">
        <v>74</v>
      </c>
      <c r="BQ700" t="s">
        <v>74</v>
      </c>
      <c r="BR700" t="s">
        <v>105</v>
      </c>
      <c r="BS700" t="s">
        <v>12877</v>
      </c>
      <c r="BT700" t="str">
        <f>HYPERLINK("https%3A%2F%2Fwww.webofscience.com%2Fwos%2Fwoscc%2Ffull-record%2FWOS:000317858600020","View Full Record in Web of Science")</f>
        <v>View Full Record in Web of Science</v>
      </c>
    </row>
    <row r="701" spans="1:72" x14ac:dyDescent="0.15">
      <c r="A701" t="s">
        <v>72</v>
      </c>
      <c r="B701" t="s">
        <v>12878</v>
      </c>
      <c r="C701" t="s">
        <v>74</v>
      </c>
      <c r="D701" t="s">
        <v>74</v>
      </c>
      <c r="E701" t="s">
        <v>74</v>
      </c>
      <c r="F701" t="s">
        <v>12879</v>
      </c>
      <c r="G701" t="s">
        <v>74</v>
      </c>
      <c r="H701" t="s">
        <v>74</v>
      </c>
      <c r="I701" t="s">
        <v>12880</v>
      </c>
      <c r="J701" t="s">
        <v>7619</v>
      </c>
      <c r="K701" t="s">
        <v>74</v>
      </c>
      <c r="L701" t="s">
        <v>74</v>
      </c>
      <c r="M701" t="s">
        <v>78</v>
      </c>
      <c r="N701" t="s">
        <v>79</v>
      </c>
      <c r="O701" t="s">
        <v>74</v>
      </c>
      <c r="P701" t="s">
        <v>74</v>
      </c>
      <c r="Q701" t="s">
        <v>74</v>
      </c>
      <c r="R701" t="s">
        <v>74</v>
      </c>
      <c r="S701" t="s">
        <v>74</v>
      </c>
      <c r="T701" t="s">
        <v>74</v>
      </c>
      <c r="U701" t="s">
        <v>12881</v>
      </c>
      <c r="V701" t="s">
        <v>12882</v>
      </c>
      <c r="W701" t="s">
        <v>12883</v>
      </c>
      <c r="X701" t="s">
        <v>12884</v>
      </c>
      <c r="Y701" t="s">
        <v>12885</v>
      </c>
      <c r="Z701" t="s">
        <v>12886</v>
      </c>
      <c r="AA701" t="s">
        <v>12887</v>
      </c>
      <c r="AB701" t="s">
        <v>12888</v>
      </c>
      <c r="AC701" t="s">
        <v>12889</v>
      </c>
      <c r="AD701" t="s">
        <v>12890</v>
      </c>
      <c r="AE701" t="s">
        <v>12891</v>
      </c>
      <c r="AF701" t="s">
        <v>74</v>
      </c>
      <c r="AG701">
        <v>57</v>
      </c>
      <c r="AH701">
        <v>92</v>
      </c>
      <c r="AI701">
        <v>97</v>
      </c>
      <c r="AJ701">
        <v>0</v>
      </c>
      <c r="AK701">
        <v>5</v>
      </c>
      <c r="AL701" t="s">
        <v>2494</v>
      </c>
      <c r="AM701" t="s">
        <v>786</v>
      </c>
      <c r="AN701" t="s">
        <v>2495</v>
      </c>
      <c r="AO701" t="s">
        <v>7631</v>
      </c>
      <c r="AP701" t="s">
        <v>7632</v>
      </c>
      <c r="AQ701" t="s">
        <v>74</v>
      </c>
      <c r="AR701" t="s">
        <v>7633</v>
      </c>
      <c r="AS701" t="s">
        <v>7634</v>
      </c>
      <c r="AT701" t="s">
        <v>5170</v>
      </c>
      <c r="AU701">
        <v>2013</v>
      </c>
      <c r="AV701">
        <v>118</v>
      </c>
      <c r="AW701">
        <v>1</v>
      </c>
      <c r="AX701" t="s">
        <v>74</v>
      </c>
      <c r="AY701" t="s">
        <v>74</v>
      </c>
      <c r="AZ701" t="s">
        <v>74</v>
      </c>
      <c r="BA701" t="s">
        <v>74</v>
      </c>
      <c r="BB701">
        <v>232</v>
      </c>
      <c r="BC701">
        <v>243</v>
      </c>
      <c r="BD701" t="s">
        <v>74</v>
      </c>
      <c r="BE701" t="s">
        <v>12892</v>
      </c>
      <c r="BF701" t="str">
        <f>HYPERLINK("http://dx.doi.org/10.1029/2012JA017998","http://dx.doi.org/10.1029/2012JA017998")</f>
        <v>http://dx.doi.org/10.1029/2012JA017998</v>
      </c>
      <c r="BG701" t="s">
        <v>74</v>
      </c>
      <c r="BH701" t="s">
        <v>74</v>
      </c>
      <c r="BI701">
        <v>12</v>
      </c>
      <c r="BJ701" t="s">
        <v>153</v>
      </c>
      <c r="BK701" t="s">
        <v>102</v>
      </c>
      <c r="BL701" t="s">
        <v>153</v>
      </c>
      <c r="BM701" t="s">
        <v>7636</v>
      </c>
      <c r="BN701" t="s">
        <v>74</v>
      </c>
      <c r="BO701" t="s">
        <v>2587</v>
      </c>
      <c r="BP701" t="s">
        <v>74</v>
      </c>
      <c r="BQ701" t="s">
        <v>74</v>
      </c>
      <c r="BR701" t="s">
        <v>105</v>
      </c>
      <c r="BS701" t="s">
        <v>12893</v>
      </c>
      <c r="BT701" t="str">
        <f>HYPERLINK("https%3A%2F%2Fwww.webofscience.com%2Fwos%2Fwoscc%2Ffull-record%2FWOS:000317858600023","View Full Record in Web of Science")</f>
        <v>View Full Record in Web of Science</v>
      </c>
    </row>
    <row r="702" spans="1:72" x14ac:dyDescent="0.15">
      <c r="A702" t="s">
        <v>72</v>
      </c>
      <c r="B702" t="s">
        <v>12894</v>
      </c>
      <c r="C702" t="s">
        <v>74</v>
      </c>
      <c r="D702" t="s">
        <v>74</v>
      </c>
      <c r="E702" t="s">
        <v>74</v>
      </c>
      <c r="F702" t="s">
        <v>12895</v>
      </c>
      <c r="G702" t="s">
        <v>74</v>
      </c>
      <c r="H702" t="s">
        <v>74</v>
      </c>
      <c r="I702" t="s">
        <v>12896</v>
      </c>
      <c r="J702" t="s">
        <v>4472</v>
      </c>
      <c r="K702" t="s">
        <v>74</v>
      </c>
      <c r="L702" t="s">
        <v>74</v>
      </c>
      <c r="M702" t="s">
        <v>78</v>
      </c>
      <c r="N702" t="s">
        <v>79</v>
      </c>
      <c r="O702" t="s">
        <v>74</v>
      </c>
      <c r="P702" t="s">
        <v>74</v>
      </c>
      <c r="Q702" t="s">
        <v>74</v>
      </c>
      <c r="R702" t="s">
        <v>74</v>
      </c>
      <c r="S702" t="s">
        <v>74</v>
      </c>
      <c r="T702" t="s">
        <v>74</v>
      </c>
      <c r="U702" t="s">
        <v>12897</v>
      </c>
      <c r="V702" t="s">
        <v>12898</v>
      </c>
      <c r="W702" t="s">
        <v>12899</v>
      </c>
      <c r="X702" t="s">
        <v>2249</v>
      </c>
      <c r="Y702" t="s">
        <v>12900</v>
      </c>
      <c r="Z702" t="s">
        <v>12901</v>
      </c>
      <c r="AA702" t="s">
        <v>12902</v>
      </c>
      <c r="AB702" t="s">
        <v>12903</v>
      </c>
      <c r="AC702" t="s">
        <v>12904</v>
      </c>
      <c r="AD702" t="s">
        <v>12905</v>
      </c>
      <c r="AE702" t="s">
        <v>12906</v>
      </c>
      <c r="AF702" t="s">
        <v>74</v>
      </c>
      <c r="AG702">
        <v>61</v>
      </c>
      <c r="AH702">
        <v>27</v>
      </c>
      <c r="AI702">
        <v>29</v>
      </c>
      <c r="AJ702">
        <v>0</v>
      </c>
      <c r="AK702">
        <v>13</v>
      </c>
      <c r="AL702" t="s">
        <v>5814</v>
      </c>
      <c r="AM702" t="s">
        <v>2038</v>
      </c>
      <c r="AN702" t="s">
        <v>5815</v>
      </c>
      <c r="AO702" t="s">
        <v>4485</v>
      </c>
      <c r="AP702" t="s">
        <v>74</v>
      </c>
      <c r="AQ702" t="s">
        <v>74</v>
      </c>
      <c r="AR702" t="s">
        <v>4487</v>
      </c>
      <c r="AS702" t="s">
        <v>4488</v>
      </c>
      <c r="AT702" t="s">
        <v>74</v>
      </c>
      <c r="AU702">
        <v>2013</v>
      </c>
      <c r="AV702">
        <v>59</v>
      </c>
      <c r="AW702">
        <v>213</v>
      </c>
      <c r="AX702" t="s">
        <v>74</v>
      </c>
      <c r="AY702" t="s">
        <v>74</v>
      </c>
      <c r="AZ702" t="s">
        <v>74</v>
      </c>
      <c r="BA702" t="s">
        <v>74</v>
      </c>
      <c r="BB702">
        <v>9</v>
      </c>
      <c r="BC702">
        <v>20</v>
      </c>
      <c r="BD702" t="s">
        <v>74</v>
      </c>
      <c r="BE702" t="s">
        <v>12907</v>
      </c>
      <c r="BF702" t="str">
        <f>HYPERLINK("http://dx.doi.org/10.3189/2013JoG12J134","http://dx.doi.org/10.3189/2013JoG12J134")</f>
        <v>http://dx.doi.org/10.3189/2013JoG12J134</v>
      </c>
      <c r="BG702" t="s">
        <v>74</v>
      </c>
      <c r="BH702" t="s">
        <v>74</v>
      </c>
      <c r="BI702">
        <v>12</v>
      </c>
      <c r="BJ702" t="s">
        <v>2261</v>
      </c>
      <c r="BK702" t="s">
        <v>102</v>
      </c>
      <c r="BL702" t="s">
        <v>2262</v>
      </c>
      <c r="BM702" t="s">
        <v>8174</v>
      </c>
      <c r="BN702" t="s">
        <v>74</v>
      </c>
      <c r="BO702" t="s">
        <v>2587</v>
      </c>
      <c r="BP702" t="s">
        <v>74</v>
      </c>
      <c r="BQ702" t="s">
        <v>74</v>
      </c>
      <c r="BR702" t="s">
        <v>105</v>
      </c>
      <c r="BS702" t="s">
        <v>12908</v>
      </c>
      <c r="BT702" t="str">
        <f>HYPERLINK("https%3A%2F%2Fwww.webofscience.com%2Fwos%2Fwoscc%2Ffull-record%2FWOS:000316373500002","View Full Record in Web of Science")</f>
        <v>View Full Record in Web of Science</v>
      </c>
    </row>
    <row r="703" spans="1:72" x14ac:dyDescent="0.15">
      <c r="A703" t="s">
        <v>72</v>
      </c>
      <c r="B703" t="s">
        <v>12909</v>
      </c>
      <c r="C703" t="s">
        <v>74</v>
      </c>
      <c r="D703" t="s">
        <v>74</v>
      </c>
      <c r="E703" t="s">
        <v>74</v>
      </c>
      <c r="F703" t="s">
        <v>12910</v>
      </c>
      <c r="G703" t="s">
        <v>74</v>
      </c>
      <c r="H703" t="s">
        <v>74</v>
      </c>
      <c r="I703" t="s">
        <v>12911</v>
      </c>
      <c r="J703" t="s">
        <v>4472</v>
      </c>
      <c r="K703" t="s">
        <v>74</v>
      </c>
      <c r="L703" t="s">
        <v>74</v>
      </c>
      <c r="M703" t="s">
        <v>78</v>
      </c>
      <c r="N703" t="s">
        <v>79</v>
      </c>
      <c r="O703" t="s">
        <v>74</v>
      </c>
      <c r="P703" t="s">
        <v>74</v>
      </c>
      <c r="Q703" t="s">
        <v>74</v>
      </c>
      <c r="R703" t="s">
        <v>74</v>
      </c>
      <c r="S703" t="s">
        <v>74</v>
      </c>
      <c r="T703" t="s">
        <v>74</v>
      </c>
      <c r="U703" t="s">
        <v>12912</v>
      </c>
      <c r="V703" t="s">
        <v>12913</v>
      </c>
      <c r="W703" t="s">
        <v>12914</v>
      </c>
      <c r="X703" t="s">
        <v>12915</v>
      </c>
      <c r="Y703" t="s">
        <v>12916</v>
      </c>
      <c r="Z703" t="s">
        <v>12917</v>
      </c>
      <c r="AA703" t="s">
        <v>12918</v>
      </c>
      <c r="AB703" t="s">
        <v>12919</v>
      </c>
      <c r="AC703" t="s">
        <v>12920</v>
      </c>
      <c r="AD703" t="s">
        <v>12921</v>
      </c>
      <c r="AE703" t="s">
        <v>12922</v>
      </c>
      <c r="AF703" t="s">
        <v>74</v>
      </c>
      <c r="AG703">
        <v>69</v>
      </c>
      <c r="AH703">
        <v>54</v>
      </c>
      <c r="AI703">
        <v>55</v>
      </c>
      <c r="AJ703">
        <v>0</v>
      </c>
      <c r="AK703">
        <v>29</v>
      </c>
      <c r="AL703" t="s">
        <v>816</v>
      </c>
      <c r="AM703" t="s">
        <v>2038</v>
      </c>
      <c r="AN703" t="s">
        <v>4484</v>
      </c>
      <c r="AO703" t="s">
        <v>4485</v>
      </c>
      <c r="AP703" t="s">
        <v>4486</v>
      </c>
      <c r="AQ703" t="s">
        <v>74</v>
      </c>
      <c r="AR703" t="s">
        <v>4487</v>
      </c>
      <c r="AS703" t="s">
        <v>4488</v>
      </c>
      <c r="AT703" t="s">
        <v>74</v>
      </c>
      <c r="AU703">
        <v>2013</v>
      </c>
      <c r="AV703">
        <v>59</v>
      </c>
      <c r="AW703">
        <v>213</v>
      </c>
      <c r="AX703" t="s">
        <v>74</v>
      </c>
      <c r="AY703" t="s">
        <v>74</v>
      </c>
      <c r="AZ703" t="s">
        <v>74</v>
      </c>
      <c r="BA703" t="s">
        <v>74</v>
      </c>
      <c r="BB703">
        <v>115</v>
      </c>
      <c r="BC703">
        <v>128</v>
      </c>
      <c r="BD703" t="s">
        <v>74</v>
      </c>
      <c r="BE703" t="s">
        <v>12923</v>
      </c>
      <c r="BF703" t="str">
        <f>HYPERLINK("http://dx.doi.org/10.3189/2013JoG12J144","http://dx.doi.org/10.3189/2013JoG12J144")</f>
        <v>http://dx.doi.org/10.3189/2013JoG12J144</v>
      </c>
      <c r="BG703" t="s">
        <v>74</v>
      </c>
      <c r="BH703" t="s">
        <v>74</v>
      </c>
      <c r="BI703">
        <v>14</v>
      </c>
      <c r="BJ703" t="s">
        <v>2261</v>
      </c>
      <c r="BK703" t="s">
        <v>102</v>
      </c>
      <c r="BL703" t="s">
        <v>2262</v>
      </c>
      <c r="BM703" t="s">
        <v>8174</v>
      </c>
      <c r="BN703" t="s">
        <v>74</v>
      </c>
      <c r="BO703" t="s">
        <v>196</v>
      </c>
      <c r="BP703" t="s">
        <v>74</v>
      </c>
      <c r="BQ703" t="s">
        <v>74</v>
      </c>
      <c r="BR703" t="s">
        <v>105</v>
      </c>
      <c r="BS703" t="s">
        <v>12924</v>
      </c>
      <c r="BT703" t="str">
        <f>HYPERLINK("https%3A%2F%2Fwww.webofscience.com%2Fwos%2Fwoscc%2Ffull-record%2FWOS:000316373500012","View Full Record in Web of Science")</f>
        <v>View Full Record in Web of Science</v>
      </c>
    </row>
    <row r="704" spans="1:72" x14ac:dyDescent="0.15">
      <c r="A704" t="s">
        <v>72</v>
      </c>
      <c r="B704" t="s">
        <v>12925</v>
      </c>
      <c r="C704" t="s">
        <v>74</v>
      </c>
      <c r="D704" t="s">
        <v>74</v>
      </c>
      <c r="E704" t="s">
        <v>74</v>
      </c>
      <c r="F704" t="s">
        <v>12926</v>
      </c>
      <c r="G704" t="s">
        <v>74</v>
      </c>
      <c r="H704" t="s">
        <v>74</v>
      </c>
      <c r="I704" t="s">
        <v>12927</v>
      </c>
      <c r="J704" t="s">
        <v>4472</v>
      </c>
      <c r="K704" t="s">
        <v>74</v>
      </c>
      <c r="L704" t="s">
        <v>74</v>
      </c>
      <c r="M704" t="s">
        <v>78</v>
      </c>
      <c r="N704" t="s">
        <v>79</v>
      </c>
      <c r="O704" t="s">
        <v>74</v>
      </c>
      <c r="P704" t="s">
        <v>74</v>
      </c>
      <c r="Q704" t="s">
        <v>74</v>
      </c>
      <c r="R704" t="s">
        <v>74</v>
      </c>
      <c r="S704" t="s">
        <v>74</v>
      </c>
      <c r="T704" t="s">
        <v>74</v>
      </c>
      <c r="U704" t="s">
        <v>12928</v>
      </c>
      <c r="V704" t="s">
        <v>12929</v>
      </c>
      <c r="W704" t="s">
        <v>12930</v>
      </c>
      <c r="X704" t="s">
        <v>12931</v>
      </c>
      <c r="Y704" t="s">
        <v>12932</v>
      </c>
      <c r="Z704" t="s">
        <v>12933</v>
      </c>
      <c r="AA704" t="s">
        <v>12934</v>
      </c>
      <c r="AB704" t="s">
        <v>12935</v>
      </c>
      <c r="AC704" t="s">
        <v>12936</v>
      </c>
      <c r="AD704" t="s">
        <v>12937</v>
      </c>
      <c r="AE704" t="s">
        <v>12938</v>
      </c>
      <c r="AF704" t="s">
        <v>74</v>
      </c>
      <c r="AG704">
        <v>102</v>
      </c>
      <c r="AH704">
        <v>188</v>
      </c>
      <c r="AI704">
        <v>212</v>
      </c>
      <c r="AJ704">
        <v>0</v>
      </c>
      <c r="AK704">
        <v>91</v>
      </c>
      <c r="AL704" t="s">
        <v>816</v>
      </c>
      <c r="AM704" t="s">
        <v>2038</v>
      </c>
      <c r="AN704" t="s">
        <v>4484</v>
      </c>
      <c r="AO704" t="s">
        <v>4485</v>
      </c>
      <c r="AP704" t="s">
        <v>4486</v>
      </c>
      <c r="AQ704" t="s">
        <v>74</v>
      </c>
      <c r="AR704" t="s">
        <v>4487</v>
      </c>
      <c r="AS704" t="s">
        <v>4488</v>
      </c>
      <c r="AT704" t="s">
        <v>74</v>
      </c>
      <c r="AU704">
        <v>2013</v>
      </c>
      <c r="AV704">
        <v>59</v>
      </c>
      <c r="AW704">
        <v>214</v>
      </c>
      <c r="AX704" t="s">
        <v>74</v>
      </c>
      <c r="AY704" t="s">
        <v>74</v>
      </c>
      <c r="AZ704" t="s">
        <v>74</v>
      </c>
      <c r="BA704" t="s">
        <v>74</v>
      </c>
      <c r="BB704">
        <v>195</v>
      </c>
      <c r="BC704">
        <v>224</v>
      </c>
      <c r="BD704" t="s">
        <v>74</v>
      </c>
      <c r="BE704" t="s">
        <v>12939</v>
      </c>
      <c r="BF704" t="str">
        <f>HYPERLINK("http://dx.doi.org/10.3189/2013JoG12J125","http://dx.doi.org/10.3189/2013JoG12J125")</f>
        <v>http://dx.doi.org/10.3189/2013JoG12J125</v>
      </c>
      <c r="BG704" t="s">
        <v>74</v>
      </c>
      <c r="BH704" t="s">
        <v>74</v>
      </c>
      <c r="BI704">
        <v>30</v>
      </c>
      <c r="BJ704" t="s">
        <v>2261</v>
      </c>
      <c r="BK704" t="s">
        <v>102</v>
      </c>
      <c r="BL704" t="s">
        <v>2262</v>
      </c>
      <c r="BM704" t="s">
        <v>6973</v>
      </c>
      <c r="BN704" t="s">
        <v>74</v>
      </c>
      <c r="BO704" t="s">
        <v>12940</v>
      </c>
      <c r="BP704" t="s">
        <v>74</v>
      </c>
      <c r="BQ704" t="s">
        <v>74</v>
      </c>
      <c r="BR704" t="s">
        <v>105</v>
      </c>
      <c r="BS704" t="s">
        <v>12941</v>
      </c>
      <c r="BT704" t="str">
        <f>HYPERLINK("https%3A%2F%2Fwww.webofscience.com%2Fwos%2Fwoscc%2Ffull-record%2FWOS:000319716100001","View Full Record in Web of Science")</f>
        <v>View Full Record in Web of Science</v>
      </c>
    </row>
    <row r="705" spans="1:72" x14ac:dyDescent="0.15">
      <c r="A705" t="s">
        <v>72</v>
      </c>
      <c r="B705" t="s">
        <v>12942</v>
      </c>
      <c r="C705" t="s">
        <v>74</v>
      </c>
      <c r="D705" t="s">
        <v>74</v>
      </c>
      <c r="E705" t="s">
        <v>74</v>
      </c>
      <c r="F705" t="s">
        <v>12943</v>
      </c>
      <c r="G705" t="s">
        <v>74</v>
      </c>
      <c r="H705" t="s">
        <v>74</v>
      </c>
      <c r="I705" t="s">
        <v>12944</v>
      </c>
      <c r="J705" t="s">
        <v>4472</v>
      </c>
      <c r="K705" t="s">
        <v>74</v>
      </c>
      <c r="L705" t="s">
        <v>74</v>
      </c>
      <c r="M705" t="s">
        <v>78</v>
      </c>
      <c r="N705" t="s">
        <v>79</v>
      </c>
      <c r="O705" t="s">
        <v>74</v>
      </c>
      <c r="P705" t="s">
        <v>74</v>
      </c>
      <c r="Q705" t="s">
        <v>74</v>
      </c>
      <c r="R705" t="s">
        <v>74</v>
      </c>
      <c r="S705" t="s">
        <v>74</v>
      </c>
      <c r="T705" t="s">
        <v>74</v>
      </c>
      <c r="U705" t="s">
        <v>12945</v>
      </c>
      <c r="V705" t="s">
        <v>12946</v>
      </c>
      <c r="W705" t="s">
        <v>12947</v>
      </c>
      <c r="X705" t="s">
        <v>12948</v>
      </c>
      <c r="Y705" t="s">
        <v>12949</v>
      </c>
      <c r="Z705" t="s">
        <v>12950</v>
      </c>
      <c r="AA705" t="s">
        <v>12951</v>
      </c>
      <c r="AB705" t="s">
        <v>12952</v>
      </c>
      <c r="AC705" t="s">
        <v>12953</v>
      </c>
      <c r="AD705" t="s">
        <v>12954</v>
      </c>
      <c r="AE705" t="s">
        <v>12955</v>
      </c>
      <c r="AF705" t="s">
        <v>74</v>
      </c>
      <c r="AG705">
        <v>49</v>
      </c>
      <c r="AH705">
        <v>24</v>
      </c>
      <c r="AI705">
        <v>28</v>
      </c>
      <c r="AJ705">
        <v>1</v>
      </c>
      <c r="AK705">
        <v>34</v>
      </c>
      <c r="AL705" t="s">
        <v>816</v>
      </c>
      <c r="AM705" t="s">
        <v>2038</v>
      </c>
      <c r="AN705" t="s">
        <v>4484</v>
      </c>
      <c r="AO705" t="s">
        <v>4485</v>
      </c>
      <c r="AP705" t="s">
        <v>4486</v>
      </c>
      <c r="AQ705" t="s">
        <v>74</v>
      </c>
      <c r="AR705" t="s">
        <v>4487</v>
      </c>
      <c r="AS705" t="s">
        <v>4488</v>
      </c>
      <c r="AT705" t="s">
        <v>74</v>
      </c>
      <c r="AU705">
        <v>2013</v>
      </c>
      <c r="AV705">
        <v>59</v>
      </c>
      <c r="AW705">
        <v>214</v>
      </c>
      <c r="AX705" t="s">
        <v>74</v>
      </c>
      <c r="AY705" t="s">
        <v>74</v>
      </c>
      <c r="AZ705" t="s">
        <v>74</v>
      </c>
      <c r="BA705" t="s">
        <v>74</v>
      </c>
      <c r="BB705">
        <v>255</v>
      </c>
      <c r="BC705">
        <v>268</v>
      </c>
      <c r="BD705" t="s">
        <v>74</v>
      </c>
      <c r="BE705" t="s">
        <v>12956</v>
      </c>
      <c r="BF705" t="str">
        <f>HYPERLINK("http://dx.doi.org/10.3189/2013JoG12J052","http://dx.doi.org/10.3189/2013JoG12J052")</f>
        <v>http://dx.doi.org/10.3189/2013JoG12J052</v>
      </c>
      <c r="BG705" t="s">
        <v>74</v>
      </c>
      <c r="BH705" t="s">
        <v>74</v>
      </c>
      <c r="BI705">
        <v>14</v>
      </c>
      <c r="BJ705" t="s">
        <v>2261</v>
      </c>
      <c r="BK705" t="s">
        <v>102</v>
      </c>
      <c r="BL705" t="s">
        <v>2262</v>
      </c>
      <c r="BM705" t="s">
        <v>6973</v>
      </c>
      <c r="BN705" t="s">
        <v>74</v>
      </c>
      <c r="BO705" t="s">
        <v>128</v>
      </c>
      <c r="BP705" t="s">
        <v>74</v>
      </c>
      <c r="BQ705" t="s">
        <v>74</v>
      </c>
      <c r="BR705" t="s">
        <v>105</v>
      </c>
      <c r="BS705" t="s">
        <v>12957</v>
      </c>
      <c r="BT705" t="str">
        <f>HYPERLINK("https%3A%2F%2Fwww.webofscience.com%2Fwos%2Fwoscc%2Ffull-record%2FWOS:000319716100005","View Full Record in Web of Science")</f>
        <v>View Full Record in Web of Science</v>
      </c>
    </row>
    <row r="706" spans="1:72" x14ac:dyDescent="0.15">
      <c r="A706" t="s">
        <v>72</v>
      </c>
      <c r="B706" t="s">
        <v>12958</v>
      </c>
      <c r="C706" t="s">
        <v>74</v>
      </c>
      <c r="D706" t="s">
        <v>74</v>
      </c>
      <c r="E706" t="s">
        <v>74</v>
      </c>
      <c r="F706" t="s">
        <v>12959</v>
      </c>
      <c r="G706" t="s">
        <v>74</v>
      </c>
      <c r="H706" t="s">
        <v>74</v>
      </c>
      <c r="I706" t="s">
        <v>12960</v>
      </c>
      <c r="J706" t="s">
        <v>4472</v>
      </c>
      <c r="K706" t="s">
        <v>74</v>
      </c>
      <c r="L706" t="s">
        <v>74</v>
      </c>
      <c r="M706" t="s">
        <v>78</v>
      </c>
      <c r="N706" t="s">
        <v>79</v>
      </c>
      <c r="O706" t="s">
        <v>74</v>
      </c>
      <c r="P706" t="s">
        <v>74</v>
      </c>
      <c r="Q706" t="s">
        <v>74</v>
      </c>
      <c r="R706" t="s">
        <v>74</v>
      </c>
      <c r="S706" t="s">
        <v>74</v>
      </c>
      <c r="T706" t="s">
        <v>74</v>
      </c>
      <c r="U706" t="s">
        <v>12961</v>
      </c>
      <c r="V706" t="s">
        <v>12962</v>
      </c>
      <c r="W706" t="s">
        <v>12963</v>
      </c>
      <c r="X706" t="s">
        <v>12964</v>
      </c>
      <c r="Y706" t="s">
        <v>12965</v>
      </c>
      <c r="Z706" t="s">
        <v>12966</v>
      </c>
      <c r="AA706" t="s">
        <v>74</v>
      </c>
      <c r="AB706" t="s">
        <v>12967</v>
      </c>
      <c r="AC706" t="s">
        <v>12968</v>
      </c>
      <c r="AD706" t="s">
        <v>12969</v>
      </c>
      <c r="AE706" t="s">
        <v>12970</v>
      </c>
      <c r="AF706" t="s">
        <v>74</v>
      </c>
      <c r="AG706">
        <v>17</v>
      </c>
      <c r="AH706">
        <v>10</v>
      </c>
      <c r="AI706">
        <v>11</v>
      </c>
      <c r="AJ706">
        <v>0</v>
      </c>
      <c r="AK706">
        <v>3</v>
      </c>
      <c r="AL706" t="s">
        <v>5814</v>
      </c>
      <c r="AM706" t="s">
        <v>2038</v>
      </c>
      <c r="AN706" t="s">
        <v>5815</v>
      </c>
      <c r="AO706" t="s">
        <v>4485</v>
      </c>
      <c r="AP706" t="s">
        <v>74</v>
      </c>
      <c r="AQ706" t="s">
        <v>74</v>
      </c>
      <c r="AR706" t="s">
        <v>4487</v>
      </c>
      <c r="AS706" t="s">
        <v>4488</v>
      </c>
      <c r="AT706" t="s">
        <v>74</v>
      </c>
      <c r="AU706">
        <v>2013</v>
      </c>
      <c r="AV706">
        <v>59</v>
      </c>
      <c r="AW706">
        <v>214</v>
      </c>
      <c r="AX706" t="s">
        <v>74</v>
      </c>
      <c r="AY706" t="s">
        <v>74</v>
      </c>
      <c r="AZ706" t="s">
        <v>74</v>
      </c>
      <c r="BA706" t="s">
        <v>74</v>
      </c>
      <c r="BB706">
        <v>303</v>
      </c>
      <c r="BC706">
        <v>314</v>
      </c>
      <c r="BD706" t="s">
        <v>74</v>
      </c>
      <c r="BE706" t="s">
        <v>12971</v>
      </c>
      <c r="BF706" t="str">
        <f>HYPERLINK("http://dx.doi.org/10.3189/2013JoG12J170","http://dx.doi.org/10.3189/2013JoG12J170")</f>
        <v>http://dx.doi.org/10.3189/2013JoG12J170</v>
      </c>
      <c r="BG706" t="s">
        <v>74</v>
      </c>
      <c r="BH706" t="s">
        <v>74</v>
      </c>
      <c r="BI706">
        <v>12</v>
      </c>
      <c r="BJ706" t="s">
        <v>2261</v>
      </c>
      <c r="BK706" t="s">
        <v>102</v>
      </c>
      <c r="BL706" t="s">
        <v>2262</v>
      </c>
      <c r="BM706" t="s">
        <v>6973</v>
      </c>
      <c r="BN706" t="s">
        <v>74</v>
      </c>
      <c r="BO706" t="s">
        <v>128</v>
      </c>
      <c r="BP706" t="s">
        <v>74</v>
      </c>
      <c r="BQ706" t="s">
        <v>74</v>
      </c>
      <c r="BR706" t="s">
        <v>105</v>
      </c>
      <c r="BS706" t="s">
        <v>12972</v>
      </c>
      <c r="BT706" t="str">
        <f>HYPERLINK("https%3A%2F%2Fwww.webofscience.com%2Fwos%2Fwoscc%2Ffull-record%2FWOS:000319716100009","View Full Record in Web of Science")</f>
        <v>View Full Record in Web of Science</v>
      </c>
    </row>
    <row r="707" spans="1:72" x14ac:dyDescent="0.15">
      <c r="A707" t="s">
        <v>72</v>
      </c>
      <c r="B707" t="s">
        <v>12973</v>
      </c>
      <c r="C707" t="s">
        <v>74</v>
      </c>
      <c r="D707" t="s">
        <v>74</v>
      </c>
      <c r="E707" t="s">
        <v>74</v>
      </c>
      <c r="F707" t="s">
        <v>12974</v>
      </c>
      <c r="G707" t="s">
        <v>74</v>
      </c>
      <c r="H707" t="s">
        <v>74</v>
      </c>
      <c r="I707" t="s">
        <v>12975</v>
      </c>
      <c r="J707" t="s">
        <v>4472</v>
      </c>
      <c r="K707" t="s">
        <v>74</v>
      </c>
      <c r="L707" t="s">
        <v>74</v>
      </c>
      <c r="M707" t="s">
        <v>78</v>
      </c>
      <c r="N707" t="s">
        <v>79</v>
      </c>
      <c r="O707" t="s">
        <v>74</v>
      </c>
      <c r="P707" t="s">
        <v>74</v>
      </c>
      <c r="Q707" t="s">
        <v>74</v>
      </c>
      <c r="R707" t="s">
        <v>74</v>
      </c>
      <c r="S707" t="s">
        <v>74</v>
      </c>
      <c r="T707" t="s">
        <v>74</v>
      </c>
      <c r="U707" t="s">
        <v>12976</v>
      </c>
      <c r="V707" t="s">
        <v>12977</v>
      </c>
      <c r="W707" t="s">
        <v>12978</v>
      </c>
      <c r="X707" t="s">
        <v>12979</v>
      </c>
      <c r="Y707" t="s">
        <v>12980</v>
      </c>
      <c r="Z707" t="s">
        <v>12981</v>
      </c>
      <c r="AA707" t="s">
        <v>12982</v>
      </c>
      <c r="AB707" t="s">
        <v>12983</v>
      </c>
      <c r="AC707" t="s">
        <v>12984</v>
      </c>
      <c r="AD707" t="s">
        <v>12985</v>
      </c>
      <c r="AE707" t="s">
        <v>12986</v>
      </c>
      <c r="AF707" t="s">
        <v>74</v>
      </c>
      <c r="AG707">
        <v>40</v>
      </c>
      <c r="AH707">
        <v>14</v>
      </c>
      <c r="AI707">
        <v>15</v>
      </c>
      <c r="AJ707">
        <v>0</v>
      </c>
      <c r="AK707">
        <v>18</v>
      </c>
      <c r="AL707" t="s">
        <v>816</v>
      </c>
      <c r="AM707" t="s">
        <v>2038</v>
      </c>
      <c r="AN707" t="s">
        <v>4484</v>
      </c>
      <c r="AO707" t="s">
        <v>4485</v>
      </c>
      <c r="AP707" t="s">
        <v>4486</v>
      </c>
      <c r="AQ707" t="s">
        <v>74</v>
      </c>
      <c r="AR707" t="s">
        <v>4487</v>
      </c>
      <c r="AS707" t="s">
        <v>4488</v>
      </c>
      <c r="AT707" t="s">
        <v>74</v>
      </c>
      <c r="AU707">
        <v>2013</v>
      </c>
      <c r="AV707">
        <v>59</v>
      </c>
      <c r="AW707">
        <v>214</v>
      </c>
      <c r="AX707" t="s">
        <v>74</v>
      </c>
      <c r="AY707" t="s">
        <v>74</v>
      </c>
      <c r="AZ707" t="s">
        <v>74</v>
      </c>
      <c r="BA707" t="s">
        <v>74</v>
      </c>
      <c r="BB707">
        <v>315</v>
      </c>
      <c r="BC707">
        <v>326</v>
      </c>
      <c r="BD707" t="s">
        <v>74</v>
      </c>
      <c r="BE707" t="s">
        <v>12987</v>
      </c>
      <c r="BF707" t="str">
        <f>HYPERLINK("http://dx.doi.org/10.3189/2013JoG12J056","http://dx.doi.org/10.3189/2013JoG12J056")</f>
        <v>http://dx.doi.org/10.3189/2013JoG12J056</v>
      </c>
      <c r="BG707" t="s">
        <v>74</v>
      </c>
      <c r="BH707" t="s">
        <v>74</v>
      </c>
      <c r="BI707">
        <v>12</v>
      </c>
      <c r="BJ707" t="s">
        <v>2261</v>
      </c>
      <c r="BK707" t="s">
        <v>102</v>
      </c>
      <c r="BL707" t="s">
        <v>2262</v>
      </c>
      <c r="BM707" t="s">
        <v>6973</v>
      </c>
      <c r="BN707" t="s">
        <v>74</v>
      </c>
      <c r="BO707" t="s">
        <v>128</v>
      </c>
      <c r="BP707" t="s">
        <v>74</v>
      </c>
      <c r="BQ707" t="s">
        <v>74</v>
      </c>
      <c r="BR707" t="s">
        <v>105</v>
      </c>
      <c r="BS707" t="s">
        <v>12988</v>
      </c>
      <c r="BT707" t="str">
        <f>HYPERLINK("https%3A%2F%2Fwww.webofscience.com%2Fwos%2Fwoscc%2Ffull-record%2FWOS:000319716100010","View Full Record in Web of Science")</f>
        <v>View Full Record in Web of Science</v>
      </c>
    </row>
    <row r="708" spans="1:72" x14ac:dyDescent="0.15">
      <c r="A708" t="s">
        <v>72</v>
      </c>
      <c r="B708" t="s">
        <v>12989</v>
      </c>
      <c r="C708" t="s">
        <v>74</v>
      </c>
      <c r="D708" t="s">
        <v>74</v>
      </c>
      <c r="E708" t="s">
        <v>74</v>
      </c>
      <c r="F708" t="s">
        <v>12990</v>
      </c>
      <c r="G708" t="s">
        <v>74</v>
      </c>
      <c r="H708" t="s">
        <v>74</v>
      </c>
      <c r="I708" t="s">
        <v>12991</v>
      </c>
      <c r="J708" t="s">
        <v>4472</v>
      </c>
      <c r="K708" t="s">
        <v>74</v>
      </c>
      <c r="L708" t="s">
        <v>74</v>
      </c>
      <c r="M708" t="s">
        <v>78</v>
      </c>
      <c r="N708" t="s">
        <v>79</v>
      </c>
      <c r="O708" t="s">
        <v>74</v>
      </c>
      <c r="P708" t="s">
        <v>74</v>
      </c>
      <c r="Q708" t="s">
        <v>74</v>
      </c>
      <c r="R708" t="s">
        <v>74</v>
      </c>
      <c r="S708" t="s">
        <v>74</v>
      </c>
      <c r="T708" t="s">
        <v>74</v>
      </c>
      <c r="U708" t="s">
        <v>12992</v>
      </c>
      <c r="V708" t="s">
        <v>12993</v>
      </c>
      <c r="W708" t="s">
        <v>12994</v>
      </c>
      <c r="X708" t="s">
        <v>12995</v>
      </c>
      <c r="Y708" t="s">
        <v>12996</v>
      </c>
      <c r="Z708" t="s">
        <v>12997</v>
      </c>
      <c r="AA708" t="s">
        <v>12998</v>
      </c>
      <c r="AB708" t="s">
        <v>12999</v>
      </c>
      <c r="AC708" t="s">
        <v>13000</v>
      </c>
      <c r="AD708" t="s">
        <v>13001</v>
      </c>
      <c r="AE708" t="s">
        <v>13002</v>
      </c>
      <c r="AF708" t="s">
        <v>74</v>
      </c>
      <c r="AG708">
        <v>53</v>
      </c>
      <c r="AH708">
        <v>27</v>
      </c>
      <c r="AI708">
        <v>27</v>
      </c>
      <c r="AJ708">
        <v>0</v>
      </c>
      <c r="AK708">
        <v>23</v>
      </c>
      <c r="AL708" t="s">
        <v>816</v>
      </c>
      <c r="AM708" t="s">
        <v>2038</v>
      </c>
      <c r="AN708" t="s">
        <v>4484</v>
      </c>
      <c r="AO708" t="s">
        <v>4485</v>
      </c>
      <c r="AP708" t="s">
        <v>4486</v>
      </c>
      <c r="AQ708" t="s">
        <v>74</v>
      </c>
      <c r="AR708" t="s">
        <v>4487</v>
      </c>
      <c r="AS708" t="s">
        <v>4488</v>
      </c>
      <c r="AT708" t="s">
        <v>74</v>
      </c>
      <c r="AU708">
        <v>2013</v>
      </c>
      <c r="AV708">
        <v>59</v>
      </c>
      <c r="AW708">
        <v>215</v>
      </c>
      <c r="AX708" t="s">
        <v>74</v>
      </c>
      <c r="AY708" t="s">
        <v>74</v>
      </c>
      <c r="AZ708" t="s">
        <v>74</v>
      </c>
      <c r="BA708" t="s">
        <v>74</v>
      </c>
      <c r="BB708">
        <v>397</v>
      </c>
      <c r="BC708">
        <v>409</v>
      </c>
      <c r="BD708" t="s">
        <v>74</v>
      </c>
      <c r="BE708" t="s">
        <v>13003</v>
      </c>
      <c r="BF708" t="str">
        <f>HYPERLINK("http://dx.doi.org/10.3189/2013JoG12J139","http://dx.doi.org/10.3189/2013JoG12J139")</f>
        <v>http://dx.doi.org/10.3189/2013JoG12J139</v>
      </c>
      <c r="BG708" t="s">
        <v>74</v>
      </c>
      <c r="BH708" t="s">
        <v>74</v>
      </c>
      <c r="BI708">
        <v>13</v>
      </c>
      <c r="BJ708" t="s">
        <v>2261</v>
      </c>
      <c r="BK708" t="s">
        <v>102</v>
      </c>
      <c r="BL708" t="s">
        <v>2262</v>
      </c>
      <c r="BM708" t="s">
        <v>6260</v>
      </c>
      <c r="BN708" t="s">
        <v>74</v>
      </c>
      <c r="BO708" t="s">
        <v>2019</v>
      </c>
      <c r="BP708" t="s">
        <v>74</v>
      </c>
      <c r="BQ708" t="s">
        <v>74</v>
      </c>
      <c r="BR708" t="s">
        <v>105</v>
      </c>
      <c r="BS708" t="s">
        <v>13004</v>
      </c>
      <c r="BT708" t="str">
        <f>HYPERLINK("https%3A%2F%2Fwww.webofscience.com%2Fwos%2Fwoscc%2Ffull-record%2FWOS:000323189600001","View Full Record in Web of Science")</f>
        <v>View Full Record in Web of Science</v>
      </c>
    </row>
    <row r="709" spans="1:72" x14ac:dyDescent="0.15">
      <c r="A709" t="s">
        <v>72</v>
      </c>
      <c r="B709" t="s">
        <v>13005</v>
      </c>
      <c r="C709" t="s">
        <v>74</v>
      </c>
      <c r="D709" t="s">
        <v>74</v>
      </c>
      <c r="E709" t="s">
        <v>74</v>
      </c>
      <c r="F709" t="s">
        <v>13006</v>
      </c>
      <c r="G709" t="s">
        <v>74</v>
      </c>
      <c r="H709" t="s">
        <v>74</v>
      </c>
      <c r="I709" t="s">
        <v>13007</v>
      </c>
      <c r="J709" t="s">
        <v>4472</v>
      </c>
      <c r="K709" t="s">
        <v>74</v>
      </c>
      <c r="L709" t="s">
        <v>74</v>
      </c>
      <c r="M709" t="s">
        <v>78</v>
      </c>
      <c r="N709" t="s">
        <v>79</v>
      </c>
      <c r="O709" t="s">
        <v>74</v>
      </c>
      <c r="P709" t="s">
        <v>74</v>
      </c>
      <c r="Q709" t="s">
        <v>74</v>
      </c>
      <c r="R709" t="s">
        <v>74</v>
      </c>
      <c r="S709" t="s">
        <v>74</v>
      </c>
      <c r="T709" t="s">
        <v>74</v>
      </c>
      <c r="U709" t="s">
        <v>13008</v>
      </c>
      <c r="V709" t="s">
        <v>13009</v>
      </c>
      <c r="W709" t="s">
        <v>13010</v>
      </c>
      <c r="X709" t="s">
        <v>13011</v>
      </c>
      <c r="Y709" t="s">
        <v>13012</v>
      </c>
      <c r="Z709" t="s">
        <v>13013</v>
      </c>
      <c r="AA709" t="s">
        <v>13014</v>
      </c>
      <c r="AB709" t="s">
        <v>13015</v>
      </c>
      <c r="AC709" t="s">
        <v>13016</v>
      </c>
      <c r="AD709" t="s">
        <v>13017</v>
      </c>
      <c r="AE709" t="s">
        <v>13018</v>
      </c>
      <c r="AF709" t="s">
        <v>74</v>
      </c>
      <c r="AG709">
        <v>52</v>
      </c>
      <c r="AH709">
        <v>145</v>
      </c>
      <c r="AI709">
        <v>162</v>
      </c>
      <c r="AJ709">
        <v>0</v>
      </c>
      <c r="AK709">
        <v>40</v>
      </c>
      <c r="AL709" t="s">
        <v>816</v>
      </c>
      <c r="AM709" t="s">
        <v>2038</v>
      </c>
      <c r="AN709" t="s">
        <v>4484</v>
      </c>
      <c r="AO709" t="s">
        <v>4485</v>
      </c>
      <c r="AP709" t="s">
        <v>4486</v>
      </c>
      <c r="AQ709" t="s">
        <v>74</v>
      </c>
      <c r="AR709" t="s">
        <v>4487</v>
      </c>
      <c r="AS709" t="s">
        <v>4488</v>
      </c>
      <c r="AT709" t="s">
        <v>74</v>
      </c>
      <c r="AU709">
        <v>2013</v>
      </c>
      <c r="AV709">
        <v>59</v>
      </c>
      <c r="AW709">
        <v>215</v>
      </c>
      <c r="AX709" t="s">
        <v>74</v>
      </c>
      <c r="AY709" t="s">
        <v>74</v>
      </c>
      <c r="AZ709" t="s">
        <v>74</v>
      </c>
      <c r="BA709" t="s">
        <v>74</v>
      </c>
      <c r="BB709">
        <v>410</v>
      </c>
      <c r="BC709">
        <v>422</v>
      </c>
      <c r="BD709" t="s">
        <v>74</v>
      </c>
      <c r="BE709" t="s">
        <v>13019</v>
      </c>
      <c r="BF709" t="str">
        <f>HYPERLINK("http://dx.doi.org/10.3189/2013JoG12J129","http://dx.doi.org/10.3189/2013JoG12J129")</f>
        <v>http://dx.doi.org/10.3189/2013JoG12J129</v>
      </c>
      <c r="BG709" t="s">
        <v>74</v>
      </c>
      <c r="BH709" t="s">
        <v>74</v>
      </c>
      <c r="BI709">
        <v>13</v>
      </c>
      <c r="BJ709" t="s">
        <v>2261</v>
      </c>
      <c r="BK709" t="s">
        <v>102</v>
      </c>
      <c r="BL709" t="s">
        <v>2262</v>
      </c>
      <c r="BM709" t="s">
        <v>6260</v>
      </c>
      <c r="BN709" t="s">
        <v>74</v>
      </c>
      <c r="BO709" t="s">
        <v>10385</v>
      </c>
      <c r="BP709" t="s">
        <v>74</v>
      </c>
      <c r="BQ709" t="s">
        <v>74</v>
      </c>
      <c r="BR709" t="s">
        <v>105</v>
      </c>
      <c r="BS709" t="s">
        <v>13020</v>
      </c>
      <c r="BT709" t="str">
        <f>HYPERLINK("https%3A%2F%2Fwww.webofscience.com%2Fwos%2Fwoscc%2Ffull-record%2FWOS:000323189600002","View Full Record in Web of Science")</f>
        <v>View Full Record in Web of Science</v>
      </c>
    </row>
    <row r="710" spans="1:72" x14ac:dyDescent="0.15">
      <c r="A710" t="s">
        <v>72</v>
      </c>
      <c r="B710" t="s">
        <v>13021</v>
      </c>
      <c r="C710" t="s">
        <v>74</v>
      </c>
      <c r="D710" t="s">
        <v>74</v>
      </c>
      <c r="E710" t="s">
        <v>74</v>
      </c>
      <c r="F710" t="s">
        <v>13022</v>
      </c>
      <c r="G710" t="s">
        <v>74</v>
      </c>
      <c r="H710" t="s">
        <v>74</v>
      </c>
      <c r="I710" t="s">
        <v>13023</v>
      </c>
      <c r="J710" t="s">
        <v>4472</v>
      </c>
      <c r="K710" t="s">
        <v>74</v>
      </c>
      <c r="L710" t="s">
        <v>74</v>
      </c>
      <c r="M710" t="s">
        <v>78</v>
      </c>
      <c r="N710" t="s">
        <v>79</v>
      </c>
      <c r="O710" t="s">
        <v>74</v>
      </c>
      <c r="P710" t="s">
        <v>74</v>
      </c>
      <c r="Q710" t="s">
        <v>74</v>
      </c>
      <c r="R710" t="s">
        <v>74</v>
      </c>
      <c r="S710" t="s">
        <v>74</v>
      </c>
      <c r="T710" t="s">
        <v>74</v>
      </c>
      <c r="U710" t="s">
        <v>13024</v>
      </c>
      <c r="V710" t="s">
        <v>13025</v>
      </c>
      <c r="W710" t="s">
        <v>13026</v>
      </c>
      <c r="X710" t="s">
        <v>13027</v>
      </c>
      <c r="Y710" t="s">
        <v>13028</v>
      </c>
      <c r="Z710" t="s">
        <v>13029</v>
      </c>
      <c r="AA710" t="s">
        <v>13030</v>
      </c>
      <c r="AB710" t="s">
        <v>13031</v>
      </c>
      <c r="AC710" t="s">
        <v>13032</v>
      </c>
      <c r="AD710" t="s">
        <v>13033</v>
      </c>
      <c r="AE710" t="s">
        <v>13034</v>
      </c>
      <c r="AF710" t="s">
        <v>74</v>
      </c>
      <c r="AG710">
        <v>65</v>
      </c>
      <c r="AH710">
        <v>24</v>
      </c>
      <c r="AI710">
        <v>24</v>
      </c>
      <c r="AJ710">
        <v>1</v>
      </c>
      <c r="AK710">
        <v>49</v>
      </c>
      <c r="AL710" t="s">
        <v>816</v>
      </c>
      <c r="AM710" t="s">
        <v>2038</v>
      </c>
      <c r="AN710" t="s">
        <v>4484</v>
      </c>
      <c r="AO710" t="s">
        <v>4485</v>
      </c>
      <c r="AP710" t="s">
        <v>4486</v>
      </c>
      <c r="AQ710" t="s">
        <v>74</v>
      </c>
      <c r="AR710" t="s">
        <v>4487</v>
      </c>
      <c r="AS710" t="s">
        <v>4488</v>
      </c>
      <c r="AT710" t="s">
        <v>74</v>
      </c>
      <c r="AU710">
        <v>2013</v>
      </c>
      <c r="AV710">
        <v>59</v>
      </c>
      <c r="AW710">
        <v>216</v>
      </c>
      <c r="AX710" t="s">
        <v>74</v>
      </c>
      <c r="AY710" t="s">
        <v>74</v>
      </c>
      <c r="AZ710" t="s">
        <v>74</v>
      </c>
      <c r="BA710" t="s">
        <v>74</v>
      </c>
      <c r="BB710">
        <v>599</v>
      </c>
      <c r="BC710">
        <v>612</v>
      </c>
      <c r="BD710" t="s">
        <v>74</v>
      </c>
      <c r="BE710" t="s">
        <v>13035</v>
      </c>
      <c r="BF710" t="str">
        <f>HYPERLINK("http://dx.doi.org/10.3189/2013JoG12J157","http://dx.doi.org/10.3189/2013JoG12J157")</f>
        <v>http://dx.doi.org/10.3189/2013JoG12J157</v>
      </c>
      <c r="BG710" t="s">
        <v>74</v>
      </c>
      <c r="BH710" t="s">
        <v>74</v>
      </c>
      <c r="BI710">
        <v>14</v>
      </c>
      <c r="BJ710" t="s">
        <v>2261</v>
      </c>
      <c r="BK710" t="s">
        <v>102</v>
      </c>
      <c r="BL710" t="s">
        <v>2262</v>
      </c>
      <c r="BM710" t="s">
        <v>13036</v>
      </c>
      <c r="BN710" t="s">
        <v>74</v>
      </c>
      <c r="BO710" t="s">
        <v>128</v>
      </c>
      <c r="BP710" t="s">
        <v>74</v>
      </c>
      <c r="BQ710" t="s">
        <v>74</v>
      </c>
      <c r="BR710" t="s">
        <v>105</v>
      </c>
      <c r="BS710" t="s">
        <v>13037</v>
      </c>
      <c r="BT710" t="str">
        <f>HYPERLINK("https%3A%2F%2Fwww.webofscience.com%2Fwos%2Fwoscc%2Ffull-record%2FWOS:000324153800001","View Full Record in Web of Science")</f>
        <v>View Full Record in Web of Science</v>
      </c>
    </row>
    <row r="711" spans="1:72" x14ac:dyDescent="0.15">
      <c r="A711" t="s">
        <v>72</v>
      </c>
      <c r="B711" t="s">
        <v>13038</v>
      </c>
      <c r="C711" t="s">
        <v>74</v>
      </c>
      <c r="D711" t="s">
        <v>74</v>
      </c>
      <c r="E711" t="s">
        <v>74</v>
      </c>
      <c r="F711" t="s">
        <v>13039</v>
      </c>
      <c r="G711" t="s">
        <v>74</v>
      </c>
      <c r="H711" t="s">
        <v>74</v>
      </c>
      <c r="I711" t="s">
        <v>13040</v>
      </c>
      <c r="J711" t="s">
        <v>4472</v>
      </c>
      <c r="K711" t="s">
        <v>74</v>
      </c>
      <c r="L711" t="s">
        <v>74</v>
      </c>
      <c r="M711" t="s">
        <v>78</v>
      </c>
      <c r="N711" t="s">
        <v>79</v>
      </c>
      <c r="O711" t="s">
        <v>74</v>
      </c>
      <c r="P711" t="s">
        <v>74</v>
      </c>
      <c r="Q711" t="s">
        <v>74</v>
      </c>
      <c r="R711" t="s">
        <v>74</v>
      </c>
      <c r="S711" t="s">
        <v>74</v>
      </c>
      <c r="T711" t="s">
        <v>74</v>
      </c>
      <c r="U711" t="s">
        <v>13041</v>
      </c>
      <c r="V711" t="s">
        <v>13042</v>
      </c>
      <c r="W711" t="s">
        <v>13043</v>
      </c>
      <c r="X711" t="s">
        <v>13044</v>
      </c>
      <c r="Y711" t="s">
        <v>13045</v>
      </c>
      <c r="Z711" t="s">
        <v>13046</v>
      </c>
      <c r="AA711" t="s">
        <v>13047</v>
      </c>
      <c r="AB711" t="s">
        <v>13048</v>
      </c>
      <c r="AC711" t="s">
        <v>13049</v>
      </c>
      <c r="AD711" t="s">
        <v>13050</v>
      </c>
      <c r="AE711" t="s">
        <v>13051</v>
      </c>
      <c r="AF711" t="s">
        <v>74</v>
      </c>
      <c r="AG711">
        <v>70</v>
      </c>
      <c r="AH711">
        <v>317</v>
      </c>
      <c r="AI711">
        <v>346</v>
      </c>
      <c r="AJ711">
        <v>4</v>
      </c>
      <c r="AK711">
        <v>80</v>
      </c>
      <c r="AL711" t="s">
        <v>816</v>
      </c>
      <c r="AM711" t="s">
        <v>2038</v>
      </c>
      <c r="AN711" t="s">
        <v>4484</v>
      </c>
      <c r="AO711" t="s">
        <v>4485</v>
      </c>
      <c r="AP711" t="s">
        <v>4486</v>
      </c>
      <c r="AQ711" t="s">
        <v>74</v>
      </c>
      <c r="AR711" t="s">
        <v>4487</v>
      </c>
      <c r="AS711" t="s">
        <v>4488</v>
      </c>
      <c r="AT711" t="s">
        <v>74</v>
      </c>
      <c r="AU711">
        <v>2013</v>
      </c>
      <c r="AV711">
        <v>59</v>
      </c>
      <c r="AW711">
        <v>216</v>
      </c>
      <c r="AX711" t="s">
        <v>74</v>
      </c>
      <c r="AY711" t="s">
        <v>74</v>
      </c>
      <c r="AZ711" t="s">
        <v>74</v>
      </c>
      <c r="BA711" t="s">
        <v>74</v>
      </c>
      <c r="BB711">
        <v>613</v>
      </c>
      <c r="BC711">
        <v>631</v>
      </c>
      <c r="BD711" t="s">
        <v>74</v>
      </c>
      <c r="BE711" t="s">
        <v>13052</v>
      </c>
      <c r="BF711" t="str">
        <f>HYPERLINK("http://dx.doi.org/10.3189/2013JoG12J147","http://dx.doi.org/10.3189/2013JoG12J147")</f>
        <v>http://dx.doi.org/10.3189/2013JoG12J147</v>
      </c>
      <c r="BG711" t="s">
        <v>74</v>
      </c>
      <c r="BH711" t="s">
        <v>74</v>
      </c>
      <c r="BI711">
        <v>19</v>
      </c>
      <c r="BJ711" t="s">
        <v>2261</v>
      </c>
      <c r="BK711" t="s">
        <v>102</v>
      </c>
      <c r="BL711" t="s">
        <v>2262</v>
      </c>
      <c r="BM711" t="s">
        <v>13036</v>
      </c>
      <c r="BN711" t="s">
        <v>74</v>
      </c>
      <c r="BO711" t="s">
        <v>128</v>
      </c>
      <c r="BP711" t="s">
        <v>1779</v>
      </c>
      <c r="BQ711" t="s">
        <v>1780</v>
      </c>
      <c r="BR711" t="s">
        <v>105</v>
      </c>
      <c r="BS711" t="s">
        <v>13053</v>
      </c>
      <c r="BT711" t="str">
        <f>HYPERLINK("https%3A%2F%2Fwww.webofscience.com%2Fwos%2Fwoscc%2Ffull-record%2FWOS:000324153800002","View Full Record in Web of Science")</f>
        <v>View Full Record in Web of Science</v>
      </c>
    </row>
    <row r="712" spans="1:72" x14ac:dyDescent="0.15">
      <c r="A712" t="s">
        <v>72</v>
      </c>
      <c r="B712" t="s">
        <v>13054</v>
      </c>
      <c r="C712" t="s">
        <v>74</v>
      </c>
      <c r="D712" t="s">
        <v>74</v>
      </c>
      <c r="E712" t="s">
        <v>74</v>
      </c>
      <c r="F712" t="s">
        <v>13055</v>
      </c>
      <c r="G712" t="s">
        <v>74</v>
      </c>
      <c r="H712" t="s">
        <v>74</v>
      </c>
      <c r="I712" t="s">
        <v>13056</v>
      </c>
      <c r="J712" t="s">
        <v>4472</v>
      </c>
      <c r="K712" t="s">
        <v>74</v>
      </c>
      <c r="L712" t="s">
        <v>74</v>
      </c>
      <c r="M712" t="s">
        <v>78</v>
      </c>
      <c r="N712" t="s">
        <v>79</v>
      </c>
      <c r="O712" t="s">
        <v>74</v>
      </c>
      <c r="P712" t="s">
        <v>74</v>
      </c>
      <c r="Q712" t="s">
        <v>74</v>
      </c>
      <c r="R712" t="s">
        <v>74</v>
      </c>
      <c r="S712" t="s">
        <v>74</v>
      </c>
      <c r="T712" t="s">
        <v>74</v>
      </c>
      <c r="U712" t="s">
        <v>13057</v>
      </c>
      <c r="V712" t="s">
        <v>13058</v>
      </c>
      <c r="W712" t="s">
        <v>13059</v>
      </c>
      <c r="X712" t="s">
        <v>13060</v>
      </c>
      <c r="Y712" t="s">
        <v>13061</v>
      </c>
      <c r="Z712" t="s">
        <v>13062</v>
      </c>
      <c r="AA712" t="s">
        <v>74</v>
      </c>
      <c r="AB712" t="s">
        <v>10348</v>
      </c>
      <c r="AC712" t="s">
        <v>13063</v>
      </c>
      <c r="AD712" t="s">
        <v>13064</v>
      </c>
      <c r="AE712" t="s">
        <v>13065</v>
      </c>
      <c r="AF712" t="s">
        <v>74</v>
      </c>
      <c r="AG712">
        <v>53</v>
      </c>
      <c r="AH712">
        <v>18</v>
      </c>
      <c r="AI712">
        <v>20</v>
      </c>
      <c r="AJ712">
        <v>0</v>
      </c>
      <c r="AK712">
        <v>13</v>
      </c>
      <c r="AL712" t="s">
        <v>5814</v>
      </c>
      <c r="AM712" t="s">
        <v>2038</v>
      </c>
      <c r="AN712" t="s">
        <v>5815</v>
      </c>
      <c r="AO712" t="s">
        <v>4485</v>
      </c>
      <c r="AP712" t="s">
        <v>4486</v>
      </c>
      <c r="AQ712" t="s">
        <v>74</v>
      </c>
      <c r="AR712" t="s">
        <v>4487</v>
      </c>
      <c r="AS712" t="s">
        <v>4488</v>
      </c>
      <c r="AT712" t="s">
        <v>74</v>
      </c>
      <c r="AU712">
        <v>2013</v>
      </c>
      <c r="AV712">
        <v>59</v>
      </c>
      <c r="AW712">
        <v>217</v>
      </c>
      <c r="AX712" t="s">
        <v>74</v>
      </c>
      <c r="AY712" t="s">
        <v>74</v>
      </c>
      <c r="AZ712" t="s">
        <v>74</v>
      </c>
      <c r="BA712" t="s">
        <v>74</v>
      </c>
      <c r="BB712">
        <v>805</v>
      </c>
      <c r="BC712">
        <v>818</v>
      </c>
      <c r="BD712" t="s">
        <v>74</v>
      </c>
      <c r="BE712" t="s">
        <v>13066</v>
      </c>
      <c r="BF712" t="str">
        <f>HYPERLINK("http://dx.doi.org/10.3189/2013JoG12J156","http://dx.doi.org/10.3189/2013JoG12J156")</f>
        <v>http://dx.doi.org/10.3189/2013JoG12J156</v>
      </c>
      <c r="BG712" t="s">
        <v>74</v>
      </c>
      <c r="BH712" t="s">
        <v>74</v>
      </c>
      <c r="BI712">
        <v>14</v>
      </c>
      <c r="BJ712" t="s">
        <v>2261</v>
      </c>
      <c r="BK712" t="s">
        <v>102</v>
      </c>
      <c r="BL712" t="s">
        <v>2262</v>
      </c>
      <c r="BM712" t="s">
        <v>5623</v>
      </c>
      <c r="BN712" t="s">
        <v>74</v>
      </c>
      <c r="BO712" t="s">
        <v>13067</v>
      </c>
      <c r="BP712" t="s">
        <v>74</v>
      </c>
      <c r="BQ712" t="s">
        <v>74</v>
      </c>
      <c r="BR712" t="s">
        <v>105</v>
      </c>
      <c r="BS712" t="s">
        <v>13068</v>
      </c>
      <c r="BT712" t="str">
        <f>HYPERLINK("https%3A%2F%2Fwww.webofscience.com%2Fwos%2Fwoscc%2Ffull-record%2FWOS:000325385200001","View Full Record in Web of Science")</f>
        <v>View Full Record in Web of Science</v>
      </c>
    </row>
    <row r="713" spans="1:72" x14ac:dyDescent="0.15">
      <c r="A713" t="s">
        <v>72</v>
      </c>
      <c r="B713" t="s">
        <v>13069</v>
      </c>
      <c r="C713" t="s">
        <v>74</v>
      </c>
      <c r="D713" t="s">
        <v>74</v>
      </c>
      <c r="E713" t="s">
        <v>74</v>
      </c>
      <c r="F713" t="s">
        <v>13070</v>
      </c>
      <c r="G713" t="s">
        <v>74</v>
      </c>
      <c r="H713" t="s">
        <v>74</v>
      </c>
      <c r="I713" t="s">
        <v>13071</v>
      </c>
      <c r="J713" t="s">
        <v>4472</v>
      </c>
      <c r="K713" t="s">
        <v>74</v>
      </c>
      <c r="L713" t="s">
        <v>74</v>
      </c>
      <c r="M713" t="s">
        <v>78</v>
      </c>
      <c r="N713" t="s">
        <v>79</v>
      </c>
      <c r="O713" t="s">
        <v>74</v>
      </c>
      <c r="P713" t="s">
        <v>74</v>
      </c>
      <c r="Q713" t="s">
        <v>74</v>
      </c>
      <c r="R713" t="s">
        <v>74</v>
      </c>
      <c r="S713" t="s">
        <v>74</v>
      </c>
      <c r="T713" t="s">
        <v>74</v>
      </c>
      <c r="U713" t="s">
        <v>13072</v>
      </c>
      <c r="V713" t="s">
        <v>13073</v>
      </c>
      <c r="W713" t="s">
        <v>13074</v>
      </c>
      <c r="X713" t="s">
        <v>3547</v>
      </c>
      <c r="Y713" t="s">
        <v>13075</v>
      </c>
      <c r="Z713" t="s">
        <v>13076</v>
      </c>
      <c r="AA713" t="s">
        <v>13077</v>
      </c>
      <c r="AB713" t="s">
        <v>13078</v>
      </c>
      <c r="AC713" t="s">
        <v>13079</v>
      </c>
      <c r="AD713" t="s">
        <v>13079</v>
      </c>
      <c r="AE713" t="s">
        <v>13080</v>
      </c>
      <c r="AF713" t="s">
        <v>74</v>
      </c>
      <c r="AG713">
        <v>10</v>
      </c>
      <c r="AH713">
        <v>31</v>
      </c>
      <c r="AI713">
        <v>34</v>
      </c>
      <c r="AJ713">
        <v>0</v>
      </c>
      <c r="AK713">
        <v>12</v>
      </c>
      <c r="AL713" t="s">
        <v>816</v>
      </c>
      <c r="AM713" t="s">
        <v>2038</v>
      </c>
      <c r="AN713" t="s">
        <v>4484</v>
      </c>
      <c r="AO713" t="s">
        <v>4485</v>
      </c>
      <c r="AP713" t="s">
        <v>4486</v>
      </c>
      <c r="AQ713" t="s">
        <v>74</v>
      </c>
      <c r="AR713" t="s">
        <v>4487</v>
      </c>
      <c r="AS713" t="s">
        <v>4488</v>
      </c>
      <c r="AT713" t="s">
        <v>74</v>
      </c>
      <c r="AU713">
        <v>2013</v>
      </c>
      <c r="AV713">
        <v>59</v>
      </c>
      <c r="AW713">
        <v>218</v>
      </c>
      <c r="AX713" t="s">
        <v>74</v>
      </c>
      <c r="AY713" t="s">
        <v>74</v>
      </c>
      <c r="AZ713" t="s">
        <v>74</v>
      </c>
      <c r="BA713" t="s">
        <v>74</v>
      </c>
      <c r="BB713">
        <v>1009</v>
      </c>
      <c r="BC713">
        <v>1014</v>
      </c>
      <c r="BD713" t="s">
        <v>74</v>
      </c>
      <c r="BE713" t="s">
        <v>13081</v>
      </c>
      <c r="BF713" t="str">
        <f>HYPERLINK("http://dx.doi.org/10.3189/2013JoG13J028","http://dx.doi.org/10.3189/2013JoG13J028")</f>
        <v>http://dx.doi.org/10.3189/2013JoG13J028</v>
      </c>
      <c r="BG713" t="s">
        <v>74</v>
      </c>
      <c r="BH713" t="s">
        <v>74</v>
      </c>
      <c r="BI713">
        <v>6</v>
      </c>
      <c r="BJ713" t="s">
        <v>2261</v>
      </c>
      <c r="BK713" t="s">
        <v>102</v>
      </c>
      <c r="BL713" t="s">
        <v>2262</v>
      </c>
      <c r="BM713" t="s">
        <v>4490</v>
      </c>
      <c r="BN713" t="s">
        <v>74</v>
      </c>
      <c r="BO713" t="s">
        <v>1396</v>
      </c>
      <c r="BP713" t="s">
        <v>74</v>
      </c>
      <c r="BQ713" t="s">
        <v>74</v>
      </c>
      <c r="BR713" t="s">
        <v>105</v>
      </c>
      <c r="BS713" t="s">
        <v>13082</v>
      </c>
      <c r="BT713" t="str">
        <f>HYPERLINK("https%3A%2F%2Fwww.webofscience.com%2Fwos%2Fwoscc%2Ffull-record%2FWOS:000329013700001","View Full Record in Web of Science")</f>
        <v>View Full Record in Web of Science</v>
      </c>
    </row>
    <row r="714" spans="1:72" x14ac:dyDescent="0.15">
      <c r="A714" t="s">
        <v>72</v>
      </c>
      <c r="B714" t="s">
        <v>13083</v>
      </c>
      <c r="C714" t="s">
        <v>74</v>
      </c>
      <c r="D714" t="s">
        <v>74</v>
      </c>
      <c r="E714" t="s">
        <v>74</v>
      </c>
      <c r="F714" t="s">
        <v>13084</v>
      </c>
      <c r="G714" t="s">
        <v>74</v>
      </c>
      <c r="H714" t="s">
        <v>2927</v>
      </c>
      <c r="I714" t="s">
        <v>13085</v>
      </c>
      <c r="J714" t="s">
        <v>4472</v>
      </c>
      <c r="K714" t="s">
        <v>74</v>
      </c>
      <c r="L714" t="s">
        <v>74</v>
      </c>
      <c r="M714" t="s">
        <v>78</v>
      </c>
      <c r="N714" t="s">
        <v>79</v>
      </c>
      <c r="O714" t="s">
        <v>74</v>
      </c>
      <c r="P714" t="s">
        <v>74</v>
      </c>
      <c r="Q714" t="s">
        <v>74</v>
      </c>
      <c r="R714" t="s">
        <v>74</v>
      </c>
      <c r="S714" t="s">
        <v>74</v>
      </c>
      <c r="T714" t="s">
        <v>74</v>
      </c>
      <c r="U714" t="s">
        <v>13086</v>
      </c>
      <c r="V714" t="s">
        <v>13087</v>
      </c>
      <c r="W714" t="s">
        <v>13088</v>
      </c>
      <c r="X714" t="s">
        <v>13089</v>
      </c>
      <c r="Y714" t="s">
        <v>13090</v>
      </c>
      <c r="Z714" t="s">
        <v>74</v>
      </c>
      <c r="AA714" t="s">
        <v>13091</v>
      </c>
      <c r="AB714" t="s">
        <v>13092</v>
      </c>
      <c r="AC714" t="s">
        <v>13093</v>
      </c>
      <c r="AD714" t="s">
        <v>13094</v>
      </c>
      <c r="AE714" t="s">
        <v>13095</v>
      </c>
      <c r="AF714" t="s">
        <v>74</v>
      </c>
      <c r="AG714">
        <v>63</v>
      </c>
      <c r="AH714">
        <v>17</v>
      </c>
      <c r="AI714">
        <v>31</v>
      </c>
      <c r="AJ714">
        <v>3</v>
      </c>
      <c r="AK714">
        <v>24</v>
      </c>
      <c r="AL714" t="s">
        <v>816</v>
      </c>
      <c r="AM714" t="s">
        <v>2038</v>
      </c>
      <c r="AN714" t="s">
        <v>4484</v>
      </c>
      <c r="AO714" t="s">
        <v>4485</v>
      </c>
      <c r="AP714" t="s">
        <v>4486</v>
      </c>
      <c r="AQ714" t="s">
        <v>74</v>
      </c>
      <c r="AR714" t="s">
        <v>4487</v>
      </c>
      <c r="AS714" t="s">
        <v>4488</v>
      </c>
      <c r="AT714" t="s">
        <v>74</v>
      </c>
      <c r="AU714">
        <v>2013</v>
      </c>
      <c r="AV714">
        <v>59</v>
      </c>
      <c r="AW714">
        <v>218</v>
      </c>
      <c r="AX714" t="s">
        <v>74</v>
      </c>
      <c r="AY714" t="s">
        <v>74</v>
      </c>
      <c r="AZ714" t="s">
        <v>74</v>
      </c>
      <c r="BA714" t="s">
        <v>74</v>
      </c>
      <c r="BB714">
        <v>1117</v>
      </c>
      <c r="BC714">
        <v>1128</v>
      </c>
      <c r="BD714" t="s">
        <v>74</v>
      </c>
      <c r="BE714" t="s">
        <v>13096</v>
      </c>
      <c r="BF714" t="str">
        <f>HYPERLINK("http://dx.doi.org/10.3189/2013JoG13J068","http://dx.doi.org/10.3189/2013JoG13J068")</f>
        <v>http://dx.doi.org/10.3189/2013JoG13J068</v>
      </c>
      <c r="BG714" t="s">
        <v>74</v>
      </c>
      <c r="BH714" t="s">
        <v>74</v>
      </c>
      <c r="BI714">
        <v>12</v>
      </c>
      <c r="BJ714" t="s">
        <v>2261</v>
      </c>
      <c r="BK714" t="s">
        <v>102</v>
      </c>
      <c r="BL714" t="s">
        <v>2262</v>
      </c>
      <c r="BM714" t="s">
        <v>4490</v>
      </c>
      <c r="BN714" t="s">
        <v>74</v>
      </c>
      <c r="BO714" t="s">
        <v>1379</v>
      </c>
      <c r="BP714" t="s">
        <v>74</v>
      </c>
      <c r="BQ714" t="s">
        <v>74</v>
      </c>
      <c r="BR714" t="s">
        <v>105</v>
      </c>
      <c r="BS714" t="s">
        <v>13097</v>
      </c>
      <c r="BT714" t="str">
        <f>HYPERLINK("https%3A%2F%2Fwww.webofscience.com%2Fwos%2Fwoscc%2Ffull-record%2FWOS:000329013700011","View Full Record in Web of Science")</f>
        <v>View Full Record in Web of Science</v>
      </c>
    </row>
    <row r="715" spans="1:72" x14ac:dyDescent="0.15">
      <c r="A715" t="s">
        <v>72</v>
      </c>
      <c r="B715" t="s">
        <v>13098</v>
      </c>
      <c r="C715" t="s">
        <v>74</v>
      </c>
      <c r="D715" t="s">
        <v>74</v>
      </c>
      <c r="E715" t="s">
        <v>74</v>
      </c>
      <c r="F715" t="s">
        <v>13099</v>
      </c>
      <c r="G715" t="s">
        <v>74</v>
      </c>
      <c r="H715" t="s">
        <v>74</v>
      </c>
      <c r="I715" t="s">
        <v>13100</v>
      </c>
      <c r="J715" t="s">
        <v>4472</v>
      </c>
      <c r="K715" t="s">
        <v>74</v>
      </c>
      <c r="L715" t="s">
        <v>74</v>
      </c>
      <c r="M715" t="s">
        <v>78</v>
      </c>
      <c r="N715" t="s">
        <v>79</v>
      </c>
      <c r="O715" t="s">
        <v>74</v>
      </c>
      <c r="P715" t="s">
        <v>74</v>
      </c>
      <c r="Q715" t="s">
        <v>74</v>
      </c>
      <c r="R715" t="s">
        <v>74</v>
      </c>
      <c r="S715" t="s">
        <v>74</v>
      </c>
      <c r="T715" t="s">
        <v>74</v>
      </c>
      <c r="U715" t="s">
        <v>74</v>
      </c>
      <c r="V715" t="s">
        <v>13101</v>
      </c>
      <c r="W715" t="s">
        <v>13102</v>
      </c>
      <c r="X715" t="s">
        <v>1249</v>
      </c>
      <c r="Y715" t="s">
        <v>13103</v>
      </c>
      <c r="Z715" t="s">
        <v>13104</v>
      </c>
      <c r="AA715" t="s">
        <v>13105</v>
      </c>
      <c r="AB715" t="s">
        <v>13106</v>
      </c>
      <c r="AC715" t="s">
        <v>13107</v>
      </c>
      <c r="AD715" t="s">
        <v>2584</v>
      </c>
      <c r="AE715" t="s">
        <v>13108</v>
      </c>
      <c r="AF715" t="s">
        <v>74</v>
      </c>
      <c r="AG715">
        <v>15</v>
      </c>
      <c r="AH715">
        <v>4</v>
      </c>
      <c r="AI715">
        <v>4</v>
      </c>
      <c r="AJ715">
        <v>1</v>
      </c>
      <c r="AK715">
        <v>5</v>
      </c>
      <c r="AL715" t="s">
        <v>5814</v>
      </c>
      <c r="AM715" t="s">
        <v>2038</v>
      </c>
      <c r="AN715" t="s">
        <v>5815</v>
      </c>
      <c r="AO715" t="s">
        <v>4485</v>
      </c>
      <c r="AP715" t="s">
        <v>4486</v>
      </c>
      <c r="AQ715" t="s">
        <v>74</v>
      </c>
      <c r="AR715" t="s">
        <v>4487</v>
      </c>
      <c r="AS715" t="s">
        <v>4488</v>
      </c>
      <c r="AT715" t="s">
        <v>74</v>
      </c>
      <c r="AU715">
        <v>2013</v>
      </c>
      <c r="AV715">
        <v>59</v>
      </c>
      <c r="AW715">
        <v>218</v>
      </c>
      <c r="AX715" t="s">
        <v>74</v>
      </c>
      <c r="AY715" t="s">
        <v>74</v>
      </c>
      <c r="AZ715" t="s">
        <v>74</v>
      </c>
      <c r="BA715" t="s">
        <v>74</v>
      </c>
      <c r="BB715">
        <v>1129</v>
      </c>
      <c r="BC715">
        <v>1134</v>
      </c>
      <c r="BD715" t="s">
        <v>74</v>
      </c>
      <c r="BE715" t="s">
        <v>13109</v>
      </c>
      <c r="BF715" t="str">
        <f>HYPERLINK("http://dx.doi.org/10.3189/2013JoG13J112","http://dx.doi.org/10.3189/2013JoG13J112")</f>
        <v>http://dx.doi.org/10.3189/2013JoG13J112</v>
      </c>
      <c r="BG715" t="s">
        <v>74</v>
      </c>
      <c r="BH715" t="s">
        <v>74</v>
      </c>
      <c r="BI715">
        <v>6</v>
      </c>
      <c r="BJ715" t="s">
        <v>2261</v>
      </c>
      <c r="BK715" t="s">
        <v>102</v>
      </c>
      <c r="BL715" t="s">
        <v>2262</v>
      </c>
      <c r="BM715" t="s">
        <v>4490</v>
      </c>
      <c r="BN715" t="s">
        <v>74</v>
      </c>
      <c r="BO715" t="s">
        <v>196</v>
      </c>
      <c r="BP715" t="s">
        <v>74</v>
      </c>
      <c r="BQ715" t="s">
        <v>74</v>
      </c>
      <c r="BR715" t="s">
        <v>105</v>
      </c>
      <c r="BS715" t="s">
        <v>13110</v>
      </c>
      <c r="BT715" t="str">
        <f>HYPERLINK("https%3A%2F%2Fwww.webofscience.com%2Fwos%2Fwoscc%2Ffull-record%2FWOS:000329013700012","View Full Record in Web of Science")</f>
        <v>View Full Record in Web of Science</v>
      </c>
    </row>
    <row r="716" spans="1:72" x14ac:dyDescent="0.15">
      <c r="A716" t="s">
        <v>72</v>
      </c>
      <c r="B716" t="s">
        <v>13111</v>
      </c>
      <c r="C716" t="s">
        <v>74</v>
      </c>
      <c r="D716" t="s">
        <v>74</v>
      </c>
      <c r="E716" t="s">
        <v>74</v>
      </c>
      <c r="F716" t="s">
        <v>13112</v>
      </c>
      <c r="G716" t="s">
        <v>74</v>
      </c>
      <c r="H716" t="s">
        <v>74</v>
      </c>
      <c r="I716" t="s">
        <v>13113</v>
      </c>
      <c r="J716" t="s">
        <v>5179</v>
      </c>
      <c r="K716" t="s">
        <v>74</v>
      </c>
      <c r="L716" t="s">
        <v>74</v>
      </c>
      <c r="M716" t="s">
        <v>78</v>
      </c>
      <c r="N716" t="s">
        <v>79</v>
      </c>
      <c r="O716" t="s">
        <v>74</v>
      </c>
      <c r="P716" t="s">
        <v>74</v>
      </c>
      <c r="Q716" t="s">
        <v>74</v>
      </c>
      <c r="R716" t="s">
        <v>74</v>
      </c>
      <c r="S716" t="s">
        <v>74</v>
      </c>
      <c r="T716" t="s">
        <v>13114</v>
      </c>
      <c r="U716" t="s">
        <v>13115</v>
      </c>
      <c r="V716" t="s">
        <v>13116</v>
      </c>
      <c r="W716" t="s">
        <v>13117</v>
      </c>
      <c r="X716" t="s">
        <v>13118</v>
      </c>
      <c r="Y716" t="s">
        <v>13119</v>
      </c>
      <c r="Z716" t="s">
        <v>13120</v>
      </c>
      <c r="AA716" t="s">
        <v>13121</v>
      </c>
      <c r="AB716" t="s">
        <v>13122</v>
      </c>
      <c r="AC716" t="s">
        <v>13123</v>
      </c>
      <c r="AD716" t="s">
        <v>13124</v>
      </c>
      <c r="AE716" t="s">
        <v>13125</v>
      </c>
      <c r="AF716" t="s">
        <v>74</v>
      </c>
      <c r="AG716">
        <v>33</v>
      </c>
      <c r="AH716">
        <v>3</v>
      </c>
      <c r="AI716">
        <v>4</v>
      </c>
      <c r="AJ716">
        <v>0</v>
      </c>
      <c r="AK716">
        <v>11</v>
      </c>
      <c r="AL716" t="s">
        <v>5192</v>
      </c>
      <c r="AM716" t="s">
        <v>5193</v>
      </c>
      <c r="AN716" t="s">
        <v>5194</v>
      </c>
      <c r="AO716" t="s">
        <v>5195</v>
      </c>
      <c r="AP716" t="s">
        <v>5196</v>
      </c>
      <c r="AQ716" t="s">
        <v>74</v>
      </c>
      <c r="AR716" t="s">
        <v>5197</v>
      </c>
      <c r="AS716" t="s">
        <v>5198</v>
      </c>
      <c r="AT716" t="s">
        <v>74</v>
      </c>
      <c r="AU716">
        <v>2013</v>
      </c>
      <c r="AV716">
        <v>72</v>
      </c>
      <c r="AW716" t="s">
        <v>74</v>
      </c>
      <c r="AX716" t="s">
        <v>74</v>
      </c>
      <c r="AY716">
        <v>1</v>
      </c>
      <c r="AZ716" t="s">
        <v>74</v>
      </c>
      <c r="BA716" t="s">
        <v>74</v>
      </c>
      <c r="BB716">
        <v>128</v>
      </c>
      <c r="BC716">
        <v>135</v>
      </c>
      <c r="BD716" t="s">
        <v>74</v>
      </c>
      <c r="BE716" t="s">
        <v>13126</v>
      </c>
      <c r="BF716" t="str">
        <f>HYPERLINK("http://dx.doi.org/10.4081/jlimnol.2013.s1.e16","http://dx.doi.org/10.4081/jlimnol.2013.s1.e16")</f>
        <v>http://dx.doi.org/10.4081/jlimnol.2013.s1.e16</v>
      </c>
      <c r="BG716" t="s">
        <v>74</v>
      </c>
      <c r="BH716" t="s">
        <v>74</v>
      </c>
      <c r="BI716">
        <v>8</v>
      </c>
      <c r="BJ716" t="s">
        <v>5200</v>
      </c>
      <c r="BK716" t="s">
        <v>102</v>
      </c>
      <c r="BL716" t="s">
        <v>223</v>
      </c>
      <c r="BM716" t="s">
        <v>5201</v>
      </c>
      <c r="BN716" t="s">
        <v>74</v>
      </c>
      <c r="BO716" t="s">
        <v>5838</v>
      </c>
      <c r="BP716" t="s">
        <v>74</v>
      </c>
      <c r="BQ716" t="s">
        <v>74</v>
      </c>
      <c r="BR716" t="s">
        <v>105</v>
      </c>
      <c r="BS716" t="s">
        <v>13127</v>
      </c>
      <c r="BT716" t="str">
        <f>HYPERLINK("https%3A%2F%2Fwww.webofscience.com%2Fwos%2Fwoscc%2Ffull-record%2FWOS:000327485200016","View Full Record in Web of Science")</f>
        <v>View Full Record in Web of Science</v>
      </c>
    </row>
    <row r="717" spans="1:72" x14ac:dyDescent="0.15">
      <c r="A717" t="s">
        <v>72</v>
      </c>
      <c r="B717" t="s">
        <v>13128</v>
      </c>
      <c r="C717" t="s">
        <v>74</v>
      </c>
      <c r="D717" t="s">
        <v>74</v>
      </c>
      <c r="E717" t="s">
        <v>74</v>
      </c>
      <c r="F717" t="s">
        <v>13129</v>
      </c>
      <c r="G717" t="s">
        <v>74</v>
      </c>
      <c r="H717" t="s">
        <v>74</v>
      </c>
      <c r="I717" t="s">
        <v>13130</v>
      </c>
      <c r="J717" t="s">
        <v>5179</v>
      </c>
      <c r="K717" t="s">
        <v>74</v>
      </c>
      <c r="L717" t="s">
        <v>74</v>
      </c>
      <c r="M717" t="s">
        <v>78</v>
      </c>
      <c r="N717" t="s">
        <v>79</v>
      </c>
      <c r="O717" t="s">
        <v>74</v>
      </c>
      <c r="P717" t="s">
        <v>74</v>
      </c>
      <c r="Q717" t="s">
        <v>74</v>
      </c>
      <c r="R717" t="s">
        <v>74</v>
      </c>
      <c r="S717" t="s">
        <v>74</v>
      </c>
      <c r="T717" t="s">
        <v>13131</v>
      </c>
      <c r="U717" t="s">
        <v>74</v>
      </c>
      <c r="V717" t="s">
        <v>13132</v>
      </c>
      <c r="W717" t="s">
        <v>13133</v>
      </c>
      <c r="X717" t="s">
        <v>13134</v>
      </c>
      <c r="Y717" t="s">
        <v>13135</v>
      </c>
      <c r="Z717" t="s">
        <v>13136</v>
      </c>
      <c r="AA717" t="s">
        <v>13137</v>
      </c>
      <c r="AB717" t="s">
        <v>13138</v>
      </c>
      <c r="AC717" t="s">
        <v>13139</v>
      </c>
      <c r="AD717" t="s">
        <v>13140</v>
      </c>
      <c r="AE717" t="s">
        <v>13141</v>
      </c>
      <c r="AF717" t="s">
        <v>74</v>
      </c>
      <c r="AG717">
        <v>9</v>
      </c>
      <c r="AH717">
        <v>178</v>
      </c>
      <c r="AI717">
        <v>183</v>
      </c>
      <c r="AJ717">
        <v>3</v>
      </c>
      <c r="AK717">
        <v>20</v>
      </c>
      <c r="AL717" t="s">
        <v>5192</v>
      </c>
      <c r="AM717" t="s">
        <v>5193</v>
      </c>
      <c r="AN717" t="s">
        <v>5194</v>
      </c>
      <c r="AO717" t="s">
        <v>5195</v>
      </c>
      <c r="AP717" t="s">
        <v>5196</v>
      </c>
      <c r="AQ717" t="s">
        <v>74</v>
      </c>
      <c r="AR717" t="s">
        <v>5197</v>
      </c>
      <c r="AS717" t="s">
        <v>5198</v>
      </c>
      <c r="AT717" t="s">
        <v>74</v>
      </c>
      <c r="AU717">
        <v>2013</v>
      </c>
      <c r="AV717">
        <v>72</v>
      </c>
      <c r="AW717" t="s">
        <v>74</v>
      </c>
      <c r="AX717" t="s">
        <v>74</v>
      </c>
      <c r="AY717">
        <v>1</v>
      </c>
      <c r="AZ717" t="s">
        <v>74</v>
      </c>
      <c r="BA717" t="s">
        <v>74</v>
      </c>
      <c r="BB717">
        <v>175</v>
      </c>
      <c r="BC717">
        <v>181</v>
      </c>
      <c r="BD717" t="s">
        <v>74</v>
      </c>
      <c r="BE717" t="s">
        <v>13142</v>
      </c>
      <c r="BF717" t="str">
        <f>HYPERLINK("http://dx.doi.org/10.4081/jlimnol.2013.s1.e22","http://dx.doi.org/10.4081/jlimnol.2013.s1.e22")</f>
        <v>http://dx.doi.org/10.4081/jlimnol.2013.s1.e22</v>
      </c>
      <c r="BG717" t="s">
        <v>74</v>
      </c>
      <c r="BH717" t="s">
        <v>74</v>
      </c>
      <c r="BI717">
        <v>7</v>
      </c>
      <c r="BJ717" t="s">
        <v>5200</v>
      </c>
      <c r="BK717" t="s">
        <v>102</v>
      </c>
      <c r="BL717" t="s">
        <v>223</v>
      </c>
      <c r="BM717" t="s">
        <v>5201</v>
      </c>
      <c r="BN717" t="s">
        <v>74</v>
      </c>
      <c r="BO717" t="s">
        <v>4621</v>
      </c>
      <c r="BP717" t="s">
        <v>74</v>
      </c>
      <c r="BQ717" t="s">
        <v>74</v>
      </c>
      <c r="BR717" t="s">
        <v>105</v>
      </c>
      <c r="BS717" t="s">
        <v>13143</v>
      </c>
      <c r="BT717" t="str">
        <f>HYPERLINK("https%3A%2F%2Fwww.webofscience.com%2Fwos%2Fwoscc%2Ffull-record%2FWOS:000327485200022","View Full Record in Web of Science")</f>
        <v>View Full Record in Web of Science</v>
      </c>
    </row>
    <row r="718" spans="1:72" x14ac:dyDescent="0.15">
      <c r="A718" t="s">
        <v>72</v>
      </c>
      <c r="B718" t="s">
        <v>13144</v>
      </c>
      <c r="C718" t="s">
        <v>74</v>
      </c>
      <c r="D718" t="s">
        <v>74</v>
      </c>
      <c r="E718" t="s">
        <v>74</v>
      </c>
      <c r="F718" t="s">
        <v>13145</v>
      </c>
      <c r="G718" t="s">
        <v>74</v>
      </c>
      <c r="H718" t="s">
        <v>74</v>
      </c>
      <c r="I718" t="s">
        <v>13146</v>
      </c>
      <c r="J718" t="s">
        <v>573</v>
      </c>
      <c r="K718" t="s">
        <v>74</v>
      </c>
      <c r="L718" t="s">
        <v>74</v>
      </c>
      <c r="M718" t="s">
        <v>78</v>
      </c>
      <c r="N718" t="s">
        <v>79</v>
      </c>
      <c r="O718" t="s">
        <v>74</v>
      </c>
      <c r="P718" t="s">
        <v>74</v>
      </c>
      <c r="Q718" t="s">
        <v>74</v>
      </c>
      <c r="R718" t="s">
        <v>74</v>
      </c>
      <c r="S718" t="s">
        <v>74</v>
      </c>
      <c r="T718" t="s">
        <v>13147</v>
      </c>
      <c r="U718" t="s">
        <v>13148</v>
      </c>
      <c r="V718" t="s">
        <v>13149</v>
      </c>
      <c r="W718" t="s">
        <v>13150</v>
      </c>
      <c r="X718" t="s">
        <v>13151</v>
      </c>
      <c r="Y718" t="s">
        <v>13152</v>
      </c>
      <c r="Z718" t="s">
        <v>13153</v>
      </c>
      <c r="AA718" t="s">
        <v>13154</v>
      </c>
      <c r="AB718" t="s">
        <v>13155</v>
      </c>
      <c r="AC718" t="s">
        <v>13156</v>
      </c>
      <c r="AD718" t="s">
        <v>13157</v>
      </c>
      <c r="AE718" t="s">
        <v>13158</v>
      </c>
      <c r="AF718" t="s">
        <v>74</v>
      </c>
      <c r="AG718">
        <v>210</v>
      </c>
      <c r="AH718">
        <v>69</v>
      </c>
      <c r="AI718">
        <v>74</v>
      </c>
      <c r="AJ718">
        <v>3</v>
      </c>
      <c r="AK718">
        <v>153</v>
      </c>
      <c r="AL718" t="s">
        <v>586</v>
      </c>
      <c r="AM718" t="s">
        <v>542</v>
      </c>
      <c r="AN718" t="s">
        <v>587</v>
      </c>
      <c r="AO718" t="s">
        <v>588</v>
      </c>
      <c r="AP718" t="s">
        <v>589</v>
      </c>
      <c r="AQ718" t="s">
        <v>74</v>
      </c>
      <c r="AR718" t="s">
        <v>590</v>
      </c>
      <c r="AS718" t="s">
        <v>591</v>
      </c>
      <c r="AT718" t="s">
        <v>5170</v>
      </c>
      <c r="AU718">
        <v>2013</v>
      </c>
      <c r="AV718">
        <v>109</v>
      </c>
      <c r="AW718" t="s">
        <v>74</v>
      </c>
      <c r="AX718" t="s">
        <v>74</v>
      </c>
      <c r="AY718" t="s">
        <v>74</v>
      </c>
      <c r="AZ718" t="s">
        <v>221</v>
      </c>
      <c r="BA718" t="s">
        <v>74</v>
      </c>
      <c r="BB718">
        <v>22</v>
      </c>
      <c r="BC718">
        <v>42</v>
      </c>
      <c r="BD718" t="s">
        <v>74</v>
      </c>
      <c r="BE718" t="s">
        <v>13159</v>
      </c>
      <c r="BF718" t="str">
        <f>HYPERLINK("http://dx.doi.org/10.1016/j.jmarsys.2012.03.011","http://dx.doi.org/10.1016/j.jmarsys.2012.03.011")</f>
        <v>http://dx.doi.org/10.1016/j.jmarsys.2012.03.011</v>
      </c>
      <c r="BG718" t="s">
        <v>74</v>
      </c>
      <c r="BH718" t="s">
        <v>74</v>
      </c>
      <c r="BI718">
        <v>21</v>
      </c>
      <c r="BJ718" t="s">
        <v>593</v>
      </c>
      <c r="BK718" t="s">
        <v>102</v>
      </c>
      <c r="BL718" t="s">
        <v>594</v>
      </c>
      <c r="BM718" t="s">
        <v>13160</v>
      </c>
      <c r="BN718" t="s">
        <v>74</v>
      </c>
      <c r="BO718" t="s">
        <v>74</v>
      </c>
      <c r="BP718" t="s">
        <v>74</v>
      </c>
      <c r="BQ718" t="s">
        <v>74</v>
      </c>
      <c r="BR718" t="s">
        <v>105</v>
      </c>
      <c r="BS718" t="s">
        <v>13161</v>
      </c>
      <c r="BT718" t="str">
        <f>HYPERLINK("https%3A%2F%2Fwww.webofscience.com%2Fwos%2Fwoscc%2Ffull-record%2FWOS:000312479900003","View Full Record in Web of Science")</f>
        <v>View Full Record in Web of Science</v>
      </c>
    </row>
    <row r="719" spans="1:72" x14ac:dyDescent="0.15">
      <c r="A719" t="s">
        <v>72</v>
      </c>
      <c r="B719" t="s">
        <v>13162</v>
      </c>
      <c r="C719" t="s">
        <v>74</v>
      </c>
      <c r="D719" t="s">
        <v>74</v>
      </c>
      <c r="E719" t="s">
        <v>74</v>
      </c>
      <c r="F719" t="s">
        <v>13163</v>
      </c>
      <c r="G719" t="s">
        <v>74</v>
      </c>
      <c r="H719" t="s">
        <v>74</v>
      </c>
      <c r="I719" t="s">
        <v>13164</v>
      </c>
      <c r="J719" t="s">
        <v>1970</v>
      </c>
      <c r="K719" t="s">
        <v>74</v>
      </c>
      <c r="L719" t="s">
        <v>74</v>
      </c>
      <c r="M719" t="s">
        <v>78</v>
      </c>
      <c r="N719" t="s">
        <v>79</v>
      </c>
      <c r="O719" t="s">
        <v>74</v>
      </c>
      <c r="P719" t="s">
        <v>74</v>
      </c>
      <c r="Q719" t="s">
        <v>74</v>
      </c>
      <c r="R719" t="s">
        <v>74</v>
      </c>
      <c r="S719" t="s">
        <v>74</v>
      </c>
      <c r="T719" t="s">
        <v>74</v>
      </c>
      <c r="U719" t="s">
        <v>13165</v>
      </c>
      <c r="V719" t="s">
        <v>13166</v>
      </c>
      <c r="W719" t="s">
        <v>13167</v>
      </c>
      <c r="X719" t="s">
        <v>13168</v>
      </c>
      <c r="Y719" t="s">
        <v>13169</v>
      </c>
      <c r="Z719" t="s">
        <v>13170</v>
      </c>
      <c r="AA719" t="s">
        <v>13171</v>
      </c>
      <c r="AB719" t="s">
        <v>13172</v>
      </c>
      <c r="AC719" t="s">
        <v>13173</v>
      </c>
      <c r="AD719" t="s">
        <v>13174</v>
      </c>
      <c r="AE719" t="s">
        <v>13175</v>
      </c>
      <c r="AF719" t="s">
        <v>74</v>
      </c>
      <c r="AG719">
        <v>26</v>
      </c>
      <c r="AH719">
        <v>113</v>
      </c>
      <c r="AI719">
        <v>123</v>
      </c>
      <c r="AJ719">
        <v>4</v>
      </c>
      <c r="AK719">
        <v>64</v>
      </c>
      <c r="AL719" t="s">
        <v>91</v>
      </c>
      <c r="AM719" t="s">
        <v>92</v>
      </c>
      <c r="AN719" t="s">
        <v>93</v>
      </c>
      <c r="AO719" t="s">
        <v>1981</v>
      </c>
      <c r="AP719" t="s">
        <v>1982</v>
      </c>
      <c r="AQ719" t="s">
        <v>74</v>
      </c>
      <c r="AR719" t="s">
        <v>1983</v>
      </c>
      <c r="AS719" t="s">
        <v>1984</v>
      </c>
      <c r="AT719" t="s">
        <v>5170</v>
      </c>
      <c r="AU719">
        <v>2013</v>
      </c>
      <c r="AV719">
        <v>43</v>
      </c>
      <c r="AW719">
        <v>1</v>
      </c>
      <c r="AX719" t="s">
        <v>74</v>
      </c>
      <c r="AY719" t="s">
        <v>74</v>
      </c>
      <c r="AZ719" t="s">
        <v>74</v>
      </c>
      <c r="BA719" t="s">
        <v>74</v>
      </c>
      <c r="BB719">
        <v>140</v>
      </c>
      <c r="BC719">
        <v>148</v>
      </c>
      <c r="BD719" t="s">
        <v>74</v>
      </c>
      <c r="BE719" t="s">
        <v>13176</v>
      </c>
      <c r="BF719" t="str">
        <f>HYPERLINK("http://dx.doi.org/10.1175/JPO-D-12-057.1","http://dx.doi.org/10.1175/JPO-D-12-057.1")</f>
        <v>http://dx.doi.org/10.1175/JPO-D-12-057.1</v>
      </c>
      <c r="BG719" t="s">
        <v>74</v>
      </c>
      <c r="BH719" t="s">
        <v>74</v>
      </c>
      <c r="BI719">
        <v>9</v>
      </c>
      <c r="BJ719" t="s">
        <v>303</v>
      </c>
      <c r="BK719" t="s">
        <v>102</v>
      </c>
      <c r="BL719" t="s">
        <v>303</v>
      </c>
      <c r="BM719" t="s">
        <v>9120</v>
      </c>
      <c r="BN719" t="s">
        <v>74</v>
      </c>
      <c r="BO719" t="s">
        <v>1396</v>
      </c>
      <c r="BP719" t="s">
        <v>74</v>
      </c>
      <c r="BQ719" t="s">
        <v>74</v>
      </c>
      <c r="BR719" t="s">
        <v>105</v>
      </c>
      <c r="BS719" t="s">
        <v>13177</v>
      </c>
      <c r="BT719" t="str">
        <f>HYPERLINK("https%3A%2F%2Fwww.webofscience.com%2Fwos%2Fwoscc%2Ffull-record%2FWOS:000314179300010","View Full Record in Web of Science")</f>
        <v>View Full Record in Web of Science</v>
      </c>
    </row>
    <row r="720" spans="1:72" x14ac:dyDescent="0.15">
      <c r="A720" t="s">
        <v>72</v>
      </c>
      <c r="B720" t="s">
        <v>13178</v>
      </c>
      <c r="C720" t="s">
        <v>74</v>
      </c>
      <c r="D720" t="s">
        <v>74</v>
      </c>
      <c r="E720" t="s">
        <v>74</v>
      </c>
      <c r="F720" t="s">
        <v>13179</v>
      </c>
      <c r="G720" t="s">
        <v>74</v>
      </c>
      <c r="H720" t="s">
        <v>74</v>
      </c>
      <c r="I720" t="s">
        <v>13180</v>
      </c>
      <c r="J720" t="s">
        <v>13181</v>
      </c>
      <c r="K720" t="s">
        <v>74</v>
      </c>
      <c r="L720" t="s">
        <v>74</v>
      </c>
      <c r="M720" t="s">
        <v>78</v>
      </c>
      <c r="N720" t="s">
        <v>79</v>
      </c>
      <c r="O720" t="s">
        <v>74</v>
      </c>
      <c r="P720" t="s">
        <v>74</v>
      </c>
      <c r="Q720" t="s">
        <v>74</v>
      </c>
      <c r="R720" t="s">
        <v>74</v>
      </c>
      <c r="S720" t="s">
        <v>74</v>
      </c>
      <c r="T720" t="s">
        <v>13182</v>
      </c>
      <c r="U720" t="s">
        <v>13183</v>
      </c>
      <c r="V720" t="s">
        <v>13184</v>
      </c>
      <c r="W720" t="s">
        <v>13185</v>
      </c>
      <c r="X720" t="s">
        <v>13186</v>
      </c>
      <c r="Y720" t="s">
        <v>13187</v>
      </c>
      <c r="Z720" t="s">
        <v>13188</v>
      </c>
      <c r="AA720" t="s">
        <v>13189</v>
      </c>
      <c r="AB720" t="s">
        <v>13190</v>
      </c>
      <c r="AC720" t="s">
        <v>13191</v>
      </c>
      <c r="AD720" t="s">
        <v>13192</v>
      </c>
      <c r="AE720" t="s">
        <v>13193</v>
      </c>
      <c r="AF720" t="s">
        <v>74</v>
      </c>
      <c r="AG720">
        <v>77</v>
      </c>
      <c r="AH720">
        <v>23</v>
      </c>
      <c r="AI720">
        <v>24</v>
      </c>
      <c r="AJ720">
        <v>2</v>
      </c>
      <c r="AK720">
        <v>43</v>
      </c>
      <c r="AL720" t="s">
        <v>1132</v>
      </c>
      <c r="AM720" t="s">
        <v>147</v>
      </c>
      <c r="AN720" t="s">
        <v>1133</v>
      </c>
      <c r="AO720" t="s">
        <v>13194</v>
      </c>
      <c r="AP720" t="s">
        <v>13195</v>
      </c>
      <c r="AQ720" t="s">
        <v>74</v>
      </c>
      <c r="AR720" t="s">
        <v>13196</v>
      </c>
      <c r="AS720" t="s">
        <v>13197</v>
      </c>
      <c r="AT720" t="s">
        <v>7700</v>
      </c>
      <c r="AU720">
        <v>2013</v>
      </c>
      <c r="AV720">
        <v>35</v>
      </c>
      <c r="AW720">
        <v>1</v>
      </c>
      <c r="AX720" t="s">
        <v>74</v>
      </c>
      <c r="AY720" t="s">
        <v>74</v>
      </c>
      <c r="AZ720" t="s">
        <v>74</v>
      </c>
      <c r="BA720" t="s">
        <v>74</v>
      </c>
      <c r="BB720">
        <v>201</v>
      </c>
      <c r="BC720">
        <v>212</v>
      </c>
      <c r="BD720" t="s">
        <v>74</v>
      </c>
      <c r="BE720" t="s">
        <v>13198</v>
      </c>
      <c r="BF720" t="str">
        <f>HYPERLINK("http://dx.doi.org/10.1093/plankt/fbs085","http://dx.doi.org/10.1093/plankt/fbs085")</f>
        <v>http://dx.doi.org/10.1093/plankt/fbs085</v>
      </c>
      <c r="BG720" t="s">
        <v>74</v>
      </c>
      <c r="BH720" t="s">
        <v>74</v>
      </c>
      <c r="BI720">
        <v>12</v>
      </c>
      <c r="BJ720" t="s">
        <v>2095</v>
      </c>
      <c r="BK720" t="s">
        <v>102</v>
      </c>
      <c r="BL720" t="s">
        <v>2095</v>
      </c>
      <c r="BM720" t="s">
        <v>13199</v>
      </c>
      <c r="BN720" t="s">
        <v>74</v>
      </c>
      <c r="BO720" t="s">
        <v>2097</v>
      </c>
      <c r="BP720" t="s">
        <v>74</v>
      </c>
      <c r="BQ720" t="s">
        <v>74</v>
      </c>
      <c r="BR720" t="s">
        <v>105</v>
      </c>
      <c r="BS720" t="s">
        <v>13200</v>
      </c>
      <c r="BT720" t="str">
        <f>HYPERLINK("https%3A%2F%2Fwww.webofscience.com%2Fwos%2Fwoscc%2Ffull-record%2FWOS:000312883300018","View Full Record in Web of Science")</f>
        <v>View Full Record in Web of Science</v>
      </c>
    </row>
    <row r="721" spans="1:72" x14ac:dyDescent="0.15">
      <c r="A721" t="s">
        <v>72</v>
      </c>
      <c r="B721" t="s">
        <v>13201</v>
      </c>
      <c r="C721" t="s">
        <v>74</v>
      </c>
      <c r="D721" t="s">
        <v>74</v>
      </c>
      <c r="E721" t="s">
        <v>74</v>
      </c>
      <c r="F721" t="s">
        <v>13202</v>
      </c>
      <c r="G721" t="s">
        <v>74</v>
      </c>
      <c r="H721" t="s">
        <v>74</v>
      </c>
      <c r="I721" t="s">
        <v>13203</v>
      </c>
      <c r="J721" t="s">
        <v>8931</v>
      </c>
      <c r="K721" t="s">
        <v>74</v>
      </c>
      <c r="L721" t="s">
        <v>74</v>
      </c>
      <c r="M721" t="s">
        <v>78</v>
      </c>
      <c r="N721" t="s">
        <v>79</v>
      </c>
      <c r="O721" t="s">
        <v>74</v>
      </c>
      <c r="P721" t="s">
        <v>74</v>
      </c>
      <c r="Q721" t="s">
        <v>74</v>
      </c>
      <c r="R721" t="s">
        <v>74</v>
      </c>
      <c r="S721" t="s">
        <v>74</v>
      </c>
      <c r="T721" t="s">
        <v>13204</v>
      </c>
      <c r="U721" t="s">
        <v>13205</v>
      </c>
      <c r="V721" t="s">
        <v>13206</v>
      </c>
      <c r="W721" t="s">
        <v>13207</v>
      </c>
      <c r="X721" t="s">
        <v>13208</v>
      </c>
      <c r="Y721" t="s">
        <v>13209</v>
      </c>
      <c r="Z721" t="s">
        <v>13210</v>
      </c>
      <c r="AA721" t="s">
        <v>74</v>
      </c>
      <c r="AB721" t="s">
        <v>13211</v>
      </c>
      <c r="AC721" t="s">
        <v>13212</v>
      </c>
      <c r="AD721" t="s">
        <v>13213</v>
      </c>
      <c r="AE721" t="s">
        <v>13214</v>
      </c>
      <c r="AF721" t="s">
        <v>74</v>
      </c>
      <c r="AG721">
        <v>76</v>
      </c>
      <c r="AH721">
        <v>54</v>
      </c>
      <c r="AI721">
        <v>56</v>
      </c>
      <c r="AJ721">
        <v>2</v>
      </c>
      <c r="AK721">
        <v>33</v>
      </c>
      <c r="AL721" t="s">
        <v>257</v>
      </c>
      <c r="AM721" t="s">
        <v>215</v>
      </c>
      <c r="AN721" t="s">
        <v>216</v>
      </c>
      <c r="AO721" t="s">
        <v>8944</v>
      </c>
      <c r="AP721" t="s">
        <v>8945</v>
      </c>
      <c r="AQ721" t="s">
        <v>74</v>
      </c>
      <c r="AR721" t="s">
        <v>8946</v>
      </c>
      <c r="AS721" t="s">
        <v>8947</v>
      </c>
      <c r="AT721" t="s">
        <v>5170</v>
      </c>
      <c r="AU721">
        <v>2013</v>
      </c>
      <c r="AV721">
        <v>28</v>
      </c>
      <c r="AW721">
        <v>1</v>
      </c>
      <c r="AX721" t="s">
        <v>74</v>
      </c>
      <c r="AY721" t="s">
        <v>74</v>
      </c>
      <c r="AZ721" t="s">
        <v>74</v>
      </c>
      <c r="BA721" t="s">
        <v>74</v>
      </c>
      <c r="BB721">
        <v>13</v>
      </c>
      <c r="BC721">
        <v>26</v>
      </c>
      <c r="BD721" t="s">
        <v>74</v>
      </c>
      <c r="BE721" t="s">
        <v>13215</v>
      </c>
      <c r="BF721" t="str">
        <f>HYPERLINK("http://dx.doi.org/10.1002/jqs.2569","http://dx.doi.org/10.1002/jqs.2569")</f>
        <v>http://dx.doi.org/10.1002/jqs.2569</v>
      </c>
      <c r="BG721" t="s">
        <v>74</v>
      </c>
      <c r="BH721" t="s">
        <v>74</v>
      </c>
      <c r="BI721">
        <v>14</v>
      </c>
      <c r="BJ721" t="s">
        <v>2261</v>
      </c>
      <c r="BK721" t="s">
        <v>102</v>
      </c>
      <c r="BL721" t="s">
        <v>2262</v>
      </c>
      <c r="BM721" t="s">
        <v>8949</v>
      </c>
      <c r="BN721" t="s">
        <v>74</v>
      </c>
      <c r="BO721" t="s">
        <v>74</v>
      </c>
      <c r="BP721" t="s">
        <v>74</v>
      </c>
      <c r="BQ721" t="s">
        <v>74</v>
      </c>
      <c r="BR721" t="s">
        <v>105</v>
      </c>
      <c r="BS721" t="s">
        <v>13216</v>
      </c>
      <c r="BT721" t="str">
        <f>HYPERLINK("https%3A%2F%2Fwww.webofscience.com%2Fwos%2Fwoscc%2Ffull-record%2FWOS:000314521100004","View Full Record in Web of Science")</f>
        <v>View Full Record in Web of Science</v>
      </c>
    </row>
    <row r="722" spans="1:72" x14ac:dyDescent="0.15">
      <c r="A722" t="s">
        <v>72</v>
      </c>
      <c r="B722" t="s">
        <v>13217</v>
      </c>
      <c r="C722" t="s">
        <v>74</v>
      </c>
      <c r="D722" t="s">
        <v>74</v>
      </c>
      <c r="E722" t="s">
        <v>74</v>
      </c>
      <c r="F722" t="s">
        <v>13218</v>
      </c>
      <c r="G722" t="s">
        <v>74</v>
      </c>
      <c r="H722" t="s">
        <v>74</v>
      </c>
      <c r="I722" t="s">
        <v>13219</v>
      </c>
      <c r="J722" t="s">
        <v>13220</v>
      </c>
      <c r="K722" t="s">
        <v>74</v>
      </c>
      <c r="L722" t="s">
        <v>74</v>
      </c>
      <c r="M722" t="s">
        <v>78</v>
      </c>
      <c r="N722" t="s">
        <v>79</v>
      </c>
      <c r="O722" t="s">
        <v>74</v>
      </c>
      <c r="P722" t="s">
        <v>74</v>
      </c>
      <c r="Q722" t="s">
        <v>74</v>
      </c>
      <c r="R722" t="s">
        <v>74</v>
      </c>
      <c r="S722" t="s">
        <v>74</v>
      </c>
      <c r="T722" t="s">
        <v>13221</v>
      </c>
      <c r="U722" t="s">
        <v>13222</v>
      </c>
      <c r="V722" t="s">
        <v>13223</v>
      </c>
      <c r="W722" t="s">
        <v>13224</v>
      </c>
      <c r="X722" t="s">
        <v>13225</v>
      </c>
      <c r="Y722" t="s">
        <v>13226</v>
      </c>
      <c r="Z722" t="s">
        <v>13227</v>
      </c>
      <c r="AA722" t="s">
        <v>13228</v>
      </c>
      <c r="AB722" t="s">
        <v>13229</v>
      </c>
      <c r="AC722" t="s">
        <v>13230</v>
      </c>
      <c r="AD722" t="s">
        <v>13231</v>
      </c>
      <c r="AE722" t="s">
        <v>13232</v>
      </c>
      <c r="AF722" t="s">
        <v>74</v>
      </c>
      <c r="AG722">
        <v>86</v>
      </c>
      <c r="AH722">
        <v>26</v>
      </c>
      <c r="AI722">
        <v>30</v>
      </c>
      <c r="AJ722">
        <v>1</v>
      </c>
      <c r="AK722">
        <v>11</v>
      </c>
      <c r="AL722" t="s">
        <v>13233</v>
      </c>
      <c r="AM722" t="s">
        <v>13234</v>
      </c>
      <c r="AN722" t="s">
        <v>13235</v>
      </c>
      <c r="AO722" t="s">
        <v>13236</v>
      </c>
      <c r="AP722" t="s">
        <v>74</v>
      </c>
      <c r="AQ722" t="s">
        <v>74</v>
      </c>
      <c r="AR722" t="s">
        <v>13237</v>
      </c>
      <c r="AS722" t="s">
        <v>13238</v>
      </c>
      <c r="AT722" t="s">
        <v>74</v>
      </c>
      <c r="AU722">
        <v>2013</v>
      </c>
      <c r="AV722">
        <v>3</v>
      </c>
      <c r="AW722" t="s">
        <v>74</v>
      </c>
      <c r="AX722" t="s">
        <v>74</v>
      </c>
      <c r="AY722" t="s">
        <v>74</v>
      </c>
      <c r="AZ722" t="s">
        <v>74</v>
      </c>
      <c r="BA722" t="s">
        <v>74</v>
      </c>
      <c r="BB722" t="s">
        <v>74</v>
      </c>
      <c r="BC722" t="s">
        <v>74</v>
      </c>
      <c r="BD722" t="s">
        <v>13239</v>
      </c>
      <c r="BE722" t="s">
        <v>13240</v>
      </c>
      <c r="BF722" t="str">
        <f>HYPERLINK("http://dx.doi.org/10.1051/swsc/2013042","http://dx.doi.org/10.1051/swsc/2013042")</f>
        <v>http://dx.doi.org/10.1051/swsc/2013042</v>
      </c>
      <c r="BG722" t="s">
        <v>74</v>
      </c>
      <c r="BH722" t="s">
        <v>74</v>
      </c>
      <c r="BI722">
        <v>14</v>
      </c>
      <c r="BJ722" t="s">
        <v>13241</v>
      </c>
      <c r="BK722" t="s">
        <v>102</v>
      </c>
      <c r="BL722" t="s">
        <v>13241</v>
      </c>
      <c r="BM722" t="s">
        <v>13242</v>
      </c>
      <c r="BN722" t="s">
        <v>74</v>
      </c>
      <c r="BO722" t="s">
        <v>13243</v>
      </c>
      <c r="BP722" t="s">
        <v>74</v>
      </c>
      <c r="BQ722" t="s">
        <v>74</v>
      </c>
      <c r="BR722" t="s">
        <v>105</v>
      </c>
      <c r="BS722" t="s">
        <v>13244</v>
      </c>
      <c r="BT722" t="str">
        <f>HYPERLINK("https%3A%2F%2Fwww.webofscience.com%2Fwos%2Fwoscc%2Ffull-record%2FWOS:000330569100021","View Full Record in Web of Science")</f>
        <v>View Full Record in Web of Science</v>
      </c>
    </row>
    <row r="723" spans="1:72" x14ac:dyDescent="0.15">
      <c r="A723" t="s">
        <v>72</v>
      </c>
      <c r="B723" t="s">
        <v>13245</v>
      </c>
      <c r="C723" t="s">
        <v>74</v>
      </c>
      <c r="D723" t="s">
        <v>74</v>
      </c>
      <c r="E723" t="s">
        <v>74</v>
      </c>
      <c r="F723" t="s">
        <v>13246</v>
      </c>
      <c r="G723" t="s">
        <v>74</v>
      </c>
      <c r="H723" t="s">
        <v>74</v>
      </c>
      <c r="I723" t="s">
        <v>13247</v>
      </c>
      <c r="J723" t="s">
        <v>13220</v>
      </c>
      <c r="K723" t="s">
        <v>74</v>
      </c>
      <c r="L723" t="s">
        <v>74</v>
      </c>
      <c r="M723" t="s">
        <v>78</v>
      </c>
      <c r="N723" t="s">
        <v>79</v>
      </c>
      <c r="O723" t="s">
        <v>74</v>
      </c>
      <c r="P723" t="s">
        <v>74</v>
      </c>
      <c r="Q723" t="s">
        <v>74</v>
      </c>
      <c r="R723" t="s">
        <v>74</v>
      </c>
      <c r="S723" t="s">
        <v>74</v>
      </c>
      <c r="T723" t="s">
        <v>13248</v>
      </c>
      <c r="U723" t="s">
        <v>13249</v>
      </c>
      <c r="V723" t="s">
        <v>13250</v>
      </c>
      <c r="W723" t="s">
        <v>13251</v>
      </c>
      <c r="X723" t="s">
        <v>13252</v>
      </c>
      <c r="Y723" t="s">
        <v>13253</v>
      </c>
      <c r="Z723" t="s">
        <v>13254</v>
      </c>
      <c r="AA723" t="s">
        <v>13255</v>
      </c>
      <c r="AB723" t="s">
        <v>13256</v>
      </c>
      <c r="AC723" t="s">
        <v>13257</v>
      </c>
      <c r="AD723" t="s">
        <v>13258</v>
      </c>
      <c r="AE723" t="s">
        <v>13259</v>
      </c>
      <c r="AF723" t="s">
        <v>74</v>
      </c>
      <c r="AG723">
        <v>43</v>
      </c>
      <c r="AH723">
        <v>52</v>
      </c>
      <c r="AI723">
        <v>53</v>
      </c>
      <c r="AJ723">
        <v>1</v>
      </c>
      <c r="AK723">
        <v>11</v>
      </c>
      <c r="AL723" t="s">
        <v>13233</v>
      </c>
      <c r="AM723" t="s">
        <v>13234</v>
      </c>
      <c r="AN723" t="s">
        <v>13235</v>
      </c>
      <c r="AO723" t="s">
        <v>13236</v>
      </c>
      <c r="AP723" t="s">
        <v>74</v>
      </c>
      <c r="AQ723" t="s">
        <v>74</v>
      </c>
      <c r="AR723" t="s">
        <v>13237</v>
      </c>
      <c r="AS723" t="s">
        <v>13238</v>
      </c>
      <c r="AT723" t="s">
        <v>74</v>
      </c>
      <c r="AU723">
        <v>2013</v>
      </c>
      <c r="AV723">
        <v>3</v>
      </c>
      <c r="AW723" t="s">
        <v>74</v>
      </c>
      <c r="AX723" t="s">
        <v>74</v>
      </c>
      <c r="AY723" t="s">
        <v>74</v>
      </c>
      <c r="AZ723" t="s">
        <v>74</v>
      </c>
      <c r="BA723" t="s">
        <v>74</v>
      </c>
      <c r="BB723" t="s">
        <v>74</v>
      </c>
      <c r="BC723" t="s">
        <v>74</v>
      </c>
      <c r="BD723" t="s">
        <v>13260</v>
      </c>
      <c r="BE723" t="s">
        <v>13261</v>
      </c>
      <c r="BF723" t="str">
        <f>HYPERLINK("http://dx.doi.org/10.1051/swsc/2013045","http://dx.doi.org/10.1051/swsc/2013045")</f>
        <v>http://dx.doi.org/10.1051/swsc/2013045</v>
      </c>
      <c r="BG723" t="s">
        <v>74</v>
      </c>
      <c r="BH723" t="s">
        <v>74</v>
      </c>
      <c r="BI723">
        <v>13</v>
      </c>
      <c r="BJ723" t="s">
        <v>13241</v>
      </c>
      <c r="BK723" t="s">
        <v>102</v>
      </c>
      <c r="BL723" t="s">
        <v>13241</v>
      </c>
      <c r="BM723" t="s">
        <v>13242</v>
      </c>
      <c r="BN723" t="s">
        <v>74</v>
      </c>
      <c r="BO723" t="s">
        <v>13262</v>
      </c>
      <c r="BP723" t="s">
        <v>74</v>
      </c>
      <c r="BQ723" t="s">
        <v>74</v>
      </c>
      <c r="BR723" t="s">
        <v>105</v>
      </c>
      <c r="BS723" t="s">
        <v>13263</v>
      </c>
      <c r="BT723" t="str">
        <f>HYPERLINK("https%3A%2F%2Fwww.webofscience.com%2Fwos%2Fwoscc%2Ffull-record%2FWOS:000330569100024","View Full Record in Web of Science")</f>
        <v>View Full Record in Web of Science</v>
      </c>
    </row>
    <row r="724" spans="1:72" x14ac:dyDescent="0.15">
      <c r="A724" t="s">
        <v>3251</v>
      </c>
      <c r="B724" t="s">
        <v>13264</v>
      </c>
      <c r="C724" t="s">
        <v>74</v>
      </c>
      <c r="D724" t="s">
        <v>5886</v>
      </c>
      <c r="E724" t="s">
        <v>74</v>
      </c>
      <c r="F724" t="s">
        <v>13265</v>
      </c>
      <c r="G724" t="s">
        <v>74</v>
      </c>
      <c r="H724" t="s">
        <v>74</v>
      </c>
      <c r="I724" t="s">
        <v>13266</v>
      </c>
      <c r="J724" t="s">
        <v>5889</v>
      </c>
      <c r="K724" t="s">
        <v>74</v>
      </c>
      <c r="L724" t="s">
        <v>74</v>
      </c>
      <c r="M724" t="s">
        <v>78</v>
      </c>
      <c r="N724" t="s">
        <v>3258</v>
      </c>
      <c r="O724" t="s">
        <v>74</v>
      </c>
      <c r="P724" t="s">
        <v>74</v>
      </c>
      <c r="Q724" t="s">
        <v>74</v>
      </c>
      <c r="R724" t="s">
        <v>74</v>
      </c>
      <c r="S724" t="s">
        <v>74</v>
      </c>
      <c r="T724" t="s">
        <v>13267</v>
      </c>
      <c r="U724" t="s">
        <v>13268</v>
      </c>
      <c r="V724" t="s">
        <v>13269</v>
      </c>
      <c r="W724" t="s">
        <v>13270</v>
      </c>
      <c r="X724" t="s">
        <v>13271</v>
      </c>
      <c r="Y724" t="s">
        <v>13272</v>
      </c>
      <c r="Z724" t="s">
        <v>13273</v>
      </c>
      <c r="AA724" t="s">
        <v>13274</v>
      </c>
      <c r="AB724" t="s">
        <v>74</v>
      </c>
      <c r="AC724" t="s">
        <v>74</v>
      </c>
      <c r="AD724" t="s">
        <v>74</v>
      </c>
      <c r="AE724" t="s">
        <v>74</v>
      </c>
      <c r="AF724" t="s">
        <v>74</v>
      </c>
      <c r="AG724">
        <v>132</v>
      </c>
      <c r="AH724">
        <v>38</v>
      </c>
      <c r="AI724">
        <v>46</v>
      </c>
      <c r="AJ724">
        <v>0</v>
      </c>
      <c r="AK724">
        <v>24</v>
      </c>
      <c r="AL724" t="s">
        <v>214</v>
      </c>
      <c r="AM724" t="s">
        <v>5898</v>
      </c>
      <c r="AN724" t="s">
        <v>5899</v>
      </c>
      <c r="AO724" t="s">
        <v>74</v>
      </c>
      <c r="AP724" t="s">
        <v>74</v>
      </c>
      <c r="AQ724" t="s">
        <v>5900</v>
      </c>
      <c r="AR724" t="s">
        <v>74</v>
      </c>
      <c r="AS724" t="s">
        <v>74</v>
      </c>
      <c r="AT724" t="s">
        <v>74</v>
      </c>
      <c r="AU724">
        <v>2013</v>
      </c>
      <c r="AV724" t="s">
        <v>74</v>
      </c>
      <c r="AW724" t="s">
        <v>74</v>
      </c>
      <c r="AX724" t="s">
        <v>74</v>
      </c>
      <c r="AY724" t="s">
        <v>74</v>
      </c>
      <c r="AZ724" t="s">
        <v>74</v>
      </c>
      <c r="BA724" t="s">
        <v>74</v>
      </c>
      <c r="BB724">
        <v>84</v>
      </c>
      <c r="BC724">
        <v>112</v>
      </c>
      <c r="BD724" t="s">
        <v>74</v>
      </c>
      <c r="BE724" t="s">
        <v>74</v>
      </c>
      <c r="BF724" t="s">
        <v>74</v>
      </c>
      <c r="BG724" t="s">
        <v>5901</v>
      </c>
      <c r="BH724" t="s">
        <v>74</v>
      </c>
      <c r="BI724">
        <v>29</v>
      </c>
      <c r="BJ724" t="s">
        <v>5902</v>
      </c>
      <c r="BK724" t="s">
        <v>3379</v>
      </c>
      <c r="BL724" t="s">
        <v>5902</v>
      </c>
      <c r="BM724" t="s">
        <v>5903</v>
      </c>
      <c r="BN724" t="s">
        <v>74</v>
      </c>
      <c r="BO724" t="s">
        <v>155</v>
      </c>
      <c r="BP724" t="s">
        <v>74</v>
      </c>
      <c r="BQ724" t="s">
        <v>74</v>
      </c>
      <c r="BR724" t="s">
        <v>105</v>
      </c>
      <c r="BS724" t="s">
        <v>13275</v>
      </c>
      <c r="BT724" t="str">
        <f>HYPERLINK("https%3A%2F%2Fwww.webofscience.com%2Fwos%2Fwoscc%2Ffull-record%2FWOS:000324196700005","View Full Record in Web of Science")</f>
        <v>View Full Record in Web of Science</v>
      </c>
    </row>
    <row r="725" spans="1:72" x14ac:dyDescent="0.15">
      <c r="A725" t="s">
        <v>3251</v>
      </c>
      <c r="B725" t="s">
        <v>13276</v>
      </c>
      <c r="C725" t="s">
        <v>74</v>
      </c>
      <c r="D725" t="s">
        <v>5886</v>
      </c>
      <c r="E725" t="s">
        <v>74</v>
      </c>
      <c r="F725" t="s">
        <v>13277</v>
      </c>
      <c r="G725" t="s">
        <v>74</v>
      </c>
      <c r="H725" t="s">
        <v>74</v>
      </c>
      <c r="I725" t="s">
        <v>13278</v>
      </c>
      <c r="J725" t="s">
        <v>5889</v>
      </c>
      <c r="K725" t="s">
        <v>74</v>
      </c>
      <c r="L725" t="s">
        <v>74</v>
      </c>
      <c r="M725" t="s">
        <v>78</v>
      </c>
      <c r="N725" t="s">
        <v>3258</v>
      </c>
      <c r="O725" t="s">
        <v>74</v>
      </c>
      <c r="P725" t="s">
        <v>74</v>
      </c>
      <c r="Q725" t="s">
        <v>74</v>
      </c>
      <c r="R725" t="s">
        <v>74</v>
      </c>
      <c r="S725" t="s">
        <v>74</v>
      </c>
      <c r="T725" t="s">
        <v>13279</v>
      </c>
      <c r="U725" t="s">
        <v>13280</v>
      </c>
      <c r="V725" t="s">
        <v>13281</v>
      </c>
      <c r="W725" t="s">
        <v>13282</v>
      </c>
      <c r="X725" t="s">
        <v>13283</v>
      </c>
      <c r="Y725" t="s">
        <v>13284</v>
      </c>
      <c r="Z725" t="s">
        <v>5914</v>
      </c>
      <c r="AA725" t="s">
        <v>13285</v>
      </c>
      <c r="AB725" t="s">
        <v>13286</v>
      </c>
      <c r="AC725" t="s">
        <v>74</v>
      </c>
      <c r="AD725" t="s">
        <v>74</v>
      </c>
      <c r="AE725" t="s">
        <v>74</v>
      </c>
      <c r="AF725" t="s">
        <v>74</v>
      </c>
      <c r="AG725">
        <v>227</v>
      </c>
      <c r="AH725">
        <v>31</v>
      </c>
      <c r="AI725">
        <v>31</v>
      </c>
      <c r="AJ725">
        <v>2</v>
      </c>
      <c r="AK725">
        <v>11</v>
      </c>
      <c r="AL725" t="s">
        <v>214</v>
      </c>
      <c r="AM725" t="s">
        <v>5898</v>
      </c>
      <c r="AN725" t="s">
        <v>5899</v>
      </c>
      <c r="AO725" t="s">
        <v>74</v>
      </c>
      <c r="AP725" t="s">
        <v>74</v>
      </c>
      <c r="AQ725" t="s">
        <v>5900</v>
      </c>
      <c r="AR725" t="s">
        <v>74</v>
      </c>
      <c r="AS725" t="s">
        <v>74</v>
      </c>
      <c r="AT725" t="s">
        <v>74</v>
      </c>
      <c r="AU725">
        <v>2013</v>
      </c>
      <c r="AV725" t="s">
        <v>74</v>
      </c>
      <c r="AW725" t="s">
        <v>74</v>
      </c>
      <c r="AX725" t="s">
        <v>74</v>
      </c>
      <c r="AY725" t="s">
        <v>74</v>
      </c>
      <c r="AZ725" t="s">
        <v>74</v>
      </c>
      <c r="BA725" t="s">
        <v>74</v>
      </c>
      <c r="BB725">
        <v>259</v>
      </c>
      <c r="BC725">
        <v>288</v>
      </c>
      <c r="BD725" t="s">
        <v>74</v>
      </c>
      <c r="BE725" t="s">
        <v>74</v>
      </c>
      <c r="BF725" t="s">
        <v>74</v>
      </c>
      <c r="BG725" t="s">
        <v>5901</v>
      </c>
      <c r="BH725" t="s">
        <v>74</v>
      </c>
      <c r="BI725">
        <v>30</v>
      </c>
      <c r="BJ725" t="s">
        <v>5902</v>
      </c>
      <c r="BK725" t="s">
        <v>3379</v>
      </c>
      <c r="BL725" t="s">
        <v>5902</v>
      </c>
      <c r="BM725" t="s">
        <v>5903</v>
      </c>
      <c r="BN725" t="s">
        <v>74</v>
      </c>
      <c r="BO725" t="s">
        <v>155</v>
      </c>
      <c r="BP725" t="s">
        <v>74</v>
      </c>
      <c r="BQ725" t="s">
        <v>74</v>
      </c>
      <c r="BR725" t="s">
        <v>105</v>
      </c>
      <c r="BS725" t="s">
        <v>13287</v>
      </c>
      <c r="BT725" t="str">
        <f>HYPERLINK("https%3A%2F%2Fwww.webofscience.com%2Fwos%2Fwoscc%2Ffull-record%2FWOS:000324196700010","View Full Record in Web of Science")</f>
        <v>View Full Record in Web of Science</v>
      </c>
    </row>
    <row r="726" spans="1:72" x14ac:dyDescent="0.15">
      <c r="A726" t="s">
        <v>72</v>
      </c>
      <c r="B726" t="s">
        <v>13288</v>
      </c>
      <c r="C726" t="s">
        <v>74</v>
      </c>
      <c r="D726" t="s">
        <v>74</v>
      </c>
      <c r="E726" t="s">
        <v>74</v>
      </c>
      <c r="F726" t="s">
        <v>13289</v>
      </c>
      <c r="G726" t="s">
        <v>74</v>
      </c>
      <c r="H726" t="s">
        <v>74</v>
      </c>
      <c r="I726" t="s">
        <v>13290</v>
      </c>
      <c r="J726" t="s">
        <v>13291</v>
      </c>
      <c r="K726" t="s">
        <v>74</v>
      </c>
      <c r="L726" t="s">
        <v>74</v>
      </c>
      <c r="M726" t="s">
        <v>78</v>
      </c>
      <c r="N726" t="s">
        <v>79</v>
      </c>
      <c r="O726" t="s">
        <v>74</v>
      </c>
      <c r="P726" t="s">
        <v>74</v>
      </c>
      <c r="Q726" t="s">
        <v>74</v>
      </c>
      <c r="R726" t="s">
        <v>74</v>
      </c>
      <c r="S726" t="s">
        <v>74</v>
      </c>
      <c r="T726" t="s">
        <v>13292</v>
      </c>
      <c r="U726" t="s">
        <v>13293</v>
      </c>
      <c r="V726" t="s">
        <v>13294</v>
      </c>
      <c r="W726" t="s">
        <v>13295</v>
      </c>
      <c r="X726" t="s">
        <v>8238</v>
      </c>
      <c r="Y726" t="s">
        <v>13296</v>
      </c>
      <c r="Z726" t="s">
        <v>13297</v>
      </c>
      <c r="AA726" t="s">
        <v>74</v>
      </c>
      <c r="AB726" t="s">
        <v>13298</v>
      </c>
      <c r="AC726" t="s">
        <v>13299</v>
      </c>
      <c r="AD726" t="s">
        <v>13300</v>
      </c>
      <c r="AE726" t="s">
        <v>13301</v>
      </c>
      <c r="AF726" t="s">
        <v>74</v>
      </c>
      <c r="AG726">
        <v>59</v>
      </c>
      <c r="AH726">
        <v>19</v>
      </c>
      <c r="AI726">
        <v>28</v>
      </c>
      <c r="AJ726">
        <v>1</v>
      </c>
      <c r="AK726">
        <v>63</v>
      </c>
      <c r="AL726" t="s">
        <v>6804</v>
      </c>
      <c r="AM726" t="s">
        <v>6805</v>
      </c>
      <c r="AN726" t="s">
        <v>6806</v>
      </c>
      <c r="AO726" t="s">
        <v>13302</v>
      </c>
      <c r="AP726" t="s">
        <v>13303</v>
      </c>
      <c r="AQ726" t="s">
        <v>74</v>
      </c>
      <c r="AR726" t="s">
        <v>13304</v>
      </c>
      <c r="AS726" t="s">
        <v>13305</v>
      </c>
      <c r="AT726" t="s">
        <v>74</v>
      </c>
      <c r="AU726">
        <v>2013</v>
      </c>
      <c r="AV726">
        <v>78</v>
      </c>
      <c r="AW726">
        <v>2</v>
      </c>
      <c r="AX726" t="s">
        <v>74</v>
      </c>
      <c r="AY726" t="s">
        <v>74</v>
      </c>
      <c r="AZ726" t="s">
        <v>74</v>
      </c>
      <c r="BA726" t="s">
        <v>74</v>
      </c>
      <c r="BB726">
        <v>104</v>
      </c>
      <c r="BC726">
        <v>110</v>
      </c>
      <c r="BD726" t="s">
        <v>74</v>
      </c>
      <c r="BE726" t="s">
        <v>13306</v>
      </c>
      <c r="BF726" t="str">
        <f>HYPERLINK("http://dx.doi.org/10.1016/j.mambio.2012.11.007","http://dx.doi.org/10.1016/j.mambio.2012.11.007")</f>
        <v>http://dx.doi.org/10.1016/j.mambio.2012.11.007</v>
      </c>
      <c r="BG726" t="s">
        <v>74</v>
      </c>
      <c r="BH726" t="s">
        <v>74</v>
      </c>
      <c r="BI726">
        <v>7</v>
      </c>
      <c r="BJ726" t="s">
        <v>3023</v>
      </c>
      <c r="BK726" t="s">
        <v>102</v>
      </c>
      <c r="BL726" t="s">
        <v>3023</v>
      </c>
      <c r="BM726" t="s">
        <v>13307</v>
      </c>
      <c r="BN726" t="s">
        <v>74</v>
      </c>
      <c r="BO726" t="s">
        <v>429</v>
      </c>
      <c r="BP726" t="s">
        <v>74</v>
      </c>
      <c r="BQ726" t="s">
        <v>74</v>
      </c>
      <c r="BR726" t="s">
        <v>105</v>
      </c>
      <c r="BS726" t="s">
        <v>13308</v>
      </c>
      <c r="BT726" t="str">
        <f>HYPERLINK("https%3A%2F%2Fwww.webofscience.com%2Fwos%2Fwoscc%2Ffull-record%2FWOS:000318749200004","View Full Record in Web of Science")</f>
        <v>View Full Record in Web of Science</v>
      </c>
    </row>
    <row r="727" spans="1:72" x14ac:dyDescent="0.15">
      <c r="A727" t="s">
        <v>72</v>
      </c>
      <c r="B727" t="s">
        <v>13309</v>
      </c>
      <c r="C727" t="s">
        <v>74</v>
      </c>
      <c r="D727" t="s">
        <v>74</v>
      </c>
      <c r="E727" t="s">
        <v>74</v>
      </c>
      <c r="F727" t="s">
        <v>13310</v>
      </c>
      <c r="G727" t="s">
        <v>74</v>
      </c>
      <c r="H727" t="s">
        <v>74</v>
      </c>
      <c r="I727" t="s">
        <v>13311</v>
      </c>
      <c r="J727" t="s">
        <v>1085</v>
      </c>
      <c r="K727" t="s">
        <v>74</v>
      </c>
      <c r="L727" t="s">
        <v>74</v>
      </c>
      <c r="M727" t="s">
        <v>78</v>
      </c>
      <c r="N727" t="s">
        <v>79</v>
      </c>
      <c r="O727" t="s">
        <v>74</v>
      </c>
      <c r="P727" t="s">
        <v>74</v>
      </c>
      <c r="Q727" t="s">
        <v>74</v>
      </c>
      <c r="R727" t="s">
        <v>74</v>
      </c>
      <c r="S727" t="s">
        <v>74</v>
      </c>
      <c r="T727" t="s">
        <v>74</v>
      </c>
      <c r="U727" t="s">
        <v>13312</v>
      </c>
      <c r="V727" t="s">
        <v>13313</v>
      </c>
      <c r="W727" t="s">
        <v>13314</v>
      </c>
      <c r="X727" t="s">
        <v>13315</v>
      </c>
      <c r="Y727" t="s">
        <v>13316</v>
      </c>
      <c r="Z727" t="s">
        <v>13317</v>
      </c>
      <c r="AA727" t="s">
        <v>74</v>
      </c>
      <c r="AB727" t="s">
        <v>13318</v>
      </c>
      <c r="AC727" t="s">
        <v>13319</v>
      </c>
      <c r="AD727" t="s">
        <v>13320</v>
      </c>
      <c r="AE727" t="s">
        <v>13321</v>
      </c>
      <c r="AF727" t="s">
        <v>74</v>
      </c>
      <c r="AG727">
        <v>66</v>
      </c>
      <c r="AH727">
        <v>56</v>
      </c>
      <c r="AI727">
        <v>61</v>
      </c>
      <c r="AJ727">
        <v>6</v>
      </c>
      <c r="AK727">
        <v>120</v>
      </c>
      <c r="AL727" t="s">
        <v>397</v>
      </c>
      <c r="AM727" t="s">
        <v>398</v>
      </c>
      <c r="AN727" t="s">
        <v>399</v>
      </c>
      <c r="AO727" t="s">
        <v>1090</v>
      </c>
      <c r="AP727" t="s">
        <v>1091</v>
      </c>
      <c r="AQ727" t="s">
        <v>74</v>
      </c>
      <c r="AR727" t="s">
        <v>1092</v>
      </c>
      <c r="AS727" t="s">
        <v>1093</v>
      </c>
      <c r="AT727" t="s">
        <v>5170</v>
      </c>
      <c r="AU727">
        <v>2013</v>
      </c>
      <c r="AV727">
        <v>160</v>
      </c>
      <c r="AW727">
        <v>1</v>
      </c>
      <c r="AX727" t="s">
        <v>74</v>
      </c>
      <c r="AY727" t="s">
        <v>74</v>
      </c>
      <c r="AZ727" t="s">
        <v>74</v>
      </c>
      <c r="BA727" t="s">
        <v>74</v>
      </c>
      <c r="BB727">
        <v>1</v>
      </c>
      <c r="BC727">
        <v>13</v>
      </c>
      <c r="BD727" t="s">
        <v>74</v>
      </c>
      <c r="BE727" t="s">
        <v>13322</v>
      </c>
      <c r="BF727" t="str">
        <f>HYPERLINK("http://dx.doi.org/10.1007/s00227-012-2049-8","http://dx.doi.org/10.1007/s00227-012-2049-8")</f>
        <v>http://dx.doi.org/10.1007/s00227-012-2049-8</v>
      </c>
      <c r="BG727" t="s">
        <v>74</v>
      </c>
      <c r="BH727" t="s">
        <v>74</v>
      </c>
      <c r="BI727">
        <v>13</v>
      </c>
      <c r="BJ727" t="s">
        <v>223</v>
      </c>
      <c r="BK727" t="s">
        <v>102</v>
      </c>
      <c r="BL727" t="s">
        <v>223</v>
      </c>
      <c r="BM727" t="s">
        <v>9599</v>
      </c>
      <c r="BN727" t="s">
        <v>74</v>
      </c>
      <c r="BO727" t="s">
        <v>74</v>
      </c>
      <c r="BP727" t="s">
        <v>74</v>
      </c>
      <c r="BQ727" t="s">
        <v>74</v>
      </c>
      <c r="BR727" t="s">
        <v>105</v>
      </c>
      <c r="BS727" t="s">
        <v>13323</v>
      </c>
      <c r="BT727" t="str">
        <f>HYPERLINK("https%3A%2F%2Fwww.webofscience.com%2Fwos%2Fwoscc%2Ffull-record%2FWOS:000313047600001","View Full Record in Web of Science")</f>
        <v>View Full Record in Web of Science</v>
      </c>
    </row>
    <row r="728" spans="1:72" x14ac:dyDescent="0.15">
      <c r="A728" t="s">
        <v>72</v>
      </c>
      <c r="B728" t="s">
        <v>13324</v>
      </c>
      <c r="C728" t="s">
        <v>74</v>
      </c>
      <c r="D728" t="s">
        <v>74</v>
      </c>
      <c r="E728" t="s">
        <v>74</v>
      </c>
      <c r="F728" t="s">
        <v>13325</v>
      </c>
      <c r="G728" t="s">
        <v>74</v>
      </c>
      <c r="H728" t="s">
        <v>74</v>
      </c>
      <c r="I728" t="s">
        <v>13326</v>
      </c>
      <c r="J728" t="s">
        <v>1085</v>
      </c>
      <c r="K728" t="s">
        <v>74</v>
      </c>
      <c r="L728" t="s">
        <v>74</v>
      </c>
      <c r="M728" t="s">
        <v>78</v>
      </c>
      <c r="N728" t="s">
        <v>79</v>
      </c>
      <c r="O728" t="s">
        <v>74</v>
      </c>
      <c r="P728" t="s">
        <v>74</v>
      </c>
      <c r="Q728" t="s">
        <v>74</v>
      </c>
      <c r="R728" t="s">
        <v>74</v>
      </c>
      <c r="S728" t="s">
        <v>74</v>
      </c>
      <c r="T728" t="s">
        <v>74</v>
      </c>
      <c r="U728" t="s">
        <v>13327</v>
      </c>
      <c r="V728" t="s">
        <v>13328</v>
      </c>
      <c r="W728" t="s">
        <v>13329</v>
      </c>
      <c r="X728" t="s">
        <v>13330</v>
      </c>
      <c r="Y728" t="s">
        <v>13331</v>
      </c>
      <c r="Z728" t="s">
        <v>13332</v>
      </c>
      <c r="AA728" t="s">
        <v>13333</v>
      </c>
      <c r="AB728" t="s">
        <v>13334</v>
      </c>
      <c r="AC728" t="s">
        <v>13335</v>
      </c>
      <c r="AD728" t="s">
        <v>13336</v>
      </c>
      <c r="AE728" t="s">
        <v>13337</v>
      </c>
      <c r="AF728" t="s">
        <v>74</v>
      </c>
      <c r="AG728">
        <v>73</v>
      </c>
      <c r="AH728">
        <v>19</v>
      </c>
      <c r="AI728">
        <v>22</v>
      </c>
      <c r="AJ728">
        <v>0</v>
      </c>
      <c r="AK728">
        <v>117</v>
      </c>
      <c r="AL728" t="s">
        <v>500</v>
      </c>
      <c r="AM728" t="s">
        <v>296</v>
      </c>
      <c r="AN728" t="s">
        <v>525</v>
      </c>
      <c r="AO728" t="s">
        <v>1090</v>
      </c>
      <c r="AP728" t="s">
        <v>74</v>
      </c>
      <c r="AQ728" t="s">
        <v>74</v>
      </c>
      <c r="AR728" t="s">
        <v>1092</v>
      </c>
      <c r="AS728" t="s">
        <v>1093</v>
      </c>
      <c r="AT728" t="s">
        <v>5170</v>
      </c>
      <c r="AU728">
        <v>2013</v>
      </c>
      <c r="AV728">
        <v>160</v>
      </c>
      <c r="AW728">
        <v>1</v>
      </c>
      <c r="AX728" t="s">
        <v>74</v>
      </c>
      <c r="AY728" t="s">
        <v>74</v>
      </c>
      <c r="AZ728" t="s">
        <v>74</v>
      </c>
      <c r="BA728" t="s">
        <v>74</v>
      </c>
      <c r="BB728">
        <v>15</v>
      </c>
      <c r="BC728">
        <v>26</v>
      </c>
      <c r="BD728" t="s">
        <v>74</v>
      </c>
      <c r="BE728" t="s">
        <v>13338</v>
      </c>
      <c r="BF728" t="str">
        <f>HYPERLINK("http://dx.doi.org/10.1007/s00227-012-2050-2","http://dx.doi.org/10.1007/s00227-012-2050-2")</f>
        <v>http://dx.doi.org/10.1007/s00227-012-2050-2</v>
      </c>
      <c r="BG728" t="s">
        <v>74</v>
      </c>
      <c r="BH728" t="s">
        <v>74</v>
      </c>
      <c r="BI728">
        <v>12</v>
      </c>
      <c r="BJ728" t="s">
        <v>223</v>
      </c>
      <c r="BK728" t="s">
        <v>102</v>
      </c>
      <c r="BL728" t="s">
        <v>223</v>
      </c>
      <c r="BM728" t="s">
        <v>9599</v>
      </c>
      <c r="BN728" t="s">
        <v>74</v>
      </c>
      <c r="BO728" t="s">
        <v>74</v>
      </c>
      <c r="BP728" t="s">
        <v>74</v>
      </c>
      <c r="BQ728" t="s">
        <v>74</v>
      </c>
      <c r="BR728" t="s">
        <v>105</v>
      </c>
      <c r="BS728" t="s">
        <v>13339</v>
      </c>
      <c r="BT728" t="str">
        <f>HYPERLINK("https%3A%2F%2Fwww.webofscience.com%2Fwos%2Fwoscc%2Ffull-record%2FWOS:000313047600002","View Full Record in Web of Science")</f>
        <v>View Full Record in Web of Science</v>
      </c>
    </row>
    <row r="729" spans="1:72" x14ac:dyDescent="0.15">
      <c r="A729" t="s">
        <v>72</v>
      </c>
      <c r="B729" t="s">
        <v>13340</v>
      </c>
      <c r="C729" t="s">
        <v>74</v>
      </c>
      <c r="D729" t="s">
        <v>74</v>
      </c>
      <c r="E729" t="s">
        <v>74</v>
      </c>
      <c r="F729" t="s">
        <v>13341</v>
      </c>
      <c r="G729" t="s">
        <v>74</v>
      </c>
      <c r="H729" t="s">
        <v>74</v>
      </c>
      <c r="I729" t="s">
        <v>13342</v>
      </c>
      <c r="J729" t="s">
        <v>5060</v>
      </c>
      <c r="K729" t="s">
        <v>74</v>
      </c>
      <c r="L729" t="s">
        <v>74</v>
      </c>
      <c r="M729" t="s">
        <v>78</v>
      </c>
      <c r="N729" t="s">
        <v>79</v>
      </c>
      <c r="O729" t="s">
        <v>74</v>
      </c>
      <c r="P729" t="s">
        <v>74</v>
      </c>
      <c r="Q729" t="s">
        <v>74</v>
      </c>
      <c r="R729" t="s">
        <v>74</v>
      </c>
      <c r="S729" t="s">
        <v>74</v>
      </c>
      <c r="T729" t="s">
        <v>13343</v>
      </c>
      <c r="U729" t="s">
        <v>13344</v>
      </c>
      <c r="V729" t="s">
        <v>13345</v>
      </c>
      <c r="W729" t="s">
        <v>13346</v>
      </c>
      <c r="X729" t="s">
        <v>13347</v>
      </c>
      <c r="Y729" t="s">
        <v>13348</v>
      </c>
      <c r="Z729" t="s">
        <v>13349</v>
      </c>
      <c r="AA729" t="s">
        <v>13350</v>
      </c>
      <c r="AB729" t="s">
        <v>13351</v>
      </c>
      <c r="AC729" t="s">
        <v>13352</v>
      </c>
      <c r="AD729" t="s">
        <v>13353</v>
      </c>
      <c r="AE729" t="s">
        <v>13354</v>
      </c>
      <c r="AF729" t="s">
        <v>74</v>
      </c>
      <c r="AG729">
        <v>83</v>
      </c>
      <c r="AH729">
        <v>8</v>
      </c>
      <c r="AI729">
        <v>10</v>
      </c>
      <c r="AJ729">
        <v>0</v>
      </c>
      <c r="AK729">
        <v>19</v>
      </c>
      <c r="AL729" t="s">
        <v>4363</v>
      </c>
      <c r="AM729" t="s">
        <v>4364</v>
      </c>
      <c r="AN729" t="s">
        <v>4365</v>
      </c>
      <c r="AO729" t="s">
        <v>5073</v>
      </c>
      <c r="AP729" t="s">
        <v>5074</v>
      </c>
      <c r="AQ729" t="s">
        <v>74</v>
      </c>
      <c r="AR729" t="s">
        <v>5075</v>
      </c>
      <c r="AS729" t="s">
        <v>5076</v>
      </c>
      <c r="AT729" t="s">
        <v>74</v>
      </c>
      <c r="AU729">
        <v>2013</v>
      </c>
      <c r="AV729">
        <v>494</v>
      </c>
      <c r="AW729" t="s">
        <v>74</v>
      </c>
      <c r="AX729" t="s">
        <v>74</v>
      </c>
      <c r="AY729" t="s">
        <v>74</v>
      </c>
      <c r="AZ729" t="s">
        <v>74</v>
      </c>
      <c r="BA729" t="s">
        <v>74</v>
      </c>
      <c r="BB729">
        <v>41</v>
      </c>
      <c r="BC729">
        <v>63</v>
      </c>
      <c r="BD729" t="s">
        <v>74</v>
      </c>
      <c r="BE729" t="s">
        <v>13355</v>
      </c>
      <c r="BF729" t="str">
        <f>HYPERLINK("http://dx.doi.org/10.3354/meps10530","http://dx.doi.org/10.3354/meps10530")</f>
        <v>http://dx.doi.org/10.3354/meps10530</v>
      </c>
      <c r="BG729" t="s">
        <v>74</v>
      </c>
      <c r="BH729" t="s">
        <v>74</v>
      </c>
      <c r="BI729">
        <v>23</v>
      </c>
      <c r="BJ729" t="s">
        <v>5078</v>
      </c>
      <c r="BK729" t="s">
        <v>102</v>
      </c>
      <c r="BL729" t="s">
        <v>5079</v>
      </c>
      <c r="BM729" t="s">
        <v>5080</v>
      </c>
      <c r="BN729" t="s">
        <v>74</v>
      </c>
      <c r="BO729" t="s">
        <v>128</v>
      </c>
      <c r="BP729" t="s">
        <v>74</v>
      </c>
      <c r="BQ729" t="s">
        <v>74</v>
      </c>
      <c r="BR729" t="s">
        <v>105</v>
      </c>
      <c r="BS729" t="s">
        <v>13356</v>
      </c>
      <c r="BT729" t="str">
        <f>HYPERLINK("https%3A%2F%2Fwww.webofscience.com%2Fwos%2Fwoscc%2Ffull-record%2FWOS:000328086100004","View Full Record in Web of Science")</f>
        <v>View Full Record in Web of Science</v>
      </c>
    </row>
    <row r="730" spans="1:72" x14ac:dyDescent="0.15">
      <c r="A730" t="s">
        <v>72</v>
      </c>
      <c r="B730" t="s">
        <v>13357</v>
      </c>
      <c r="C730" t="s">
        <v>74</v>
      </c>
      <c r="D730" t="s">
        <v>74</v>
      </c>
      <c r="E730" t="s">
        <v>74</v>
      </c>
      <c r="F730" t="s">
        <v>13358</v>
      </c>
      <c r="G730" t="s">
        <v>74</v>
      </c>
      <c r="H730" t="s">
        <v>74</v>
      </c>
      <c r="I730" t="s">
        <v>13359</v>
      </c>
      <c r="J730" t="s">
        <v>5060</v>
      </c>
      <c r="K730" t="s">
        <v>74</v>
      </c>
      <c r="L730" t="s">
        <v>74</v>
      </c>
      <c r="M730" t="s">
        <v>78</v>
      </c>
      <c r="N730" t="s">
        <v>1170</v>
      </c>
      <c r="O730" t="s">
        <v>74</v>
      </c>
      <c r="P730" t="s">
        <v>74</v>
      </c>
      <c r="Q730" t="s">
        <v>74</v>
      </c>
      <c r="R730" t="s">
        <v>74</v>
      </c>
      <c r="S730" t="s">
        <v>74</v>
      </c>
      <c r="T730" t="s">
        <v>13360</v>
      </c>
      <c r="U730" t="s">
        <v>74</v>
      </c>
      <c r="V730" t="s">
        <v>13361</v>
      </c>
      <c r="W730" t="s">
        <v>13362</v>
      </c>
      <c r="X730" t="s">
        <v>13363</v>
      </c>
      <c r="Y730" t="s">
        <v>13364</v>
      </c>
      <c r="Z730" t="s">
        <v>13365</v>
      </c>
      <c r="AA730" t="s">
        <v>74</v>
      </c>
      <c r="AB730" t="s">
        <v>74</v>
      </c>
      <c r="AC730" t="s">
        <v>1549</v>
      </c>
      <c r="AD730" t="s">
        <v>1550</v>
      </c>
      <c r="AE730" t="s">
        <v>74</v>
      </c>
      <c r="AF730" t="s">
        <v>74</v>
      </c>
      <c r="AG730">
        <v>13</v>
      </c>
      <c r="AH730">
        <v>6</v>
      </c>
      <c r="AI730">
        <v>6</v>
      </c>
      <c r="AJ730">
        <v>0</v>
      </c>
      <c r="AK730">
        <v>12</v>
      </c>
      <c r="AL730" t="s">
        <v>4363</v>
      </c>
      <c r="AM730" t="s">
        <v>4364</v>
      </c>
      <c r="AN730" t="s">
        <v>4365</v>
      </c>
      <c r="AO730" t="s">
        <v>5073</v>
      </c>
      <c r="AP730" t="s">
        <v>5074</v>
      </c>
      <c r="AQ730" t="s">
        <v>74</v>
      </c>
      <c r="AR730" t="s">
        <v>5075</v>
      </c>
      <c r="AS730" t="s">
        <v>5076</v>
      </c>
      <c r="AT730" t="s">
        <v>74</v>
      </c>
      <c r="AU730">
        <v>2013</v>
      </c>
      <c r="AV730">
        <v>493</v>
      </c>
      <c r="AW730" t="s">
        <v>74</v>
      </c>
      <c r="AX730" t="s">
        <v>74</v>
      </c>
      <c r="AY730" t="s">
        <v>74</v>
      </c>
      <c r="AZ730" t="s">
        <v>74</v>
      </c>
      <c r="BA730" t="s">
        <v>74</v>
      </c>
      <c r="BB730">
        <v>301</v>
      </c>
      <c r="BC730">
        <v>304</v>
      </c>
      <c r="BD730" t="s">
        <v>74</v>
      </c>
      <c r="BE730" t="s">
        <v>13366</v>
      </c>
      <c r="BF730" t="str">
        <f>HYPERLINK("http://dx.doi.org/10.3354/meps10600","http://dx.doi.org/10.3354/meps10600")</f>
        <v>http://dx.doi.org/10.3354/meps10600</v>
      </c>
      <c r="BG730" t="s">
        <v>74</v>
      </c>
      <c r="BH730" t="s">
        <v>74</v>
      </c>
      <c r="BI730">
        <v>4</v>
      </c>
      <c r="BJ730" t="s">
        <v>5078</v>
      </c>
      <c r="BK730" t="s">
        <v>102</v>
      </c>
      <c r="BL730" t="s">
        <v>5079</v>
      </c>
      <c r="BM730" t="s">
        <v>13367</v>
      </c>
      <c r="BN730" t="s">
        <v>74</v>
      </c>
      <c r="BO730" t="s">
        <v>128</v>
      </c>
      <c r="BP730" t="s">
        <v>74</v>
      </c>
      <c r="BQ730" t="s">
        <v>74</v>
      </c>
      <c r="BR730" t="s">
        <v>105</v>
      </c>
      <c r="BS730" t="s">
        <v>13368</v>
      </c>
      <c r="BT730" t="str">
        <f>HYPERLINK("https%3A%2F%2Fwww.webofscience.com%2Fwos%2Fwoscc%2Ffull-record%2FWOS:000327197700027","View Full Record in Web of Science")</f>
        <v>View Full Record in Web of Science</v>
      </c>
    </row>
    <row r="731" spans="1:72" x14ac:dyDescent="0.15">
      <c r="A731" t="s">
        <v>72</v>
      </c>
      <c r="B731" t="s">
        <v>13369</v>
      </c>
      <c r="C731" t="s">
        <v>74</v>
      </c>
      <c r="D731" t="s">
        <v>74</v>
      </c>
      <c r="E731" t="s">
        <v>74</v>
      </c>
      <c r="F731" t="s">
        <v>13370</v>
      </c>
      <c r="G731" t="s">
        <v>74</v>
      </c>
      <c r="H731" t="s">
        <v>74</v>
      </c>
      <c r="I731" t="s">
        <v>13371</v>
      </c>
      <c r="J731" t="s">
        <v>5060</v>
      </c>
      <c r="K731" t="s">
        <v>74</v>
      </c>
      <c r="L731" t="s">
        <v>74</v>
      </c>
      <c r="M731" t="s">
        <v>78</v>
      </c>
      <c r="N731" t="s">
        <v>79</v>
      </c>
      <c r="O731" t="s">
        <v>74</v>
      </c>
      <c r="P731" t="s">
        <v>74</v>
      </c>
      <c r="Q731" t="s">
        <v>74</v>
      </c>
      <c r="R731" t="s">
        <v>74</v>
      </c>
      <c r="S731" t="s">
        <v>74</v>
      </c>
      <c r="T731" t="s">
        <v>13372</v>
      </c>
      <c r="U731" t="s">
        <v>13373</v>
      </c>
      <c r="V731" t="s">
        <v>13374</v>
      </c>
      <c r="W731" t="s">
        <v>13375</v>
      </c>
      <c r="X731" t="s">
        <v>13376</v>
      </c>
      <c r="Y731" t="s">
        <v>13377</v>
      </c>
      <c r="Z731" t="s">
        <v>13378</v>
      </c>
      <c r="AA731" t="s">
        <v>13379</v>
      </c>
      <c r="AB731" t="s">
        <v>13380</v>
      </c>
      <c r="AC731" t="s">
        <v>13381</v>
      </c>
      <c r="AD731" t="s">
        <v>13382</v>
      </c>
      <c r="AE731" t="s">
        <v>13383</v>
      </c>
      <c r="AF731" t="s">
        <v>74</v>
      </c>
      <c r="AG731">
        <v>69</v>
      </c>
      <c r="AH731">
        <v>70</v>
      </c>
      <c r="AI731">
        <v>89</v>
      </c>
      <c r="AJ731">
        <v>0</v>
      </c>
      <c r="AK731">
        <v>41</v>
      </c>
      <c r="AL731" t="s">
        <v>4363</v>
      </c>
      <c r="AM731" t="s">
        <v>4364</v>
      </c>
      <c r="AN731" t="s">
        <v>4365</v>
      </c>
      <c r="AO731" t="s">
        <v>5073</v>
      </c>
      <c r="AP731" t="s">
        <v>5074</v>
      </c>
      <c r="AQ731" t="s">
        <v>74</v>
      </c>
      <c r="AR731" t="s">
        <v>5075</v>
      </c>
      <c r="AS731" t="s">
        <v>5076</v>
      </c>
      <c r="AT731" t="s">
        <v>74</v>
      </c>
      <c r="AU731">
        <v>2013</v>
      </c>
      <c r="AV731">
        <v>492</v>
      </c>
      <c r="AW731" t="s">
        <v>74</v>
      </c>
      <c r="AX731" t="s">
        <v>74</v>
      </c>
      <c r="AY731" t="s">
        <v>74</v>
      </c>
      <c r="AZ731" t="s">
        <v>74</v>
      </c>
      <c r="BA731" t="s">
        <v>74</v>
      </c>
      <c r="BB731">
        <v>253</v>
      </c>
      <c r="BC731">
        <v>272</v>
      </c>
      <c r="BD731" t="s">
        <v>74</v>
      </c>
      <c r="BE731" t="s">
        <v>13384</v>
      </c>
      <c r="BF731" t="str">
        <f>HYPERLINK("http://dx.doi.org/10.3354/meps10534","http://dx.doi.org/10.3354/meps10534")</f>
        <v>http://dx.doi.org/10.3354/meps10534</v>
      </c>
      <c r="BG731" t="s">
        <v>74</v>
      </c>
      <c r="BH731" t="s">
        <v>74</v>
      </c>
      <c r="BI731">
        <v>20</v>
      </c>
      <c r="BJ731" t="s">
        <v>5078</v>
      </c>
      <c r="BK731" t="s">
        <v>102</v>
      </c>
      <c r="BL731" t="s">
        <v>5079</v>
      </c>
      <c r="BM731" t="s">
        <v>13385</v>
      </c>
      <c r="BN731" t="s">
        <v>74</v>
      </c>
      <c r="BO731" t="s">
        <v>1427</v>
      </c>
      <c r="BP731" t="s">
        <v>74</v>
      </c>
      <c r="BQ731" t="s">
        <v>74</v>
      </c>
      <c r="BR731" t="s">
        <v>105</v>
      </c>
      <c r="BS731" t="s">
        <v>13386</v>
      </c>
      <c r="BT731" t="str">
        <f>HYPERLINK("https%3A%2F%2Fwww.webofscience.com%2Fwos%2Fwoscc%2Ffull-record%2FWOS:000326439800019","View Full Record in Web of Science")</f>
        <v>View Full Record in Web of Science</v>
      </c>
    </row>
    <row r="732" spans="1:72" x14ac:dyDescent="0.15">
      <c r="A732" t="s">
        <v>72</v>
      </c>
      <c r="B732" t="s">
        <v>13387</v>
      </c>
      <c r="C732" t="s">
        <v>74</v>
      </c>
      <c r="D732" t="s">
        <v>74</v>
      </c>
      <c r="E732" t="s">
        <v>74</v>
      </c>
      <c r="F732" t="s">
        <v>13388</v>
      </c>
      <c r="G732" t="s">
        <v>74</v>
      </c>
      <c r="H732" t="s">
        <v>74</v>
      </c>
      <c r="I732" t="s">
        <v>13389</v>
      </c>
      <c r="J732" t="s">
        <v>5060</v>
      </c>
      <c r="K732" t="s">
        <v>74</v>
      </c>
      <c r="L732" t="s">
        <v>74</v>
      </c>
      <c r="M732" t="s">
        <v>78</v>
      </c>
      <c r="N732" t="s">
        <v>79</v>
      </c>
      <c r="O732" t="s">
        <v>74</v>
      </c>
      <c r="P732" t="s">
        <v>74</v>
      </c>
      <c r="Q732" t="s">
        <v>74</v>
      </c>
      <c r="R732" t="s">
        <v>74</v>
      </c>
      <c r="S732" t="s">
        <v>74</v>
      </c>
      <c r="T732" t="s">
        <v>13390</v>
      </c>
      <c r="U732" t="s">
        <v>13391</v>
      </c>
      <c r="V732" t="s">
        <v>13392</v>
      </c>
      <c r="W732" t="s">
        <v>13393</v>
      </c>
      <c r="X732" t="s">
        <v>13394</v>
      </c>
      <c r="Y732" t="s">
        <v>13395</v>
      </c>
      <c r="Z732" t="s">
        <v>13396</v>
      </c>
      <c r="AA732" t="s">
        <v>13397</v>
      </c>
      <c r="AB732" t="s">
        <v>13398</v>
      </c>
      <c r="AC732" t="s">
        <v>13399</v>
      </c>
      <c r="AD732" t="s">
        <v>13400</v>
      </c>
      <c r="AE732" t="s">
        <v>13401</v>
      </c>
      <c r="AF732" t="s">
        <v>74</v>
      </c>
      <c r="AG732">
        <v>68</v>
      </c>
      <c r="AH732">
        <v>52</v>
      </c>
      <c r="AI732">
        <v>59</v>
      </c>
      <c r="AJ732">
        <v>2</v>
      </c>
      <c r="AK732">
        <v>81</v>
      </c>
      <c r="AL732" t="s">
        <v>4363</v>
      </c>
      <c r="AM732" t="s">
        <v>4364</v>
      </c>
      <c r="AN732" t="s">
        <v>4365</v>
      </c>
      <c r="AO732" t="s">
        <v>5073</v>
      </c>
      <c r="AP732" t="s">
        <v>5074</v>
      </c>
      <c r="AQ732" t="s">
        <v>74</v>
      </c>
      <c r="AR732" t="s">
        <v>5075</v>
      </c>
      <c r="AS732" t="s">
        <v>5076</v>
      </c>
      <c r="AT732" t="s">
        <v>74</v>
      </c>
      <c r="AU732">
        <v>2013</v>
      </c>
      <c r="AV732">
        <v>491</v>
      </c>
      <c r="AW732" t="s">
        <v>74</v>
      </c>
      <c r="AX732" t="s">
        <v>74</v>
      </c>
      <c r="AY732" t="s">
        <v>74</v>
      </c>
      <c r="AZ732" t="s">
        <v>74</v>
      </c>
      <c r="BA732" t="s">
        <v>74</v>
      </c>
      <c r="BB732">
        <v>165</v>
      </c>
      <c r="BC732">
        <v>175</v>
      </c>
      <c r="BD732" t="s">
        <v>74</v>
      </c>
      <c r="BE732" t="s">
        <v>13402</v>
      </c>
      <c r="BF732" t="str">
        <f>HYPERLINK("http://dx.doi.org/10.3354/meps10450","http://dx.doi.org/10.3354/meps10450")</f>
        <v>http://dx.doi.org/10.3354/meps10450</v>
      </c>
      <c r="BG732" t="s">
        <v>74</v>
      </c>
      <c r="BH732" t="s">
        <v>74</v>
      </c>
      <c r="BI732">
        <v>11</v>
      </c>
      <c r="BJ732" t="s">
        <v>5078</v>
      </c>
      <c r="BK732" t="s">
        <v>102</v>
      </c>
      <c r="BL732" t="s">
        <v>5079</v>
      </c>
      <c r="BM732" t="s">
        <v>5722</v>
      </c>
      <c r="BN732" t="s">
        <v>74</v>
      </c>
      <c r="BO732" t="s">
        <v>10369</v>
      </c>
      <c r="BP732" t="s">
        <v>74</v>
      </c>
      <c r="BQ732" t="s">
        <v>74</v>
      </c>
      <c r="BR732" t="s">
        <v>105</v>
      </c>
      <c r="BS732" t="s">
        <v>13403</v>
      </c>
      <c r="BT732" t="str">
        <f>HYPERLINK("https%3A%2F%2Fwww.webofscience.com%2Fwos%2Fwoscc%2Ffull-record%2FWOS:000325282500013","View Full Record in Web of Science")</f>
        <v>View Full Record in Web of Science</v>
      </c>
    </row>
    <row r="733" spans="1:72" x14ac:dyDescent="0.15">
      <c r="A733" t="s">
        <v>72</v>
      </c>
      <c r="B733" t="s">
        <v>13404</v>
      </c>
      <c r="C733" t="s">
        <v>74</v>
      </c>
      <c r="D733" t="s">
        <v>74</v>
      </c>
      <c r="E733" t="s">
        <v>74</v>
      </c>
      <c r="F733" t="s">
        <v>13405</v>
      </c>
      <c r="G733" t="s">
        <v>74</v>
      </c>
      <c r="H733" t="s">
        <v>74</v>
      </c>
      <c r="I733" t="s">
        <v>13406</v>
      </c>
      <c r="J733" t="s">
        <v>5060</v>
      </c>
      <c r="K733" t="s">
        <v>74</v>
      </c>
      <c r="L733" t="s">
        <v>74</v>
      </c>
      <c r="M733" t="s">
        <v>78</v>
      </c>
      <c r="N733" t="s">
        <v>79</v>
      </c>
      <c r="O733" t="s">
        <v>74</v>
      </c>
      <c r="P733" t="s">
        <v>74</v>
      </c>
      <c r="Q733" t="s">
        <v>74</v>
      </c>
      <c r="R733" t="s">
        <v>74</v>
      </c>
      <c r="S733" t="s">
        <v>74</v>
      </c>
      <c r="T733" t="s">
        <v>13407</v>
      </c>
      <c r="U733" t="s">
        <v>13408</v>
      </c>
      <c r="V733" t="s">
        <v>13409</v>
      </c>
      <c r="W733" t="s">
        <v>13410</v>
      </c>
      <c r="X733" t="s">
        <v>13411</v>
      </c>
      <c r="Y733" t="s">
        <v>13412</v>
      </c>
      <c r="Z733" t="s">
        <v>13413</v>
      </c>
      <c r="AA733" t="s">
        <v>74</v>
      </c>
      <c r="AB733" t="s">
        <v>13414</v>
      </c>
      <c r="AC733" t="s">
        <v>13415</v>
      </c>
      <c r="AD733" t="s">
        <v>13416</v>
      </c>
      <c r="AE733" t="s">
        <v>13417</v>
      </c>
      <c r="AF733" t="s">
        <v>74</v>
      </c>
      <c r="AG733">
        <v>79</v>
      </c>
      <c r="AH733">
        <v>34</v>
      </c>
      <c r="AI733">
        <v>39</v>
      </c>
      <c r="AJ733">
        <v>0</v>
      </c>
      <c r="AK733">
        <v>131</v>
      </c>
      <c r="AL733" t="s">
        <v>4363</v>
      </c>
      <c r="AM733" t="s">
        <v>4364</v>
      </c>
      <c r="AN733" t="s">
        <v>4365</v>
      </c>
      <c r="AO733" t="s">
        <v>5073</v>
      </c>
      <c r="AP733" t="s">
        <v>5074</v>
      </c>
      <c r="AQ733" t="s">
        <v>74</v>
      </c>
      <c r="AR733" t="s">
        <v>5075</v>
      </c>
      <c r="AS733" t="s">
        <v>5076</v>
      </c>
      <c r="AT733" t="s">
        <v>74</v>
      </c>
      <c r="AU733">
        <v>2013</v>
      </c>
      <c r="AV733">
        <v>491</v>
      </c>
      <c r="AW733" t="s">
        <v>74</v>
      </c>
      <c r="AX733" t="s">
        <v>74</v>
      </c>
      <c r="AY733" t="s">
        <v>74</v>
      </c>
      <c r="AZ733" t="s">
        <v>74</v>
      </c>
      <c r="BA733" t="s">
        <v>74</v>
      </c>
      <c r="BB733">
        <v>253</v>
      </c>
      <c r="BC733" t="s">
        <v>99</v>
      </c>
      <c r="BD733" t="s">
        <v>74</v>
      </c>
      <c r="BE733" t="s">
        <v>13418</v>
      </c>
      <c r="BF733" t="str">
        <f>HYPERLINK("http://dx.doi.org/10.3354/meps10469","http://dx.doi.org/10.3354/meps10469")</f>
        <v>http://dx.doi.org/10.3354/meps10469</v>
      </c>
      <c r="BG733" t="s">
        <v>74</v>
      </c>
      <c r="BH733" t="s">
        <v>74</v>
      </c>
      <c r="BI733">
        <v>19</v>
      </c>
      <c r="BJ733" t="s">
        <v>5078</v>
      </c>
      <c r="BK733" t="s">
        <v>102</v>
      </c>
      <c r="BL733" t="s">
        <v>5079</v>
      </c>
      <c r="BM733" t="s">
        <v>5722</v>
      </c>
      <c r="BN733" t="s">
        <v>74</v>
      </c>
      <c r="BO733" t="s">
        <v>128</v>
      </c>
      <c r="BP733" t="s">
        <v>74</v>
      </c>
      <c r="BQ733" t="s">
        <v>74</v>
      </c>
      <c r="BR733" t="s">
        <v>105</v>
      </c>
      <c r="BS733" t="s">
        <v>13419</v>
      </c>
      <c r="BT733" t="str">
        <f>HYPERLINK("https%3A%2F%2Fwww.webofscience.com%2Fwos%2Fwoscc%2Ffull-record%2FWOS:000325282500019","View Full Record in Web of Science")</f>
        <v>View Full Record in Web of Science</v>
      </c>
    </row>
    <row r="734" spans="1:72" x14ac:dyDescent="0.15">
      <c r="A734" t="s">
        <v>72</v>
      </c>
      <c r="B734" t="s">
        <v>13420</v>
      </c>
      <c r="C734" t="s">
        <v>74</v>
      </c>
      <c r="D734" t="s">
        <v>74</v>
      </c>
      <c r="E734" t="s">
        <v>74</v>
      </c>
      <c r="F734" t="s">
        <v>13421</v>
      </c>
      <c r="G734" t="s">
        <v>74</v>
      </c>
      <c r="H734" t="s">
        <v>74</v>
      </c>
      <c r="I734" t="s">
        <v>13422</v>
      </c>
      <c r="J734" t="s">
        <v>5060</v>
      </c>
      <c r="K734" t="s">
        <v>74</v>
      </c>
      <c r="L734" t="s">
        <v>74</v>
      </c>
      <c r="M734" t="s">
        <v>78</v>
      </c>
      <c r="N734" t="s">
        <v>79</v>
      </c>
      <c r="O734" t="s">
        <v>74</v>
      </c>
      <c r="P734" t="s">
        <v>74</v>
      </c>
      <c r="Q734" t="s">
        <v>74</v>
      </c>
      <c r="R734" t="s">
        <v>74</v>
      </c>
      <c r="S734" t="s">
        <v>74</v>
      </c>
      <c r="T734" t="s">
        <v>13423</v>
      </c>
      <c r="U734" t="s">
        <v>13424</v>
      </c>
      <c r="V734" t="s">
        <v>13425</v>
      </c>
      <c r="W734" t="s">
        <v>13426</v>
      </c>
      <c r="X734" t="s">
        <v>13427</v>
      </c>
      <c r="Y734" t="s">
        <v>13428</v>
      </c>
      <c r="Z734" t="s">
        <v>13429</v>
      </c>
      <c r="AA734" t="s">
        <v>13430</v>
      </c>
      <c r="AB734" t="s">
        <v>13431</v>
      </c>
      <c r="AC734" t="s">
        <v>13432</v>
      </c>
      <c r="AD734" t="s">
        <v>13433</v>
      </c>
      <c r="AE734" t="s">
        <v>13434</v>
      </c>
      <c r="AF734" t="s">
        <v>74</v>
      </c>
      <c r="AG734">
        <v>74</v>
      </c>
      <c r="AH734">
        <v>58</v>
      </c>
      <c r="AI734">
        <v>61</v>
      </c>
      <c r="AJ734">
        <v>2</v>
      </c>
      <c r="AK734">
        <v>109</v>
      </c>
      <c r="AL734" t="s">
        <v>4363</v>
      </c>
      <c r="AM734" t="s">
        <v>4364</v>
      </c>
      <c r="AN734" t="s">
        <v>4365</v>
      </c>
      <c r="AO734" t="s">
        <v>5073</v>
      </c>
      <c r="AP734" t="s">
        <v>5074</v>
      </c>
      <c r="AQ734" t="s">
        <v>74</v>
      </c>
      <c r="AR734" t="s">
        <v>5075</v>
      </c>
      <c r="AS734" t="s">
        <v>5076</v>
      </c>
      <c r="AT734" t="s">
        <v>74</v>
      </c>
      <c r="AU734">
        <v>2013</v>
      </c>
      <c r="AV734">
        <v>491</v>
      </c>
      <c r="AW734" t="s">
        <v>74</v>
      </c>
      <c r="AX734" t="s">
        <v>74</v>
      </c>
      <c r="AY734" t="s">
        <v>74</v>
      </c>
      <c r="AZ734" t="s">
        <v>74</v>
      </c>
      <c r="BA734" t="s">
        <v>74</v>
      </c>
      <c r="BB734">
        <v>277</v>
      </c>
      <c r="BC734" t="s">
        <v>99</v>
      </c>
      <c r="BD734" t="s">
        <v>74</v>
      </c>
      <c r="BE734" t="s">
        <v>13435</v>
      </c>
      <c r="BF734" t="str">
        <f>HYPERLINK("http://dx.doi.org/10.3354/meps10455","http://dx.doi.org/10.3354/meps10455")</f>
        <v>http://dx.doi.org/10.3354/meps10455</v>
      </c>
      <c r="BG734" t="s">
        <v>74</v>
      </c>
      <c r="BH734" t="s">
        <v>74</v>
      </c>
      <c r="BI734">
        <v>28</v>
      </c>
      <c r="BJ734" t="s">
        <v>5078</v>
      </c>
      <c r="BK734" t="s">
        <v>102</v>
      </c>
      <c r="BL734" t="s">
        <v>5079</v>
      </c>
      <c r="BM734" t="s">
        <v>5722</v>
      </c>
      <c r="BN734" t="s">
        <v>74</v>
      </c>
      <c r="BO734" t="s">
        <v>196</v>
      </c>
      <c r="BP734" t="s">
        <v>74</v>
      </c>
      <c r="BQ734" t="s">
        <v>74</v>
      </c>
      <c r="BR734" t="s">
        <v>105</v>
      </c>
      <c r="BS734" t="s">
        <v>13436</v>
      </c>
      <c r="BT734" t="str">
        <f>HYPERLINK("https%3A%2F%2Fwww.webofscience.com%2Fwos%2Fwoscc%2Ffull-record%2FWOS:000325282500021","View Full Record in Web of Science")</f>
        <v>View Full Record in Web of Science</v>
      </c>
    </row>
    <row r="735" spans="1:72" x14ac:dyDescent="0.15">
      <c r="A735" t="s">
        <v>72</v>
      </c>
      <c r="B735" t="s">
        <v>13437</v>
      </c>
      <c r="C735" t="s">
        <v>74</v>
      </c>
      <c r="D735" t="s">
        <v>74</v>
      </c>
      <c r="E735" t="s">
        <v>74</v>
      </c>
      <c r="F735" t="s">
        <v>13438</v>
      </c>
      <c r="G735" t="s">
        <v>74</v>
      </c>
      <c r="H735" t="s">
        <v>74</v>
      </c>
      <c r="I735" t="s">
        <v>13439</v>
      </c>
      <c r="J735" t="s">
        <v>5060</v>
      </c>
      <c r="K735" t="s">
        <v>74</v>
      </c>
      <c r="L735" t="s">
        <v>74</v>
      </c>
      <c r="M735" t="s">
        <v>78</v>
      </c>
      <c r="N735" t="s">
        <v>79</v>
      </c>
      <c r="O735" t="s">
        <v>74</v>
      </c>
      <c r="P735" t="s">
        <v>74</v>
      </c>
      <c r="Q735" t="s">
        <v>74</v>
      </c>
      <c r="R735" t="s">
        <v>74</v>
      </c>
      <c r="S735" t="s">
        <v>74</v>
      </c>
      <c r="T735" t="s">
        <v>13440</v>
      </c>
      <c r="U735" t="s">
        <v>13441</v>
      </c>
      <c r="V735" t="s">
        <v>13442</v>
      </c>
      <c r="W735" t="s">
        <v>13443</v>
      </c>
      <c r="X735" t="s">
        <v>13444</v>
      </c>
      <c r="Y735" t="s">
        <v>13445</v>
      </c>
      <c r="Z735" t="s">
        <v>13446</v>
      </c>
      <c r="AA735" t="s">
        <v>13447</v>
      </c>
      <c r="AB735" t="s">
        <v>13448</v>
      </c>
      <c r="AC735" t="s">
        <v>13449</v>
      </c>
      <c r="AD735" t="s">
        <v>13450</v>
      </c>
      <c r="AE735" t="s">
        <v>13451</v>
      </c>
      <c r="AF735" t="s">
        <v>74</v>
      </c>
      <c r="AG735">
        <v>76</v>
      </c>
      <c r="AH735">
        <v>21</v>
      </c>
      <c r="AI735">
        <v>24</v>
      </c>
      <c r="AJ735">
        <v>1</v>
      </c>
      <c r="AK735">
        <v>54</v>
      </c>
      <c r="AL735" t="s">
        <v>4363</v>
      </c>
      <c r="AM735" t="s">
        <v>4364</v>
      </c>
      <c r="AN735" t="s">
        <v>4365</v>
      </c>
      <c r="AO735" t="s">
        <v>5073</v>
      </c>
      <c r="AP735" t="s">
        <v>5074</v>
      </c>
      <c r="AQ735" t="s">
        <v>74</v>
      </c>
      <c r="AR735" t="s">
        <v>5075</v>
      </c>
      <c r="AS735" t="s">
        <v>5076</v>
      </c>
      <c r="AT735" t="s">
        <v>74</v>
      </c>
      <c r="AU735">
        <v>2013</v>
      </c>
      <c r="AV735">
        <v>490</v>
      </c>
      <c r="AW735" t="s">
        <v>74</v>
      </c>
      <c r="AX735" t="s">
        <v>74</v>
      </c>
      <c r="AY735" t="s">
        <v>74</v>
      </c>
      <c r="AZ735" t="s">
        <v>74</v>
      </c>
      <c r="BA735" t="s">
        <v>74</v>
      </c>
      <c r="BB735">
        <v>255</v>
      </c>
      <c r="BC735">
        <v>266</v>
      </c>
      <c r="BD735" t="s">
        <v>74</v>
      </c>
      <c r="BE735" t="s">
        <v>13452</v>
      </c>
      <c r="BF735" t="str">
        <f>HYPERLINK("http://dx.doi.org/10.3354/meps10436","http://dx.doi.org/10.3354/meps10436")</f>
        <v>http://dx.doi.org/10.3354/meps10436</v>
      </c>
      <c r="BG735" t="s">
        <v>74</v>
      </c>
      <c r="BH735" t="s">
        <v>74</v>
      </c>
      <c r="BI735">
        <v>12</v>
      </c>
      <c r="BJ735" t="s">
        <v>5078</v>
      </c>
      <c r="BK735" t="s">
        <v>102</v>
      </c>
      <c r="BL735" t="s">
        <v>5079</v>
      </c>
      <c r="BM735" t="s">
        <v>5934</v>
      </c>
      <c r="BN735" t="s">
        <v>74</v>
      </c>
      <c r="BO735" t="s">
        <v>10369</v>
      </c>
      <c r="BP735" t="s">
        <v>74</v>
      </c>
      <c r="BQ735" t="s">
        <v>74</v>
      </c>
      <c r="BR735" t="s">
        <v>105</v>
      </c>
      <c r="BS735" t="s">
        <v>13453</v>
      </c>
      <c r="BT735" t="str">
        <f>HYPERLINK("https%3A%2F%2Fwww.webofscience.com%2Fwos%2Fwoscc%2Ffull-record%2FWOS:000324550600020","View Full Record in Web of Science")</f>
        <v>View Full Record in Web of Science</v>
      </c>
    </row>
    <row r="736" spans="1:72" x14ac:dyDescent="0.15">
      <c r="A736" t="s">
        <v>72</v>
      </c>
      <c r="B736" t="s">
        <v>13454</v>
      </c>
      <c r="C736" t="s">
        <v>74</v>
      </c>
      <c r="D736" t="s">
        <v>74</v>
      </c>
      <c r="E736" t="s">
        <v>74</v>
      </c>
      <c r="F736" t="s">
        <v>13455</v>
      </c>
      <c r="G736" t="s">
        <v>74</v>
      </c>
      <c r="H736" t="s">
        <v>74</v>
      </c>
      <c r="I736" t="s">
        <v>13456</v>
      </c>
      <c r="J736" t="s">
        <v>5060</v>
      </c>
      <c r="K736" t="s">
        <v>74</v>
      </c>
      <c r="L736" t="s">
        <v>74</v>
      </c>
      <c r="M736" t="s">
        <v>78</v>
      </c>
      <c r="N736" t="s">
        <v>79</v>
      </c>
      <c r="O736" t="s">
        <v>74</v>
      </c>
      <c r="P736" t="s">
        <v>74</v>
      </c>
      <c r="Q736" t="s">
        <v>74</v>
      </c>
      <c r="R736" t="s">
        <v>74</v>
      </c>
      <c r="S736" t="s">
        <v>74</v>
      </c>
      <c r="T736" t="s">
        <v>13457</v>
      </c>
      <c r="U736" t="s">
        <v>13458</v>
      </c>
      <c r="V736" t="s">
        <v>13459</v>
      </c>
      <c r="W736" t="s">
        <v>13460</v>
      </c>
      <c r="X736" t="s">
        <v>13461</v>
      </c>
      <c r="Y736" t="s">
        <v>13462</v>
      </c>
      <c r="Z736" t="s">
        <v>13463</v>
      </c>
      <c r="AA736" t="s">
        <v>74</v>
      </c>
      <c r="AB736" t="s">
        <v>74</v>
      </c>
      <c r="AC736" t="s">
        <v>13464</v>
      </c>
      <c r="AD736" t="s">
        <v>13465</v>
      </c>
      <c r="AE736" t="s">
        <v>13466</v>
      </c>
      <c r="AF736" t="s">
        <v>74</v>
      </c>
      <c r="AG736">
        <v>85</v>
      </c>
      <c r="AH736">
        <v>52</v>
      </c>
      <c r="AI736">
        <v>61</v>
      </c>
      <c r="AJ736">
        <v>0</v>
      </c>
      <c r="AK736">
        <v>49</v>
      </c>
      <c r="AL736" t="s">
        <v>4363</v>
      </c>
      <c r="AM736" t="s">
        <v>4364</v>
      </c>
      <c r="AN736" t="s">
        <v>4365</v>
      </c>
      <c r="AO736" t="s">
        <v>5073</v>
      </c>
      <c r="AP736" t="s">
        <v>5074</v>
      </c>
      <c r="AQ736" t="s">
        <v>74</v>
      </c>
      <c r="AR736" t="s">
        <v>5075</v>
      </c>
      <c r="AS736" t="s">
        <v>5076</v>
      </c>
      <c r="AT736" t="s">
        <v>74</v>
      </c>
      <c r="AU736">
        <v>2013</v>
      </c>
      <c r="AV736">
        <v>487</v>
      </c>
      <c r="AW736" t="s">
        <v>74</v>
      </c>
      <c r="AX736" t="s">
        <v>74</v>
      </c>
      <c r="AY736" t="s">
        <v>74</v>
      </c>
      <c r="AZ736" t="s">
        <v>74</v>
      </c>
      <c r="BA736" t="s">
        <v>74</v>
      </c>
      <c r="BB736">
        <v>287</v>
      </c>
      <c r="BC736">
        <v>304</v>
      </c>
      <c r="BD736" t="s">
        <v>74</v>
      </c>
      <c r="BE736" t="s">
        <v>13467</v>
      </c>
      <c r="BF736" t="str">
        <f>HYPERLINK("http://dx.doi.org/10.3354/meps10350","http://dx.doi.org/10.3354/meps10350")</f>
        <v>http://dx.doi.org/10.3354/meps10350</v>
      </c>
      <c r="BG736" t="s">
        <v>74</v>
      </c>
      <c r="BH736" t="s">
        <v>74</v>
      </c>
      <c r="BI736">
        <v>18</v>
      </c>
      <c r="BJ736" t="s">
        <v>5078</v>
      </c>
      <c r="BK736" t="s">
        <v>102</v>
      </c>
      <c r="BL736" t="s">
        <v>5079</v>
      </c>
      <c r="BM736" t="s">
        <v>13468</v>
      </c>
      <c r="BN736" t="s">
        <v>74</v>
      </c>
      <c r="BO736" t="s">
        <v>128</v>
      </c>
      <c r="BP736" t="s">
        <v>74</v>
      </c>
      <c r="BQ736" t="s">
        <v>74</v>
      </c>
      <c r="BR736" t="s">
        <v>105</v>
      </c>
      <c r="BS736" t="s">
        <v>13469</v>
      </c>
      <c r="BT736" t="str">
        <f>HYPERLINK("https%3A%2F%2Fwww.webofscience.com%2Fwos%2Fwoscc%2Ffull-record%2FWOS:000322577400023","View Full Record in Web of Science")</f>
        <v>View Full Record in Web of Science</v>
      </c>
    </row>
    <row r="737" spans="1:72" x14ac:dyDescent="0.15">
      <c r="A737" t="s">
        <v>72</v>
      </c>
      <c r="B737" t="s">
        <v>13470</v>
      </c>
      <c r="C737" t="s">
        <v>74</v>
      </c>
      <c r="D737" t="s">
        <v>74</v>
      </c>
      <c r="E737" t="s">
        <v>74</v>
      </c>
      <c r="F737" t="s">
        <v>13471</v>
      </c>
      <c r="G737" t="s">
        <v>74</v>
      </c>
      <c r="H737" t="s">
        <v>74</v>
      </c>
      <c r="I737" t="s">
        <v>13472</v>
      </c>
      <c r="J737" t="s">
        <v>5060</v>
      </c>
      <c r="K737" t="s">
        <v>74</v>
      </c>
      <c r="L737" t="s">
        <v>74</v>
      </c>
      <c r="M737" t="s">
        <v>78</v>
      </c>
      <c r="N737" t="s">
        <v>79</v>
      </c>
      <c r="O737" t="s">
        <v>74</v>
      </c>
      <c r="P737" t="s">
        <v>74</v>
      </c>
      <c r="Q737" t="s">
        <v>74</v>
      </c>
      <c r="R737" t="s">
        <v>74</v>
      </c>
      <c r="S737" t="s">
        <v>74</v>
      </c>
      <c r="T737" t="s">
        <v>13473</v>
      </c>
      <c r="U737" t="s">
        <v>13474</v>
      </c>
      <c r="V737" t="s">
        <v>13475</v>
      </c>
      <c r="W737" t="s">
        <v>13476</v>
      </c>
      <c r="X737" t="s">
        <v>13477</v>
      </c>
      <c r="Y737" t="s">
        <v>13478</v>
      </c>
      <c r="Z737" t="s">
        <v>13479</v>
      </c>
      <c r="AA737" t="s">
        <v>13480</v>
      </c>
      <c r="AB737" t="s">
        <v>13481</v>
      </c>
      <c r="AC737" t="s">
        <v>13482</v>
      </c>
      <c r="AD737" t="s">
        <v>13483</v>
      </c>
      <c r="AE737" t="s">
        <v>13484</v>
      </c>
      <c r="AF737" t="s">
        <v>74</v>
      </c>
      <c r="AG737">
        <v>108</v>
      </c>
      <c r="AH737">
        <v>12</v>
      </c>
      <c r="AI737">
        <v>13</v>
      </c>
      <c r="AJ737">
        <v>0</v>
      </c>
      <c r="AK737">
        <v>32</v>
      </c>
      <c r="AL737" t="s">
        <v>4363</v>
      </c>
      <c r="AM737" t="s">
        <v>4364</v>
      </c>
      <c r="AN737" t="s">
        <v>4365</v>
      </c>
      <c r="AO737" t="s">
        <v>5073</v>
      </c>
      <c r="AP737" t="s">
        <v>5074</v>
      </c>
      <c r="AQ737" t="s">
        <v>74</v>
      </c>
      <c r="AR737" t="s">
        <v>5075</v>
      </c>
      <c r="AS737" t="s">
        <v>5076</v>
      </c>
      <c r="AT737" t="s">
        <v>74</v>
      </c>
      <c r="AU737">
        <v>2013</v>
      </c>
      <c r="AV737">
        <v>486</v>
      </c>
      <c r="AW737" t="s">
        <v>74</v>
      </c>
      <c r="AX737" t="s">
        <v>74</v>
      </c>
      <c r="AY737" t="s">
        <v>74</v>
      </c>
      <c r="AZ737" t="s">
        <v>74</v>
      </c>
      <c r="BA737" t="s">
        <v>74</v>
      </c>
      <c r="BB737">
        <v>289</v>
      </c>
      <c r="BC737">
        <v>304</v>
      </c>
      <c r="BD737" t="s">
        <v>74</v>
      </c>
      <c r="BE737" t="s">
        <v>13485</v>
      </c>
      <c r="BF737" t="str">
        <f>HYPERLINK("http://dx.doi.org/10.3354/meps10371","http://dx.doi.org/10.3354/meps10371")</f>
        <v>http://dx.doi.org/10.3354/meps10371</v>
      </c>
      <c r="BG737" t="s">
        <v>74</v>
      </c>
      <c r="BH737" t="s">
        <v>74</v>
      </c>
      <c r="BI737">
        <v>16</v>
      </c>
      <c r="BJ737" t="s">
        <v>5078</v>
      </c>
      <c r="BK737" t="s">
        <v>102</v>
      </c>
      <c r="BL737" t="s">
        <v>5079</v>
      </c>
      <c r="BM737" t="s">
        <v>6735</v>
      </c>
      <c r="BN737" t="s">
        <v>74</v>
      </c>
      <c r="BO737" t="s">
        <v>128</v>
      </c>
      <c r="BP737" t="s">
        <v>74</v>
      </c>
      <c r="BQ737" t="s">
        <v>74</v>
      </c>
      <c r="BR737" t="s">
        <v>105</v>
      </c>
      <c r="BS737" t="s">
        <v>13486</v>
      </c>
      <c r="BT737" t="str">
        <f>HYPERLINK("https%3A%2F%2Fwww.webofscience.com%2Fwos%2Fwoscc%2Ffull-record%2FWOS:000321776600024","View Full Record in Web of Science")</f>
        <v>View Full Record in Web of Science</v>
      </c>
    </row>
    <row r="738" spans="1:72" x14ac:dyDescent="0.15">
      <c r="A738" t="s">
        <v>72</v>
      </c>
      <c r="B738" t="s">
        <v>13487</v>
      </c>
      <c r="C738" t="s">
        <v>74</v>
      </c>
      <c r="D738" t="s">
        <v>74</v>
      </c>
      <c r="E738" t="s">
        <v>74</v>
      </c>
      <c r="F738" t="s">
        <v>13488</v>
      </c>
      <c r="G738" t="s">
        <v>74</v>
      </c>
      <c r="H738" t="s">
        <v>74</v>
      </c>
      <c r="I738" t="s">
        <v>13489</v>
      </c>
      <c r="J738" t="s">
        <v>5060</v>
      </c>
      <c r="K738" t="s">
        <v>74</v>
      </c>
      <c r="L738" t="s">
        <v>74</v>
      </c>
      <c r="M738" t="s">
        <v>78</v>
      </c>
      <c r="N738" t="s">
        <v>79</v>
      </c>
      <c r="O738" t="s">
        <v>74</v>
      </c>
      <c r="P738" t="s">
        <v>74</v>
      </c>
      <c r="Q738" t="s">
        <v>74</v>
      </c>
      <c r="R738" t="s">
        <v>74</v>
      </c>
      <c r="S738" t="s">
        <v>74</v>
      </c>
      <c r="T738" t="s">
        <v>13490</v>
      </c>
      <c r="U738" t="s">
        <v>13491</v>
      </c>
      <c r="V738" t="s">
        <v>13492</v>
      </c>
      <c r="W738" t="s">
        <v>13493</v>
      </c>
      <c r="X738" t="s">
        <v>13494</v>
      </c>
      <c r="Y738" t="s">
        <v>13495</v>
      </c>
      <c r="Z738" t="s">
        <v>13496</v>
      </c>
      <c r="AA738" t="s">
        <v>13497</v>
      </c>
      <c r="AB738" t="s">
        <v>13498</v>
      </c>
      <c r="AC738" t="s">
        <v>13499</v>
      </c>
      <c r="AD738" t="s">
        <v>13500</v>
      </c>
      <c r="AE738" t="s">
        <v>13501</v>
      </c>
      <c r="AF738" t="s">
        <v>74</v>
      </c>
      <c r="AG738">
        <v>87</v>
      </c>
      <c r="AH738">
        <v>18</v>
      </c>
      <c r="AI738">
        <v>20</v>
      </c>
      <c r="AJ738">
        <v>0</v>
      </c>
      <c r="AK738">
        <v>52</v>
      </c>
      <c r="AL738" t="s">
        <v>4363</v>
      </c>
      <c r="AM738" t="s">
        <v>4364</v>
      </c>
      <c r="AN738" t="s">
        <v>4365</v>
      </c>
      <c r="AO738" t="s">
        <v>5073</v>
      </c>
      <c r="AP738" t="s">
        <v>5074</v>
      </c>
      <c r="AQ738" t="s">
        <v>74</v>
      </c>
      <c r="AR738" t="s">
        <v>5075</v>
      </c>
      <c r="AS738" t="s">
        <v>5076</v>
      </c>
      <c r="AT738" t="s">
        <v>74</v>
      </c>
      <c r="AU738">
        <v>2013</v>
      </c>
      <c r="AV738">
        <v>483</v>
      </c>
      <c r="AW738" t="s">
        <v>74</v>
      </c>
      <c r="AX738" t="s">
        <v>74</v>
      </c>
      <c r="AY738" t="s">
        <v>74</v>
      </c>
      <c r="AZ738" t="s">
        <v>74</v>
      </c>
      <c r="BA738" t="s">
        <v>74</v>
      </c>
      <c r="BB738">
        <v>47</v>
      </c>
      <c r="BC738">
        <v>66</v>
      </c>
      <c r="BD738" t="s">
        <v>74</v>
      </c>
      <c r="BE738" t="s">
        <v>13502</v>
      </c>
      <c r="BF738" t="str">
        <f>HYPERLINK("http://dx.doi.org/10.3354/meps10279","http://dx.doi.org/10.3354/meps10279")</f>
        <v>http://dx.doi.org/10.3354/meps10279</v>
      </c>
      <c r="BG738" t="s">
        <v>74</v>
      </c>
      <c r="BH738" t="s">
        <v>74</v>
      </c>
      <c r="BI738">
        <v>20</v>
      </c>
      <c r="BJ738" t="s">
        <v>5078</v>
      </c>
      <c r="BK738" t="s">
        <v>102</v>
      </c>
      <c r="BL738" t="s">
        <v>5079</v>
      </c>
      <c r="BM738" t="s">
        <v>13503</v>
      </c>
      <c r="BN738" t="s">
        <v>74</v>
      </c>
      <c r="BO738" t="s">
        <v>128</v>
      </c>
      <c r="BP738" t="s">
        <v>74</v>
      </c>
      <c r="BQ738" t="s">
        <v>74</v>
      </c>
      <c r="BR738" t="s">
        <v>105</v>
      </c>
      <c r="BS738" t="s">
        <v>13504</v>
      </c>
      <c r="BT738" t="str">
        <f>HYPERLINK("https%3A%2F%2Fwww.webofscience.com%2Fwos%2Fwoscc%2Ffull-record%2FWOS:000319680700004","View Full Record in Web of Science")</f>
        <v>View Full Record in Web of Science</v>
      </c>
    </row>
    <row r="739" spans="1:72" x14ac:dyDescent="0.15">
      <c r="A739" t="s">
        <v>72</v>
      </c>
      <c r="B739" t="s">
        <v>13505</v>
      </c>
      <c r="C739" t="s">
        <v>74</v>
      </c>
      <c r="D739" t="s">
        <v>74</v>
      </c>
      <c r="E739" t="s">
        <v>74</v>
      </c>
      <c r="F739" t="s">
        <v>13506</v>
      </c>
      <c r="G739" t="s">
        <v>74</v>
      </c>
      <c r="H739" t="s">
        <v>74</v>
      </c>
      <c r="I739" t="s">
        <v>13507</v>
      </c>
      <c r="J739" t="s">
        <v>5060</v>
      </c>
      <c r="K739" t="s">
        <v>74</v>
      </c>
      <c r="L739" t="s">
        <v>74</v>
      </c>
      <c r="M739" t="s">
        <v>78</v>
      </c>
      <c r="N739" t="s">
        <v>79</v>
      </c>
      <c r="O739" t="s">
        <v>74</v>
      </c>
      <c r="P739" t="s">
        <v>74</v>
      </c>
      <c r="Q739" t="s">
        <v>74</v>
      </c>
      <c r="R739" t="s">
        <v>74</v>
      </c>
      <c r="S739" t="s">
        <v>74</v>
      </c>
      <c r="T739" t="s">
        <v>13508</v>
      </c>
      <c r="U739" t="s">
        <v>13509</v>
      </c>
      <c r="V739" t="s">
        <v>13510</v>
      </c>
      <c r="W739" t="s">
        <v>13511</v>
      </c>
      <c r="X739" t="s">
        <v>13512</v>
      </c>
      <c r="Y739" t="s">
        <v>13513</v>
      </c>
      <c r="Z739" t="s">
        <v>13514</v>
      </c>
      <c r="AA739" t="s">
        <v>13515</v>
      </c>
      <c r="AB739" t="s">
        <v>13516</v>
      </c>
      <c r="AC739" t="s">
        <v>13517</v>
      </c>
      <c r="AD739" t="s">
        <v>13518</v>
      </c>
      <c r="AE739" t="s">
        <v>13519</v>
      </c>
      <c r="AF739" t="s">
        <v>74</v>
      </c>
      <c r="AG739">
        <v>68</v>
      </c>
      <c r="AH739">
        <v>23</v>
      </c>
      <c r="AI739">
        <v>24</v>
      </c>
      <c r="AJ739">
        <v>0</v>
      </c>
      <c r="AK739">
        <v>32</v>
      </c>
      <c r="AL739" t="s">
        <v>4363</v>
      </c>
      <c r="AM739" t="s">
        <v>4364</v>
      </c>
      <c r="AN739" t="s">
        <v>4365</v>
      </c>
      <c r="AO739" t="s">
        <v>5073</v>
      </c>
      <c r="AP739" t="s">
        <v>5074</v>
      </c>
      <c r="AQ739" t="s">
        <v>74</v>
      </c>
      <c r="AR739" t="s">
        <v>5075</v>
      </c>
      <c r="AS739" t="s">
        <v>5076</v>
      </c>
      <c r="AT739" t="s">
        <v>74</v>
      </c>
      <c r="AU739">
        <v>2013</v>
      </c>
      <c r="AV739">
        <v>478</v>
      </c>
      <c r="AW739" t="s">
        <v>74</v>
      </c>
      <c r="AX739" t="s">
        <v>74</v>
      </c>
      <c r="AY739" t="s">
        <v>74</v>
      </c>
      <c r="AZ739" t="s">
        <v>74</v>
      </c>
      <c r="BA739" t="s">
        <v>74</v>
      </c>
      <c r="BB739">
        <v>27</v>
      </c>
      <c r="BC739" t="s">
        <v>99</v>
      </c>
      <c r="BD739" t="s">
        <v>74</v>
      </c>
      <c r="BE739" t="s">
        <v>13520</v>
      </c>
      <c r="BF739" t="str">
        <f>HYPERLINK("http://dx.doi.org/10.3354/meps10214","http://dx.doi.org/10.3354/meps10214")</f>
        <v>http://dx.doi.org/10.3354/meps10214</v>
      </c>
      <c r="BG739" t="s">
        <v>74</v>
      </c>
      <c r="BH739" t="s">
        <v>74</v>
      </c>
      <c r="BI739">
        <v>20</v>
      </c>
      <c r="BJ739" t="s">
        <v>5078</v>
      </c>
      <c r="BK739" t="s">
        <v>102</v>
      </c>
      <c r="BL739" t="s">
        <v>5079</v>
      </c>
      <c r="BM739" t="s">
        <v>8206</v>
      </c>
      <c r="BN739" t="s">
        <v>74</v>
      </c>
      <c r="BO739" t="s">
        <v>128</v>
      </c>
      <c r="BP739" t="s">
        <v>74</v>
      </c>
      <c r="BQ739" t="s">
        <v>74</v>
      </c>
      <c r="BR739" t="s">
        <v>105</v>
      </c>
      <c r="BS739" t="s">
        <v>13521</v>
      </c>
      <c r="BT739" t="str">
        <f>HYPERLINK("https%3A%2F%2Fwww.webofscience.com%2Fwos%2Fwoscc%2Ffull-record%2FWOS:000316617800003","View Full Record in Web of Science")</f>
        <v>View Full Record in Web of Science</v>
      </c>
    </row>
    <row r="740" spans="1:72" x14ac:dyDescent="0.15">
      <c r="A740" t="s">
        <v>72</v>
      </c>
      <c r="B740" t="s">
        <v>13522</v>
      </c>
      <c r="C740" t="s">
        <v>74</v>
      </c>
      <c r="D740" t="s">
        <v>74</v>
      </c>
      <c r="E740" t="s">
        <v>74</v>
      </c>
      <c r="F740" t="s">
        <v>13523</v>
      </c>
      <c r="G740" t="s">
        <v>74</v>
      </c>
      <c r="H740" t="s">
        <v>74</v>
      </c>
      <c r="I740" t="s">
        <v>13524</v>
      </c>
      <c r="J740" t="s">
        <v>5060</v>
      </c>
      <c r="K740" t="s">
        <v>74</v>
      </c>
      <c r="L740" t="s">
        <v>74</v>
      </c>
      <c r="M740" t="s">
        <v>78</v>
      </c>
      <c r="N740" t="s">
        <v>79</v>
      </c>
      <c r="O740" t="s">
        <v>74</v>
      </c>
      <c r="P740" t="s">
        <v>74</v>
      </c>
      <c r="Q740" t="s">
        <v>74</v>
      </c>
      <c r="R740" t="s">
        <v>74</v>
      </c>
      <c r="S740" t="s">
        <v>74</v>
      </c>
      <c r="T740" t="s">
        <v>13525</v>
      </c>
      <c r="U740" t="s">
        <v>13526</v>
      </c>
      <c r="V740" t="s">
        <v>13527</v>
      </c>
      <c r="W740" t="s">
        <v>13528</v>
      </c>
      <c r="X740" t="s">
        <v>13529</v>
      </c>
      <c r="Y740" t="s">
        <v>13530</v>
      </c>
      <c r="Z740" t="s">
        <v>13531</v>
      </c>
      <c r="AA740" t="s">
        <v>13532</v>
      </c>
      <c r="AB740" t="s">
        <v>13533</v>
      </c>
      <c r="AC740" t="s">
        <v>13534</v>
      </c>
      <c r="AD740" t="s">
        <v>13535</v>
      </c>
      <c r="AE740" t="s">
        <v>13536</v>
      </c>
      <c r="AF740" t="s">
        <v>74</v>
      </c>
      <c r="AG740">
        <v>52</v>
      </c>
      <c r="AH740">
        <v>45</v>
      </c>
      <c r="AI740">
        <v>55</v>
      </c>
      <c r="AJ740">
        <v>2</v>
      </c>
      <c r="AK740">
        <v>49</v>
      </c>
      <c r="AL740" t="s">
        <v>4363</v>
      </c>
      <c r="AM740" t="s">
        <v>4364</v>
      </c>
      <c r="AN740" t="s">
        <v>4365</v>
      </c>
      <c r="AO740" t="s">
        <v>5073</v>
      </c>
      <c r="AP740" t="s">
        <v>5074</v>
      </c>
      <c r="AQ740" t="s">
        <v>74</v>
      </c>
      <c r="AR740" t="s">
        <v>5075</v>
      </c>
      <c r="AS740" t="s">
        <v>5076</v>
      </c>
      <c r="AT740" t="s">
        <v>74</v>
      </c>
      <c r="AU740">
        <v>2013</v>
      </c>
      <c r="AV740">
        <v>476</v>
      </c>
      <c r="AW740" t="s">
        <v>74</v>
      </c>
      <c r="AX740" t="s">
        <v>74</v>
      </c>
      <c r="AY740" t="s">
        <v>74</v>
      </c>
      <c r="AZ740" t="s">
        <v>74</v>
      </c>
      <c r="BA740" t="s">
        <v>74</v>
      </c>
      <c r="BB740">
        <v>269</v>
      </c>
      <c r="BC740" t="s">
        <v>99</v>
      </c>
      <c r="BD740" t="s">
        <v>74</v>
      </c>
      <c r="BE740" t="s">
        <v>13537</v>
      </c>
      <c r="BF740" t="str">
        <f>HYPERLINK("http://dx.doi.org/10.3354/meps10083","http://dx.doi.org/10.3354/meps10083")</f>
        <v>http://dx.doi.org/10.3354/meps10083</v>
      </c>
      <c r="BG740" t="s">
        <v>74</v>
      </c>
      <c r="BH740" t="s">
        <v>74</v>
      </c>
      <c r="BI740">
        <v>20</v>
      </c>
      <c r="BJ740" t="s">
        <v>5078</v>
      </c>
      <c r="BK740" t="s">
        <v>102</v>
      </c>
      <c r="BL740" t="s">
        <v>5079</v>
      </c>
      <c r="BM740" t="s">
        <v>8661</v>
      </c>
      <c r="BN740" t="s">
        <v>74</v>
      </c>
      <c r="BO740" t="s">
        <v>196</v>
      </c>
      <c r="BP740" t="s">
        <v>74</v>
      </c>
      <c r="BQ740" t="s">
        <v>74</v>
      </c>
      <c r="BR740" t="s">
        <v>105</v>
      </c>
      <c r="BS740" t="s">
        <v>13538</v>
      </c>
      <c r="BT740" t="str">
        <f>HYPERLINK("https%3A%2F%2Fwww.webofscience.com%2Fwos%2Fwoscc%2Ffull-record%2FWOS:000315465900020","View Full Record in Web of Science")</f>
        <v>View Full Record in Web of Science</v>
      </c>
    </row>
    <row r="741" spans="1:72" x14ac:dyDescent="0.15">
      <c r="A741" t="s">
        <v>72</v>
      </c>
      <c r="B741" t="s">
        <v>13539</v>
      </c>
      <c r="C741" t="s">
        <v>74</v>
      </c>
      <c r="D741" t="s">
        <v>74</v>
      </c>
      <c r="E741" t="s">
        <v>74</v>
      </c>
      <c r="F741" t="s">
        <v>13540</v>
      </c>
      <c r="G741" t="s">
        <v>74</v>
      </c>
      <c r="H741" t="s">
        <v>74</v>
      </c>
      <c r="I741" t="s">
        <v>13541</v>
      </c>
      <c r="J741" t="s">
        <v>5060</v>
      </c>
      <c r="K741" t="s">
        <v>74</v>
      </c>
      <c r="L741" t="s">
        <v>74</v>
      </c>
      <c r="M741" t="s">
        <v>78</v>
      </c>
      <c r="N741" t="s">
        <v>79</v>
      </c>
      <c r="O741" t="s">
        <v>74</v>
      </c>
      <c r="P741" t="s">
        <v>74</v>
      </c>
      <c r="Q741" t="s">
        <v>74</v>
      </c>
      <c r="R741" t="s">
        <v>74</v>
      </c>
      <c r="S741" t="s">
        <v>74</v>
      </c>
      <c r="T741" t="s">
        <v>13542</v>
      </c>
      <c r="U741" t="s">
        <v>13543</v>
      </c>
      <c r="V741" t="s">
        <v>13544</v>
      </c>
      <c r="W741" t="s">
        <v>13545</v>
      </c>
      <c r="X741" t="s">
        <v>13546</v>
      </c>
      <c r="Y741" t="s">
        <v>13547</v>
      </c>
      <c r="Z741" t="s">
        <v>13548</v>
      </c>
      <c r="AA741" t="s">
        <v>13549</v>
      </c>
      <c r="AB741" t="s">
        <v>13550</v>
      </c>
      <c r="AC741" t="s">
        <v>13551</v>
      </c>
      <c r="AD741" t="s">
        <v>13552</v>
      </c>
      <c r="AE741" t="s">
        <v>13553</v>
      </c>
      <c r="AF741" t="s">
        <v>74</v>
      </c>
      <c r="AG741">
        <v>70</v>
      </c>
      <c r="AH741">
        <v>27</v>
      </c>
      <c r="AI741">
        <v>30</v>
      </c>
      <c r="AJ741">
        <v>5</v>
      </c>
      <c r="AK741">
        <v>105</v>
      </c>
      <c r="AL741" t="s">
        <v>4363</v>
      </c>
      <c r="AM741" t="s">
        <v>4364</v>
      </c>
      <c r="AN741" t="s">
        <v>4365</v>
      </c>
      <c r="AO741" t="s">
        <v>5073</v>
      </c>
      <c r="AP741" t="s">
        <v>5074</v>
      </c>
      <c r="AQ741" t="s">
        <v>74</v>
      </c>
      <c r="AR741" t="s">
        <v>5075</v>
      </c>
      <c r="AS741" t="s">
        <v>5076</v>
      </c>
      <c r="AT741" t="s">
        <v>74</v>
      </c>
      <c r="AU741">
        <v>2013</v>
      </c>
      <c r="AV741">
        <v>474</v>
      </c>
      <c r="AW741" t="s">
        <v>74</v>
      </c>
      <c r="AX741" t="s">
        <v>74</v>
      </c>
      <c r="AY741" t="s">
        <v>74</v>
      </c>
      <c r="AZ741" t="s">
        <v>74</v>
      </c>
      <c r="BA741" t="s">
        <v>74</v>
      </c>
      <c r="BB741">
        <v>15</v>
      </c>
      <c r="BC741">
        <v>26</v>
      </c>
      <c r="BD741" t="s">
        <v>74</v>
      </c>
      <c r="BE741" t="s">
        <v>13554</v>
      </c>
      <c r="BF741" t="str">
        <f>HYPERLINK("http://dx.doi.org/10.3354/meps10073","http://dx.doi.org/10.3354/meps10073")</f>
        <v>http://dx.doi.org/10.3354/meps10073</v>
      </c>
      <c r="BG741" t="s">
        <v>74</v>
      </c>
      <c r="BH741" t="s">
        <v>74</v>
      </c>
      <c r="BI741">
        <v>12</v>
      </c>
      <c r="BJ741" t="s">
        <v>5078</v>
      </c>
      <c r="BK741" t="s">
        <v>102</v>
      </c>
      <c r="BL741" t="s">
        <v>5079</v>
      </c>
      <c r="BM741" t="s">
        <v>13555</v>
      </c>
      <c r="BN741" t="s">
        <v>74</v>
      </c>
      <c r="BO741" t="s">
        <v>2046</v>
      </c>
      <c r="BP741" t="s">
        <v>74</v>
      </c>
      <c r="BQ741" t="s">
        <v>74</v>
      </c>
      <c r="BR741" t="s">
        <v>105</v>
      </c>
      <c r="BS741" t="s">
        <v>13556</v>
      </c>
      <c r="BT741" t="str">
        <f>HYPERLINK("https%3A%2F%2Fwww.webofscience.com%2Fwos%2Fwoscc%2Ffull-record%2FWOS:000314368600002","View Full Record in Web of Science")</f>
        <v>View Full Record in Web of Science</v>
      </c>
    </row>
    <row r="742" spans="1:72" x14ac:dyDescent="0.15">
      <c r="A742" t="s">
        <v>72</v>
      </c>
      <c r="B742" t="s">
        <v>13557</v>
      </c>
      <c r="C742" t="s">
        <v>74</v>
      </c>
      <c r="D742" t="s">
        <v>74</v>
      </c>
      <c r="E742" t="s">
        <v>74</v>
      </c>
      <c r="F742" t="s">
        <v>13558</v>
      </c>
      <c r="G742" t="s">
        <v>74</v>
      </c>
      <c r="H742" t="s">
        <v>74</v>
      </c>
      <c r="I742" t="s">
        <v>13559</v>
      </c>
      <c r="J742" t="s">
        <v>5060</v>
      </c>
      <c r="K742" t="s">
        <v>74</v>
      </c>
      <c r="L742" t="s">
        <v>74</v>
      </c>
      <c r="M742" t="s">
        <v>78</v>
      </c>
      <c r="N742" t="s">
        <v>79</v>
      </c>
      <c r="O742" t="s">
        <v>74</v>
      </c>
      <c r="P742" t="s">
        <v>74</v>
      </c>
      <c r="Q742" t="s">
        <v>74</v>
      </c>
      <c r="R742" t="s">
        <v>74</v>
      </c>
      <c r="S742" t="s">
        <v>74</v>
      </c>
      <c r="T742" t="s">
        <v>13560</v>
      </c>
      <c r="U742" t="s">
        <v>13561</v>
      </c>
      <c r="V742" t="s">
        <v>13562</v>
      </c>
      <c r="W742" t="s">
        <v>13563</v>
      </c>
      <c r="X742" t="s">
        <v>13564</v>
      </c>
      <c r="Y742" t="s">
        <v>13565</v>
      </c>
      <c r="Z742" t="s">
        <v>13566</v>
      </c>
      <c r="AA742" t="s">
        <v>13567</v>
      </c>
      <c r="AB742" t="s">
        <v>13568</v>
      </c>
      <c r="AC742" t="s">
        <v>13569</v>
      </c>
      <c r="AD742" t="s">
        <v>13570</v>
      </c>
      <c r="AE742" t="s">
        <v>13571</v>
      </c>
      <c r="AF742" t="s">
        <v>74</v>
      </c>
      <c r="AG742">
        <v>71</v>
      </c>
      <c r="AH742">
        <v>34</v>
      </c>
      <c r="AI742">
        <v>35</v>
      </c>
      <c r="AJ742">
        <v>3</v>
      </c>
      <c r="AK742">
        <v>75</v>
      </c>
      <c r="AL742" t="s">
        <v>4363</v>
      </c>
      <c r="AM742" t="s">
        <v>4364</v>
      </c>
      <c r="AN742" t="s">
        <v>4365</v>
      </c>
      <c r="AO742" t="s">
        <v>5073</v>
      </c>
      <c r="AP742" t="s">
        <v>5074</v>
      </c>
      <c r="AQ742" t="s">
        <v>74</v>
      </c>
      <c r="AR742" t="s">
        <v>5075</v>
      </c>
      <c r="AS742" t="s">
        <v>5076</v>
      </c>
      <c r="AT742" t="s">
        <v>74</v>
      </c>
      <c r="AU742">
        <v>2013</v>
      </c>
      <c r="AV742">
        <v>474</v>
      </c>
      <c r="AW742" t="s">
        <v>74</v>
      </c>
      <c r="AX742" t="s">
        <v>74</v>
      </c>
      <c r="AY742" t="s">
        <v>74</v>
      </c>
      <c r="AZ742" t="s">
        <v>74</v>
      </c>
      <c r="BA742" t="s">
        <v>74</v>
      </c>
      <c r="BB742">
        <v>277</v>
      </c>
      <c r="BC742">
        <v>285</v>
      </c>
      <c r="BD742" t="s">
        <v>74</v>
      </c>
      <c r="BE742" t="s">
        <v>13572</v>
      </c>
      <c r="BF742" t="str">
        <f>HYPERLINK("http://dx.doi.org/10.3354/meps10081","http://dx.doi.org/10.3354/meps10081")</f>
        <v>http://dx.doi.org/10.3354/meps10081</v>
      </c>
      <c r="BG742" t="s">
        <v>74</v>
      </c>
      <c r="BH742" t="s">
        <v>74</v>
      </c>
      <c r="BI742">
        <v>9</v>
      </c>
      <c r="BJ742" t="s">
        <v>5078</v>
      </c>
      <c r="BK742" t="s">
        <v>102</v>
      </c>
      <c r="BL742" t="s">
        <v>5079</v>
      </c>
      <c r="BM742" t="s">
        <v>13555</v>
      </c>
      <c r="BN742" t="s">
        <v>74</v>
      </c>
      <c r="BO742" t="s">
        <v>1396</v>
      </c>
      <c r="BP742" t="s">
        <v>74</v>
      </c>
      <c r="BQ742" t="s">
        <v>74</v>
      </c>
      <c r="BR742" t="s">
        <v>105</v>
      </c>
      <c r="BS742" t="s">
        <v>13573</v>
      </c>
      <c r="BT742" t="str">
        <f>HYPERLINK("https%3A%2F%2Fwww.webofscience.com%2Fwos%2Fwoscc%2Ffull-record%2FWOS:000314368600021","View Full Record in Web of Science")</f>
        <v>View Full Record in Web of Science</v>
      </c>
    </row>
    <row r="743" spans="1:72" x14ac:dyDescent="0.15">
      <c r="A743" t="s">
        <v>72</v>
      </c>
      <c r="B743" t="s">
        <v>13357</v>
      </c>
      <c r="C743" t="s">
        <v>74</v>
      </c>
      <c r="D743" t="s">
        <v>74</v>
      </c>
      <c r="E743" t="s">
        <v>74</v>
      </c>
      <c r="F743" t="s">
        <v>13358</v>
      </c>
      <c r="G743" t="s">
        <v>74</v>
      </c>
      <c r="H743" t="s">
        <v>74</v>
      </c>
      <c r="I743" t="s">
        <v>13574</v>
      </c>
      <c r="J743" t="s">
        <v>5060</v>
      </c>
      <c r="K743" t="s">
        <v>74</v>
      </c>
      <c r="L743" t="s">
        <v>74</v>
      </c>
      <c r="M743" t="s">
        <v>78</v>
      </c>
      <c r="N743" t="s">
        <v>79</v>
      </c>
      <c r="O743" t="s">
        <v>74</v>
      </c>
      <c r="P743" t="s">
        <v>74</v>
      </c>
      <c r="Q743" t="s">
        <v>74</v>
      </c>
      <c r="R743" t="s">
        <v>74</v>
      </c>
      <c r="S743" t="s">
        <v>74</v>
      </c>
      <c r="T743" t="s">
        <v>13360</v>
      </c>
      <c r="U743" t="s">
        <v>13575</v>
      </c>
      <c r="V743" t="s">
        <v>13576</v>
      </c>
      <c r="W743" t="s">
        <v>13577</v>
      </c>
      <c r="X743" t="s">
        <v>13363</v>
      </c>
      <c r="Y743" t="s">
        <v>13578</v>
      </c>
      <c r="Z743" t="s">
        <v>13365</v>
      </c>
      <c r="AA743" t="s">
        <v>74</v>
      </c>
      <c r="AB743" t="s">
        <v>74</v>
      </c>
      <c r="AC743" t="s">
        <v>13579</v>
      </c>
      <c r="AD743" t="s">
        <v>13580</v>
      </c>
      <c r="AE743" t="s">
        <v>13581</v>
      </c>
      <c r="AF743" t="s">
        <v>74</v>
      </c>
      <c r="AG743">
        <v>49</v>
      </c>
      <c r="AH743">
        <v>43</v>
      </c>
      <c r="AI743">
        <v>43</v>
      </c>
      <c r="AJ743">
        <v>0</v>
      </c>
      <c r="AK743">
        <v>57</v>
      </c>
      <c r="AL743" t="s">
        <v>4363</v>
      </c>
      <c r="AM743" t="s">
        <v>4364</v>
      </c>
      <c r="AN743" t="s">
        <v>4365</v>
      </c>
      <c r="AO743" t="s">
        <v>5073</v>
      </c>
      <c r="AP743" t="s">
        <v>5074</v>
      </c>
      <c r="AQ743" t="s">
        <v>74</v>
      </c>
      <c r="AR743" t="s">
        <v>5075</v>
      </c>
      <c r="AS743" t="s">
        <v>5076</v>
      </c>
      <c r="AT743" t="s">
        <v>74</v>
      </c>
      <c r="AU743">
        <v>2013</v>
      </c>
      <c r="AV743">
        <v>473</v>
      </c>
      <c r="AW743" t="s">
        <v>74</v>
      </c>
      <c r="AX743" t="s">
        <v>74</v>
      </c>
      <c r="AY743" t="s">
        <v>74</v>
      </c>
      <c r="AZ743" t="s">
        <v>74</v>
      </c>
      <c r="BA743" t="s">
        <v>74</v>
      </c>
      <c r="BB743">
        <v>275</v>
      </c>
      <c r="BC743">
        <v>289</v>
      </c>
      <c r="BD743" t="s">
        <v>74</v>
      </c>
      <c r="BE743" t="s">
        <v>13582</v>
      </c>
      <c r="BF743" t="str">
        <f>HYPERLINK("http://dx.doi.org/10.3354/meps10071","http://dx.doi.org/10.3354/meps10071")</f>
        <v>http://dx.doi.org/10.3354/meps10071</v>
      </c>
      <c r="BG743" t="s">
        <v>74</v>
      </c>
      <c r="BH743" t="s">
        <v>74</v>
      </c>
      <c r="BI743">
        <v>15</v>
      </c>
      <c r="BJ743" t="s">
        <v>5078</v>
      </c>
      <c r="BK743" t="s">
        <v>102</v>
      </c>
      <c r="BL743" t="s">
        <v>5079</v>
      </c>
      <c r="BM743" t="s">
        <v>13583</v>
      </c>
      <c r="BN743" t="s">
        <v>74</v>
      </c>
      <c r="BO743" t="s">
        <v>128</v>
      </c>
      <c r="BP743" t="s">
        <v>74</v>
      </c>
      <c r="BQ743" t="s">
        <v>74</v>
      </c>
      <c r="BR743" t="s">
        <v>105</v>
      </c>
      <c r="BS743" t="s">
        <v>13584</v>
      </c>
      <c r="BT743" t="str">
        <f>HYPERLINK("https%3A%2F%2Fwww.webofscience.com%2Fwos%2Fwoscc%2Ffull-record%2FWOS:000313780300021","View Full Record in Web of Science")</f>
        <v>View Full Record in Web of Science</v>
      </c>
    </row>
    <row r="744" spans="1:72" x14ac:dyDescent="0.15">
      <c r="A744" t="s">
        <v>72</v>
      </c>
      <c r="B744" t="s">
        <v>13585</v>
      </c>
      <c r="C744" t="s">
        <v>74</v>
      </c>
      <c r="D744" t="s">
        <v>74</v>
      </c>
      <c r="E744" t="s">
        <v>74</v>
      </c>
      <c r="F744" t="s">
        <v>13586</v>
      </c>
      <c r="G744" t="s">
        <v>74</v>
      </c>
      <c r="H744" t="s">
        <v>74</v>
      </c>
      <c r="I744" t="s">
        <v>13587</v>
      </c>
      <c r="J744" t="s">
        <v>5060</v>
      </c>
      <c r="K744" t="s">
        <v>74</v>
      </c>
      <c r="L744" t="s">
        <v>74</v>
      </c>
      <c r="M744" t="s">
        <v>78</v>
      </c>
      <c r="N744" t="s">
        <v>79</v>
      </c>
      <c r="O744" t="s">
        <v>74</v>
      </c>
      <c r="P744" t="s">
        <v>74</v>
      </c>
      <c r="Q744" t="s">
        <v>74</v>
      </c>
      <c r="R744" t="s">
        <v>74</v>
      </c>
      <c r="S744" t="s">
        <v>74</v>
      </c>
      <c r="T744" t="s">
        <v>13588</v>
      </c>
      <c r="U744" t="s">
        <v>13589</v>
      </c>
      <c r="V744" t="s">
        <v>13590</v>
      </c>
      <c r="W744" t="s">
        <v>13591</v>
      </c>
      <c r="X744" t="s">
        <v>13592</v>
      </c>
      <c r="Y744" t="s">
        <v>13593</v>
      </c>
      <c r="Z744" t="s">
        <v>13594</v>
      </c>
      <c r="AA744" t="s">
        <v>13595</v>
      </c>
      <c r="AB744" t="s">
        <v>13596</v>
      </c>
      <c r="AC744" t="s">
        <v>13597</v>
      </c>
      <c r="AD744" t="s">
        <v>13598</v>
      </c>
      <c r="AE744" t="s">
        <v>13599</v>
      </c>
      <c r="AF744" t="s">
        <v>74</v>
      </c>
      <c r="AG744">
        <v>86</v>
      </c>
      <c r="AH744">
        <v>64</v>
      </c>
      <c r="AI744">
        <v>70</v>
      </c>
      <c r="AJ744">
        <v>1</v>
      </c>
      <c r="AK744">
        <v>85</v>
      </c>
      <c r="AL744" t="s">
        <v>4363</v>
      </c>
      <c r="AM744" t="s">
        <v>4364</v>
      </c>
      <c r="AN744" t="s">
        <v>4365</v>
      </c>
      <c r="AO744" t="s">
        <v>5073</v>
      </c>
      <c r="AP744" t="s">
        <v>5074</v>
      </c>
      <c r="AQ744" t="s">
        <v>74</v>
      </c>
      <c r="AR744" t="s">
        <v>5075</v>
      </c>
      <c r="AS744" t="s">
        <v>5076</v>
      </c>
      <c r="AT744" t="s">
        <v>74</v>
      </c>
      <c r="AU744">
        <v>2013</v>
      </c>
      <c r="AV744">
        <v>472</v>
      </c>
      <c r="AW744" t="s">
        <v>74</v>
      </c>
      <c r="AX744" t="s">
        <v>74</v>
      </c>
      <c r="AY744" t="s">
        <v>74</v>
      </c>
      <c r="AZ744" t="s">
        <v>74</v>
      </c>
      <c r="BA744" t="s">
        <v>74</v>
      </c>
      <c r="BB744">
        <v>287</v>
      </c>
      <c r="BC744">
        <v>303</v>
      </c>
      <c r="BD744" t="s">
        <v>74</v>
      </c>
      <c r="BE744" t="s">
        <v>13600</v>
      </c>
      <c r="BF744" t="str">
        <f>HYPERLINK("http://dx.doi.org/10.3354/meps10053","http://dx.doi.org/10.3354/meps10053")</f>
        <v>http://dx.doi.org/10.3354/meps10053</v>
      </c>
      <c r="BG744" t="s">
        <v>74</v>
      </c>
      <c r="BH744" t="s">
        <v>74</v>
      </c>
      <c r="BI744">
        <v>17</v>
      </c>
      <c r="BJ744" t="s">
        <v>5078</v>
      </c>
      <c r="BK744" t="s">
        <v>102</v>
      </c>
      <c r="BL744" t="s">
        <v>5079</v>
      </c>
      <c r="BM744" t="s">
        <v>13601</v>
      </c>
      <c r="BN744" t="s">
        <v>74</v>
      </c>
      <c r="BO744" t="s">
        <v>128</v>
      </c>
      <c r="BP744" t="s">
        <v>74</v>
      </c>
      <c r="BQ744" t="s">
        <v>74</v>
      </c>
      <c r="BR744" t="s">
        <v>105</v>
      </c>
      <c r="BS744" t="s">
        <v>13602</v>
      </c>
      <c r="BT744" t="str">
        <f>HYPERLINK("https%3A%2F%2Fwww.webofscience.com%2Fwos%2Fwoscc%2Ffull-record%2FWOS:000313344300021","View Full Record in Web of Science")</f>
        <v>View Full Record in Web of Science</v>
      </c>
    </row>
    <row r="745" spans="1:72" x14ac:dyDescent="0.15">
      <c r="A745" t="s">
        <v>72</v>
      </c>
      <c r="B745" t="s">
        <v>13603</v>
      </c>
      <c r="C745" t="s">
        <v>74</v>
      </c>
      <c r="D745" t="s">
        <v>74</v>
      </c>
      <c r="E745" t="s">
        <v>74</v>
      </c>
      <c r="F745" t="s">
        <v>13604</v>
      </c>
      <c r="G745" t="s">
        <v>74</v>
      </c>
      <c r="H745" t="s">
        <v>74</v>
      </c>
      <c r="I745" t="s">
        <v>13605</v>
      </c>
      <c r="J745" t="s">
        <v>13606</v>
      </c>
      <c r="K745" t="s">
        <v>74</v>
      </c>
      <c r="L745" t="s">
        <v>74</v>
      </c>
      <c r="M745" t="s">
        <v>78</v>
      </c>
      <c r="N745" t="s">
        <v>79</v>
      </c>
      <c r="O745" t="s">
        <v>74</v>
      </c>
      <c r="P745" t="s">
        <v>74</v>
      </c>
      <c r="Q745" t="s">
        <v>74</v>
      </c>
      <c r="R745" t="s">
        <v>74</v>
      </c>
      <c r="S745" t="s">
        <v>74</v>
      </c>
      <c r="T745" t="s">
        <v>13607</v>
      </c>
      <c r="U745" t="s">
        <v>13608</v>
      </c>
      <c r="V745" t="s">
        <v>13609</v>
      </c>
      <c r="W745" t="s">
        <v>13610</v>
      </c>
      <c r="X745" t="s">
        <v>13611</v>
      </c>
      <c r="Y745" t="s">
        <v>13612</v>
      </c>
      <c r="Z745" t="s">
        <v>13613</v>
      </c>
      <c r="AA745" t="s">
        <v>74</v>
      </c>
      <c r="AB745" t="s">
        <v>13614</v>
      </c>
      <c r="AC745" t="s">
        <v>13615</v>
      </c>
      <c r="AD745" t="s">
        <v>13616</v>
      </c>
      <c r="AE745" t="s">
        <v>13617</v>
      </c>
      <c r="AF745" t="s">
        <v>74</v>
      </c>
      <c r="AG745">
        <v>147</v>
      </c>
      <c r="AH745">
        <v>32</v>
      </c>
      <c r="AI745">
        <v>36</v>
      </c>
      <c r="AJ745">
        <v>2</v>
      </c>
      <c r="AK745">
        <v>63</v>
      </c>
      <c r="AL745" t="s">
        <v>257</v>
      </c>
      <c r="AM745" t="s">
        <v>215</v>
      </c>
      <c r="AN745" t="s">
        <v>216</v>
      </c>
      <c r="AO745" t="s">
        <v>13618</v>
      </c>
      <c r="AP745" t="s">
        <v>13619</v>
      </c>
      <c r="AQ745" t="s">
        <v>74</v>
      </c>
      <c r="AR745" t="s">
        <v>13620</v>
      </c>
      <c r="AS745" t="s">
        <v>13621</v>
      </c>
      <c r="AT745" t="s">
        <v>5170</v>
      </c>
      <c r="AU745">
        <v>2013</v>
      </c>
      <c r="AV745">
        <v>29</v>
      </c>
      <c r="AW745">
        <v>1</v>
      </c>
      <c r="AX745" t="s">
        <v>74</v>
      </c>
      <c r="AY745" t="s">
        <v>74</v>
      </c>
      <c r="AZ745" t="s">
        <v>74</v>
      </c>
      <c r="BA745" t="s">
        <v>74</v>
      </c>
      <c r="BB745">
        <v>48</v>
      </c>
      <c r="BC745">
        <v>83</v>
      </c>
      <c r="BD745" t="s">
        <v>74</v>
      </c>
      <c r="BE745" t="s">
        <v>13622</v>
      </c>
      <c r="BF745" t="str">
        <f>HYPERLINK("http://dx.doi.org/10.1111/j.1748-7692.2011.00545.x","http://dx.doi.org/10.1111/j.1748-7692.2011.00545.x")</f>
        <v>http://dx.doi.org/10.1111/j.1748-7692.2011.00545.x</v>
      </c>
      <c r="BG745" t="s">
        <v>74</v>
      </c>
      <c r="BH745" t="s">
        <v>74</v>
      </c>
      <c r="BI745">
        <v>36</v>
      </c>
      <c r="BJ745" t="s">
        <v>13623</v>
      </c>
      <c r="BK745" t="s">
        <v>102</v>
      </c>
      <c r="BL745" t="s">
        <v>13623</v>
      </c>
      <c r="BM745" t="s">
        <v>13624</v>
      </c>
      <c r="BN745" t="s">
        <v>74</v>
      </c>
      <c r="BO745" t="s">
        <v>74</v>
      </c>
      <c r="BP745" t="s">
        <v>74</v>
      </c>
      <c r="BQ745" t="s">
        <v>74</v>
      </c>
      <c r="BR745" t="s">
        <v>105</v>
      </c>
      <c r="BS745" t="s">
        <v>13625</v>
      </c>
      <c r="BT745" t="str">
        <f>HYPERLINK("https%3A%2F%2Fwww.webofscience.com%2Fwos%2Fwoscc%2Ffull-record%2FWOS:000317288200004","View Full Record in Web of Science")</f>
        <v>View Full Record in Web of Science</v>
      </c>
    </row>
    <row r="746" spans="1:72" x14ac:dyDescent="0.15">
      <c r="A746" t="s">
        <v>72</v>
      </c>
      <c r="B746" t="s">
        <v>13626</v>
      </c>
      <c r="C746" t="s">
        <v>74</v>
      </c>
      <c r="D746" t="s">
        <v>74</v>
      </c>
      <c r="E746" t="s">
        <v>74</v>
      </c>
      <c r="F746" t="s">
        <v>13627</v>
      </c>
      <c r="G746" t="s">
        <v>74</v>
      </c>
      <c r="H746" t="s">
        <v>74</v>
      </c>
      <c r="I746" t="s">
        <v>13628</v>
      </c>
      <c r="J746" t="s">
        <v>13629</v>
      </c>
      <c r="K746" t="s">
        <v>74</v>
      </c>
      <c r="L746" t="s">
        <v>74</v>
      </c>
      <c r="M746" t="s">
        <v>78</v>
      </c>
      <c r="N746" t="s">
        <v>79</v>
      </c>
      <c r="O746" t="s">
        <v>74</v>
      </c>
      <c r="P746" t="s">
        <v>74</v>
      </c>
      <c r="Q746" t="s">
        <v>74</v>
      </c>
      <c r="R746" t="s">
        <v>74</v>
      </c>
      <c r="S746" t="s">
        <v>74</v>
      </c>
      <c r="T746" t="s">
        <v>13630</v>
      </c>
      <c r="U746" t="s">
        <v>13631</v>
      </c>
      <c r="V746" t="s">
        <v>13632</v>
      </c>
      <c r="W746" t="s">
        <v>13633</v>
      </c>
      <c r="X746" t="s">
        <v>13634</v>
      </c>
      <c r="Y746" t="s">
        <v>13635</v>
      </c>
      <c r="Z746" t="s">
        <v>13636</v>
      </c>
      <c r="AA746" t="s">
        <v>74</v>
      </c>
      <c r="AB746" t="s">
        <v>74</v>
      </c>
      <c r="AC746" t="s">
        <v>1549</v>
      </c>
      <c r="AD746" t="s">
        <v>1550</v>
      </c>
      <c r="AE746" t="s">
        <v>74</v>
      </c>
      <c r="AF746" t="s">
        <v>74</v>
      </c>
      <c r="AG746">
        <v>27</v>
      </c>
      <c r="AH746">
        <v>21</v>
      </c>
      <c r="AI746">
        <v>22</v>
      </c>
      <c r="AJ746">
        <v>0</v>
      </c>
      <c r="AK746">
        <v>52</v>
      </c>
      <c r="AL746" t="s">
        <v>447</v>
      </c>
      <c r="AM746" t="s">
        <v>147</v>
      </c>
      <c r="AN746" t="s">
        <v>448</v>
      </c>
      <c r="AO746" t="s">
        <v>13637</v>
      </c>
      <c r="AP746" t="s">
        <v>74</v>
      </c>
      <c r="AQ746" t="s">
        <v>74</v>
      </c>
      <c r="AR746" t="s">
        <v>13638</v>
      </c>
      <c r="AS746" t="s">
        <v>13639</v>
      </c>
      <c r="AT746" t="s">
        <v>5170</v>
      </c>
      <c r="AU746">
        <v>2013</v>
      </c>
      <c r="AV746">
        <v>37</v>
      </c>
      <c r="AW746" t="s">
        <v>74</v>
      </c>
      <c r="AX746" t="s">
        <v>74</v>
      </c>
      <c r="AY746" t="s">
        <v>74</v>
      </c>
      <c r="AZ746" t="s">
        <v>74</v>
      </c>
      <c r="BA746" t="s">
        <v>74</v>
      </c>
      <c r="BB746">
        <v>192</v>
      </c>
      <c r="BC746">
        <v>199</v>
      </c>
      <c r="BD746" t="s">
        <v>74</v>
      </c>
      <c r="BE746" t="s">
        <v>13640</v>
      </c>
      <c r="BF746" t="str">
        <f>HYPERLINK("http://dx.doi.org/10.1016/j.marpol.2012.05.001","http://dx.doi.org/10.1016/j.marpol.2012.05.001")</f>
        <v>http://dx.doi.org/10.1016/j.marpol.2012.05.001</v>
      </c>
      <c r="BG746" t="s">
        <v>74</v>
      </c>
      <c r="BH746" t="s">
        <v>74</v>
      </c>
      <c r="BI746">
        <v>8</v>
      </c>
      <c r="BJ746" t="s">
        <v>13641</v>
      </c>
      <c r="BK746" t="s">
        <v>13642</v>
      </c>
      <c r="BL746" t="s">
        <v>13643</v>
      </c>
      <c r="BM746" t="s">
        <v>13644</v>
      </c>
      <c r="BN746" t="s">
        <v>74</v>
      </c>
      <c r="BO746" t="s">
        <v>74</v>
      </c>
      <c r="BP746" t="s">
        <v>74</v>
      </c>
      <c r="BQ746" t="s">
        <v>74</v>
      </c>
      <c r="BR746" t="s">
        <v>105</v>
      </c>
      <c r="BS746" t="s">
        <v>13645</v>
      </c>
      <c r="BT746" t="str">
        <f>HYPERLINK("https%3A%2F%2Fwww.webofscience.com%2Fwos%2Fwoscc%2Ffull-record%2FWOS:000310940200023","View Full Record in Web of Science")</f>
        <v>View Full Record in Web of Science</v>
      </c>
    </row>
    <row r="747" spans="1:72" x14ac:dyDescent="0.15">
      <c r="A747" t="s">
        <v>72</v>
      </c>
      <c r="B747" t="s">
        <v>13646</v>
      </c>
      <c r="C747" t="s">
        <v>74</v>
      </c>
      <c r="D747" t="s">
        <v>74</v>
      </c>
      <c r="E747" t="s">
        <v>74</v>
      </c>
      <c r="F747" t="s">
        <v>13647</v>
      </c>
      <c r="G747" t="s">
        <v>74</v>
      </c>
      <c r="H747" t="s">
        <v>74</v>
      </c>
      <c r="I747" t="s">
        <v>13648</v>
      </c>
      <c r="J747" t="s">
        <v>13649</v>
      </c>
      <c r="K747" t="s">
        <v>74</v>
      </c>
      <c r="L747" t="s">
        <v>74</v>
      </c>
      <c r="M747" t="s">
        <v>78</v>
      </c>
      <c r="N747" t="s">
        <v>79</v>
      </c>
      <c r="O747" t="s">
        <v>74</v>
      </c>
      <c r="P747" t="s">
        <v>74</v>
      </c>
      <c r="Q747" t="s">
        <v>74</v>
      </c>
      <c r="R747" t="s">
        <v>74</v>
      </c>
      <c r="S747" t="s">
        <v>74</v>
      </c>
      <c r="T747" t="s">
        <v>74</v>
      </c>
      <c r="U747" t="s">
        <v>13650</v>
      </c>
      <c r="V747" t="s">
        <v>13651</v>
      </c>
      <c r="W747" t="s">
        <v>13652</v>
      </c>
      <c r="X747" t="s">
        <v>13653</v>
      </c>
      <c r="Y747" t="s">
        <v>13654</v>
      </c>
      <c r="Z747" t="s">
        <v>13655</v>
      </c>
      <c r="AA747" t="s">
        <v>13656</v>
      </c>
      <c r="AB747" t="s">
        <v>13657</v>
      </c>
      <c r="AC747" t="s">
        <v>13658</v>
      </c>
      <c r="AD747" t="s">
        <v>13659</v>
      </c>
      <c r="AE747" t="s">
        <v>13660</v>
      </c>
      <c r="AF747" t="s">
        <v>74</v>
      </c>
      <c r="AG747">
        <v>79</v>
      </c>
      <c r="AH747">
        <v>55</v>
      </c>
      <c r="AI747">
        <v>56</v>
      </c>
      <c r="AJ747">
        <v>2</v>
      </c>
      <c r="AK747">
        <v>58</v>
      </c>
      <c r="AL747" t="s">
        <v>500</v>
      </c>
      <c r="AM747" t="s">
        <v>296</v>
      </c>
      <c r="AN747" t="s">
        <v>501</v>
      </c>
      <c r="AO747" t="s">
        <v>13661</v>
      </c>
      <c r="AP747" t="s">
        <v>13662</v>
      </c>
      <c r="AQ747" t="s">
        <v>74</v>
      </c>
      <c r="AR747" t="s">
        <v>13663</v>
      </c>
      <c r="AS747" t="s">
        <v>13664</v>
      </c>
      <c r="AT747" t="s">
        <v>5170</v>
      </c>
      <c r="AU747">
        <v>2013</v>
      </c>
      <c r="AV747">
        <v>65</v>
      </c>
      <c r="AW747">
        <v>1</v>
      </c>
      <c r="AX747" t="s">
        <v>74</v>
      </c>
      <c r="AY747" t="s">
        <v>74</v>
      </c>
      <c r="AZ747" t="s">
        <v>74</v>
      </c>
      <c r="BA747" t="s">
        <v>74</v>
      </c>
      <c r="BB747">
        <v>68</v>
      </c>
      <c r="BC747">
        <v>83</v>
      </c>
      <c r="BD747" t="s">
        <v>74</v>
      </c>
      <c r="BE747" t="s">
        <v>13665</v>
      </c>
      <c r="BF747" t="str">
        <f>HYPERLINK("http://dx.doi.org/10.1007/s00248-012-0096-9","http://dx.doi.org/10.1007/s00248-012-0096-9")</f>
        <v>http://dx.doi.org/10.1007/s00248-012-0096-9</v>
      </c>
      <c r="BG747" t="s">
        <v>74</v>
      </c>
      <c r="BH747" t="s">
        <v>74</v>
      </c>
      <c r="BI747">
        <v>16</v>
      </c>
      <c r="BJ747" t="s">
        <v>4371</v>
      </c>
      <c r="BK747" t="s">
        <v>102</v>
      </c>
      <c r="BL747" t="s">
        <v>4372</v>
      </c>
      <c r="BM747" t="s">
        <v>13666</v>
      </c>
      <c r="BN747">
        <v>22903087</v>
      </c>
      <c r="BO747" t="s">
        <v>13667</v>
      </c>
      <c r="BP747" t="s">
        <v>74</v>
      </c>
      <c r="BQ747" t="s">
        <v>74</v>
      </c>
      <c r="BR747" t="s">
        <v>105</v>
      </c>
      <c r="BS747" t="s">
        <v>13668</v>
      </c>
      <c r="BT747" t="str">
        <f>HYPERLINK("https%3A%2F%2Fwww.webofscience.com%2Fwos%2Fwoscc%2Ffull-record%2FWOS:000313369900008","View Full Record in Web of Science")</f>
        <v>View Full Record in Web of Science</v>
      </c>
    </row>
    <row r="748" spans="1:72" x14ac:dyDescent="0.15">
      <c r="A748" t="s">
        <v>72</v>
      </c>
      <c r="B748" t="s">
        <v>13669</v>
      </c>
      <c r="C748" t="s">
        <v>74</v>
      </c>
      <c r="D748" t="s">
        <v>74</v>
      </c>
      <c r="E748" t="s">
        <v>74</v>
      </c>
      <c r="F748" t="s">
        <v>13670</v>
      </c>
      <c r="G748" t="s">
        <v>74</v>
      </c>
      <c r="H748" t="s">
        <v>74</v>
      </c>
      <c r="I748" t="s">
        <v>13671</v>
      </c>
      <c r="J748" t="s">
        <v>13672</v>
      </c>
      <c r="K748" t="s">
        <v>74</v>
      </c>
      <c r="L748" t="s">
        <v>74</v>
      </c>
      <c r="M748" t="s">
        <v>78</v>
      </c>
      <c r="N748" t="s">
        <v>1120</v>
      </c>
      <c r="O748" t="s">
        <v>74</v>
      </c>
      <c r="P748" t="s">
        <v>74</v>
      </c>
      <c r="Q748" t="s">
        <v>74</v>
      </c>
      <c r="R748" t="s">
        <v>74</v>
      </c>
      <c r="S748" t="s">
        <v>74</v>
      </c>
      <c r="T748" t="s">
        <v>13673</v>
      </c>
      <c r="U748" t="s">
        <v>13674</v>
      </c>
      <c r="V748" t="s">
        <v>13675</v>
      </c>
      <c r="W748" t="s">
        <v>13676</v>
      </c>
      <c r="X748" t="s">
        <v>13677</v>
      </c>
      <c r="Y748" t="s">
        <v>13654</v>
      </c>
      <c r="Z748" t="s">
        <v>13655</v>
      </c>
      <c r="AA748" t="s">
        <v>13678</v>
      </c>
      <c r="AB748" t="s">
        <v>13679</v>
      </c>
      <c r="AC748" t="s">
        <v>13680</v>
      </c>
      <c r="AD748" t="s">
        <v>13681</v>
      </c>
      <c r="AE748" t="s">
        <v>13682</v>
      </c>
      <c r="AF748" t="s">
        <v>74</v>
      </c>
      <c r="AG748">
        <v>66</v>
      </c>
      <c r="AH748">
        <v>47</v>
      </c>
      <c r="AI748">
        <v>50</v>
      </c>
      <c r="AJ748">
        <v>0</v>
      </c>
      <c r="AK748">
        <v>85</v>
      </c>
      <c r="AL748" t="s">
        <v>146</v>
      </c>
      <c r="AM748" t="s">
        <v>147</v>
      </c>
      <c r="AN748" t="s">
        <v>148</v>
      </c>
      <c r="AO748" t="s">
        <v>13683</v>
      </c>
      <c r="AP748" t="s">
        <v>74</v>
      </c>
      <c r="AQ748" t="s">
        <v>74</v>
      </c>
      <c r="AR748" t="s">
        <v>13672</v>
      </c>
      <c r="AS748" t="s">
        <v>13684</v>
      </c>
      <c r="AT748" t="s">
        <v>5170</v>
      </c>
      <c r="AU748">
        <v>2013</v>
      </c>
      <c r="AV748">
        <v>44</v>
      </c>
      <c r="AW748" t="s">
        <v>74</v>
      </c>
      <c r="AX748" t="s">
        <v>74</v>
      </c>
      <c r="AY748" t="s">
        <v>74</v>
      </c>
      <c r="AZ748" t="s">
        <v>74</v>
      </c>
      <c r="BA748" t="s">
        <v>74</v>
      </c>
      <c r="BB748">
        <v>317</v>
      </c>
      <c r="BC748">
        <v>330</v>
      </c>
      <c r="BD748" t="s">
        <v>74</v>
      </c>
      <c r="BE748" t="s">
        <v>13685</v>
      </c>
      <c r="BF748" t="str">
        <f>HYPERLINK("http://dx.doi.org/10.1016/j.micron.2012.08.004","http://dx.doi.org/10.1016/j.micron.2012.08.004")</f>
        <v>http://dx.doi.org/10.1016/j.micron.2012.08.004</v>
      </c>
      <c r="BG748" t="s">
        <v>74</v>
      </c>
      <c r="BH748" t="s">
        <v>74</v>
      </c>
      <c r="BI748">
        <v>14</v>
      </c>
      <c r="BJ748" t="s">
        <v>13686</v>
      </c>
      <c r="BK748" t="s">
        <v>102</v>
      </c>
      <c r="BL748" t="s">
        <v>13686</v>
      </c>
      <c r="BM748" t="s">
        <v>13687</v>
      </c>
      <c r="BN748">
        <v>22959821</v>
      </c>
      <c r="BO748" t="s">
        <v>13667</v>
      </c>
      <c r="BP748" t="s">
        <v>74</v>
      </c>
      <c r="BQ748" t="s">
        <v>74</v>
      </c>
      <c r="BR748" t="s">
        <v>105</v>
      </c>
      <c r="BS748" t="s">
        <v>13688</v>
      </c>
      <c r="BT748" t="str">
        <f>HYPERLINK("https%3A%2F%2Fwww.webofscience.com%2Fwos%2Fwoscc%2Ffull-record%2FWOS:000312925300035","View Full Record in Web of Science")</f>
        <v>View Full Record in Web of Science</v>
      </c>
    </row>
    <row r="749" spans="1:72" x14ac:dyDescent="0.15">
      <c r="A749" t="s">
        <v>72</v>
      </c>
      <c r="B749" t="s">
        <v>13689</v>
      </c>
      <c r="C749" t="s">
        <v>74</v>
      </c>
      <c r="D749" t="s">
        <v>74</v>
      </c>
      <c r="E749" t="s">
        <v>74</v>
      </c>
      <c r="F749" t="s">
        <v>13690</v>
      </c>
      <c r="G749" t="s">
        <v>74</v>
      </c>
      <c r="H749" t="s">
        <v>74</v>
      </c>
      <c r="I749" t="s">
        <v>13691</v>
      </c>
      <c r="J749" t="s">
        <v>13692</v>
      </c>
      <c r="K749" t="s">
        <v>74</v>
      </c>
      <c r="L749" t="s">
        <v>74</v>
      </c>
      <c r="M749" t="s">
        <v>78</v>
      </c>
      <c r="N749" t="s">
        <v>79</v>
      </c>
      <c r="O749" t="s">
        <v>74</v>
      </c>
      <c r="P749" t="s">
        <v>74</v>
      </c>
      <c r="Q749" t="s">
        <v>74</v>
      </c>
      <c r="R749" t="s">
        <v>74</v>
      </c>
      <c r="S749" t="s">
        <v>74</v>
      </c>
      <c r="T749" t="s">
        <v>74</v>
      </c>
      <c r="U749" t="s">
        <v>13693</v>
      </c>
      <c r="V749" t="s">
        <v>13694</v>
      </c>
      <c r="W749" t="s">
        <v>13695</v>
      </c>
      <c r="X749" t="s">
        <v>13696</v>
      </c>
      <c r="Y749" t="s">
        <v>13697</v>
      </c>
      <c r="Z749" t="s">
        <v>13698</v>
      </c>
      <c r="AA749" t="s">
        <v>74</v>
      </c>
      <c r="AB749" t="s">
        <v>74</v>
      </c>
      <c r="AC749" t="s">
        <v>13699</v>
      </c>
      <c r="AD749" t="s">
        <v>13699</v>
      </c>
      <c r="AE749" t="s">
        <v>13700</v>
      </c>
      <c r="AF749" t="s">
        <v>74</v>
      </c>
      <c r="AG749">
        <v>624</v>
      </c>
      <c r="AH749">
        <v>20</v>
      </c>
      <c r="AI749">
        <v>21</v>
      </c>
      <c r="AJ749">
        <v>1</v>
      </c>
      <c r="AK749">
        <v>12</v>
      </c>
      <c r="AL749" t="s">
        <v>13701</v>
      </c>
      <c r="AM749" t="s">
        <v>13702</v>
      </c>
      <c r="AN749" t="s">
        <v>13703</v>
      </c>
      <c r="AO749" t="s">
        <v>13704</v>
      </c>
      <c r="AP749" t="s">
        <v>13705</v>
      </c>
      <c r="AQ749" t="s">
        <v>74</v>
      </c>
      <c r="AR749" t="s">
        <v>13692</v>
      </c>
      <c r="AS749" t="s">
        <v>13706</v>
      </c>
      <c r="AT749" t="s">
        <v>74</v>
      </c>
      <c r="AU749">
        <v>2013</v>
      </c>
      <c r="AV749">
        <v>59</v>
      </c>
      <c r="AW749" t="s">
        <v>13707</v>
      </c>
      <c r="AX749" t="s">
        <v>74</v>
      </c>
      <c r="AY749" t="s">
        <v>74</v>
      </c>
      <c r="AZ749" t="s">
        <v>74</v>
      </c>
      <c r="BA749" t="s">
        <v>74</v>
      </c>
      <c r="BB749">
        <v>341</v>
      </c>
      <c r="BC749">
        <v>492</v>
      </c>
      <c r="BD749" t="s">
        <v>74</v>
      </c>
      <c r="BE749" t="s">
        <v>74</v>
      </c>
      <c r="BF749" t="s">
        <v>74</v>
      </c>
      <c r="BG749" t="s">
        <v>74</v>
      </c>
      <c r="BH749" t="s">
        <v>74</v>
      </c>
      <c r="BI749">
        <v>152</v>
      </c>
      <c r="BJ749" t="s">
        <v>4346</v>
      </c>
      <c r="BK749" t="s">
        <v>102</v>
      </c>
      <c r="BL749" t="s">
        <v>4346</v>
      </c>
      <c r="BM749" t="s">
        <v>13708</v>
      </c>
      <c r="BN749" t="s">
        <v>74</v>
      </c>
      <c r="BO749" t="s">
        <v>74</v>
      </c>
      <c r="BP749" t="s">
        <v>74</v>
      </c>
      <c r="BQ749" t="s">
        <v>74</v>
      </c>
      <c r="BR749" t="s">
        <v>105</v>
      </c>
      <c r="BS749" t="s">
        <v>13709</v>
      </c>
      <c r="BT749" t="str">
        <f>HYPERLINK("https%3A%2F%2Fwww.webofscience.com%2Fwos%2Fwoscc%2Ffull-record%2FWOS:000209179600001","View Full Record in Web of Science")</f>
        <v>View Full Record in Web of Science</v>
      </c>
    </row>
    <row r="750" spans="1:72" x14ac:dyDescent="0.15">
      <c r="A750" t="s">
        <v>72</v>
      </c>
      <c r="B750" t="s">
        <v>13710</v>
      </c>
      <c r="C750" t="s">
        <v>74</v>
      </c>
      <c r="D750" t="s">
        <v>74</v>
      </c>
      <c r="E750" t="s">
        <v>74</v>
      </c>
      <c r="F750" t="s">
        <v>13711</v>
      </c>
      <c r="G750" t="s">
        <v>74</v>
      </c>
      <c r="H750" t="s">
        <v>74</v>
      </c>
      <c r="I750" t="s">
        <v>13712</v>
      </c>
      <c r="J750" t="s">
        <v>13713</v>
      </c>
      <c r="K750" t="s">
        <v>74</v>
      </c>
      <c r="L750" t="s">
        <v>74</v>
      </c>
      <c r="M750" t="s">
        <v>78</v>
      </c>
      <c r="N750" t="s">
        <v>79</v>
      </c>
      <c r="O750" t="s">
        <v>74</v>
      </c>
      <c r="P750" t="s">
        <v>74</v>
      </c>
      <c r="Q750" t="s">
        <v>74</v>
      </c>
      <c r="R750" t="s">
        <v>74</v>
      </c>
      <c r="S750" t="s">
        <v>74</v>
      </c>
      <c r="T750" t="s">
        <v>13714</v>
      </c>
      <c r="U750" t="s">
        <v>13715</v>
      </c>
      <c r="V750" t="s">
        <v>13716</v>
      </c>
      <c r="W750" t="s">
        <v>13717</v>
      </c>
      <c r="X750" t="s">
        <v>13718</v>
      </c>
      <c r="Y750" t="s">
        <v>13719</v>
      </c>
      <c r="Z750" t="s">
        <v>13720</v>
      </c>
      <c r="AA750" t="s">
        <v>13721</v>
      </c>
      <c r="AB750" t="s">
        <v>13722</v>
      </c>
      <c r="AC750" t="s">
        <v>13723</v>
      </c>
      <c r="AD750" t="s">
        <v>13724</v>
      </c>
      <c r="AE750" t="s">
        <v>13725</v>
      </c>
      <c r="AF750" t="s">
        <v>74</v>
      </c>
      <c r="AG750">
        <v>52</v>
      </c>
      <c r="AH750">
        <v>70</v>
      </c>
      <c r="AI750">
        <v>80</v>
      </c>
      <c r="AJ750">
        <v>0</v>
      </c>
      <c r="AK750">
        <v>51</v>
      </c>
      <c r="AL750" t="s">
        <v>257</v>
      </c>
      <c r="AM750" t="s">
        <v>215</v>
      </c>
      <c r="AN750" t="s">
        <v>216</v>
      </c>
      <c r="AO750" t="s">
        <v>13726</v>
      </c>
      <c r="AP750" t="s">
        <v>13727</v>
      </c>
      <c r="AQ750" t="s">
        <v>74</v>
      </c>
      <c r="AR750" t="s">
        <v>13728</v>
      </c>
      <c r="AS750" t="s">
        <v>13729</v>
      </c>
      <c r="AT750" t="s">
        <v>5170</v>
      </c>
      <c r="AU750">
        <v>2013</v>
      </c>
      <c r="AV750">
        <v>13</v>
      </c>
      <c r="AW750">
        <v>1</v>
      </c>
      <c r="AX750" t="s">
        <v>74</v>
      </c>
      <c r="AY750" t="s">
        <v>74</v>
      </c>
      <c r="AZ750" t="s">
        <v>74</v>
      </c>
      <c r="BA750" t="s">
        <v>74</v>
      </c>
      <c r="BB750">
        <v>32</v>
      </c>
      <c r="BC750">
        <v>42</v>
      </c>
      <c r="BD750" t="s">
        <v>74</v>
      </c>
      <c r="BE750" t="s">
        <v>13730</v>
      </c>
      <c r="BF750" t="str">
        <f>HYPERLINK("http://dx.doi.org/10.1111/1755-0998.12022","http://dx.doi.org/10.1111/1755-0998.12022")</f>
        <v>http://dx.doi.org/10.1111/1755-0998.12022</v>
      </c>
      <c r="BG750" t="s">
        <v>74</v>
      </c>
      <c r="BH750" t="s">
        <v>74</v>
      </c>
      <c r="BI750">
        <v>11</v>
      </c>
      <c r="BJ750" t="s">
        <v>13731</v>
      </c>
      <c r="BK750" t="s">
        <v>102</v>
      </c>
      <c r="BL750" t="s">
        <v>13732</v>
      </c>
      <c r="BM750" t="s">
        <v>13733</v>
      </c>
      <c r="BN750">
        <v>23006488</v>
      </c>
      <c r="BO750" t="s">
        <v>74</v>
      </c>
      <c r="BP750" t="s">
        <v>74</v>
      </c>
      <c r="BQ750" t="s">
        <v>74</v>
      </c>
      <c r="BR750" t="s">
        <v>105</v>
      </c>
      <c r="BS750" t="s">
        <v>13734</v>
      </c>
      <c r="BT750" t="str">
        <f>HYPERLINK("https%3A%2F%2Fwww.webofscience.com%2Fwos%2Fwoscc%2Ffull-record%2FWOS:000312309200005","View Full Record in Web of Science")</f>
        <v>View Full Record in Web of Science</v>
      </c>
    </row>
    <row r="751" spans="1:72" x14ac:dyDescent="0.15">
      <c r="A751" t="s">
        <v>72</v>
      </c>
      <c r="B751" t="s">
        <v>13735</v>
      </c>
      <c r="C751" t="s">
        <v>74</v>
      </c>
      <c r="D751" t="s">
        <v>74</v>
      </c>
      <c r="E751" t="s">
        <v>74</v>
      </c>
      <c r="F751" t="s">
        <v>13736</v>
      </c>
      <c r="G751" t="s">
        <v>74</v>
      </c>
      <c r="H751" t="s">
        <v>74</v>
      </c>
      <c r="I751" t="s">
        <v>13737</v>
      </c>
      <c r="J751" t="s">
        <v>13738</v>
      </c>
      <c r="K751" t="s">
        <v>74</v>
      </c>
      <c r="L751" t="s">
        <v>74</v>
      </c>
      <c r="M751" t="s">
        <v>78</v>
      </c>
      <c r="N751" t="s">
        <v>79</v>
      </c>
      <c r="O751" t="s">
        <v>74</v>
      </c>
      <c r="P751" t="s">
        <v>74</v>
      </c>
      <c r="Q751" t="s">
        <v>74</v>
      </c>
      <c r="R751" t="s">
        <v>74</v>
      </c>
      <c r="S751" t="s">
        <v>74</v>
      </c>
      <c r="T751" t="s">
        <v>13739</v>
      </c>
      <c r="U751" t="s">
        <v>74</v>
      </c>
      <c r="V751" t="s">
        <v>13740</v>
      </c>
      <c r="W751" t="s">
        <v>13741</v>
      </c>
      <c r="X751" t="s">
        <v>74</v>
      </c>
      <c r="Y751" t="s">
        <v>13742</v>
      </c>
      <c r="Z751" t="s">
        <v>13743</v>
      </c>
      <c r="AA751" t="s">
        <v>74</v>
      </c>
      <c r="AB751" t="s">
        <v>74</v>
      </c>
      <c r="AC751" t="s">
        <v>74</v>
      </c>
      <c r="AD751" t="s">
        <v>74</v>
      </c>
      <c r="AE751" t="s">
        <v>74</v>
      </c>
      <c r="AF751" t="s">
        <v>74</v>
      </c>
      <c r="AG751">
        <v>40</v>
      </c>
      <c r="AH751">
        <v>2</v>
      </c>
      <c r="AI751">
        <v>2</v>
      </c>
      <c r="AJ751">
        <v>1</v>
      </c>
      <c r="AK751">
        <v>1</v>
      </c>
      <c r="AL751" t="s">
        <v>13744</v>
      </c>
      <c r="AM751" t="s">
        <v>1344</v>
      </c>
      <c r="AN751" t="s">
        <v>13745</v>
      </c>
      <c r="AO751" t="s">
        <v>13746</v>
      </c>
      <c r="AP751" t="s">
        <v>13747</v>
      </c>
      <c r="AQ751" t="s">
        <v>74</v>
      </c>
      <c r="AR751" t="s">
        <v>13748</v>
      </c>
      <c r="AS751" t="s">
        <v>13749</v>
      </c>
      <c r="AT751" t="s">
        <v>74</v>
      </c>
      <c r="AU751">
        <v>2013</v>
      </c>
      <c r="AV751">
        <v>6</v>
      </c>
      <c r="AW751">
        <v>1</v>
      </c>
      <c r="AX751" t="s">
        <v>74</v>
      </c>
      <c r="AY751" t="s">
        <v>74</v>
      </c>
      <c r="AZ751" t="s">
        <v>74</v>
      </c>
      <c r="BA751" t="s">
        <v>74</v>
      </c>
      <c r="BB751">
        <v>56</v>
      </c>
      <c r="BC751">
        <v>71</v>
      </c>
      <c r="BD751" t="s">
        <v>74</v>
      </c>
      <c r="BE751" t="s">
        <v>13750</v>
      </c>
      <c r="BF751" t="str">
        <f>HYPERLINK("http://dx.doi.org/10.1179/1936981612Z.0000000004","http://dx.doi.org/10.1179/1936981612Z.0000000004")</f>
        <v>http://dx.doi.org/10.1179/1936981612Z.0000000004</v>
      </c>
      <c r="BG751" t="s">
        <v>74</v>
      </c>
      <c r="BH751" t="s">
        <v>74</v>
      </c>
      <c r="BI751">
        <v>16</v>
      </c>
      <c r="BJ751" t="s">
        <v>13751</v>
      </c>
      <c r="BK751" t="s">
        <v>1717</v>
      </c>
      <c r="BL751" t="s">
        <v>13751</v>
      </c>
      <c r="BM751" t="s">
        <v>13752</v>
      </c>
      <c r="BN751" t="s">
        <v>74</v>
      </c>
      <c r="BO751" t="s">
        <v>74</v>
      </c>
      <c r="BP751" t="s">
        <v>74</v>
      </c>
      <c r="BQ751" t="s">
        <v>74</v>
      </c>
      <c r="BR751" t="s">
        <v>105</v>
      </c>
      <c r="BS751" t="s">
        <v>13753</v>
      </c>
      <c r="BT751" t="str">
        <f>HYPERLINK("https%3A%2F%2Fwww.webofscience.com%2Fwos%2Fwoscc%2Ffull-record%2FWOS:000214759600006","View Full Record in Web of Science")</f>
        <v>View Full Record in Web of Science</v>
      </c>
    </row>
    <row r="752" spans="1:72" x14ac:dyDescent="0.15">
      <c r="A752" t="s">
        <v>3224</v>
      </c>
      <c r="B752" t="s">
        <v>13754</v>
      </c>
      <c r="C752" t="s">
        <v>74</v>
      </c>
      <c r="D752" t="s">
        <v>13755</v>
      </c>
      <c r="E752" t="s">
        <v>74</v>
      </c>
      <c r="F752" t="s">
        <v>13756</v>
      </c>
      <c r="G752" t="s">
        <v>74</v>
      </c>
      <c r="H752" t="s">
        <v>74</v>
      </c>
      <c r="I752" t="s">
        <v>13757</v>
      </c>
      <c r="J752" t="s">
        <v>13758</v>
      </c>
      <c r="K752" t="s">
        <v>13759</v>
      </c>
      <c r="L752" t="s">
        <v>74</v>
      </c>
      <c r="M752" t="s">
        <v>78</v>
      </c>
      <c r="N752" t="s">
        <v>3231</v>
      </c>
      <c r="O752" t="s">
        <v>13760</v>
      </c>
      <c r="P752" t="s">
        <v>13761</v>
      </c>
      <c r="Q752" t="s">
        <v>13762</v>
      </c>
      <c r="R752" t="s">
        <v>74</v>
      </c>
      <c r="S752" t="s">
        <v>74</v>
      </c>
      <c r="T752" t="s">
        <v>13763</v>
      </c>
      <c r="U752" t="s">
        <v>74</v>
      </c>
      <c r="V752" t="s">
        <v>13764</v>
      </c>
      <c r="W752" t="s">
        <v>13765</v>
      </c>
      <c r="X752" t="s">
        <v>13766</v>
      </c>
      <c r="Y752" t="s">
        <v>13767</v>
      </c>
      <c r="Z752" t="s">
        <v>74</v>
      </c>
      <c r="AA752" t="s">
        <v>74</v>
      </c>
      <c r="AB752" t="s">
        <v>74</v>
      </c>
      <c r="AC752" t="s">
        <v>74</v>
      </c>
      <c r="AD752" t="s">
        <v>74</v>
      </c>
      <c r="AE752" t="s">
        <v>74</v>
      </c>
      <c r="AF752" t="s">
        <v>74</v>
      </c>
      <c r="AG752">
        <v>37</v>
      </c>
      <c r="AH752">
        <v>1</v>
      </c>
      <c r="AI752">
        <v>1</v>
      </c>
      <c r="AJ752">
        <v>0</v>
      </c>
      <c r="AK752">
        <v>0</v>
      </c>
      <c r="AL752" t="s">
        <v>13768</v>
      </c>
      <c r="AM752" t="s">
        <v>13769</v>
      </c>
      <c r="AN752" t="s">
        <v>13770</v>
      </c>
      <c r="AO752" t="s">
        <v>13771</v>
      </c>
      <c r="AP752" t="s">
        <v>74</v>
      </c>
      <c r="AQ752" t="s">
        <v>13772</v>
      </c>
      <c r="AR752" t="s">
        <v>13773</v>
      </c>
      <c r="AS752" t="s">
        <v>74</v>
      </c>
      <c r="AT752" t="s">
        <v>74</v>
      </c>
      <c r="AU752">
        <v>2013</v>
      </c>
      <c r="AV752" t="s">
        <v>74</v>
      </c>
      <c r="AW752" t="s">
        <v>74</v>
      </c>
      <c r="AX752" t="s">
        <v>74</v>
      </c>
      <c r="AY752" t="s">
        <v>74</v>
      </c>
      <c r="AZ752" t="s">
        <v>74</v>
      </c>
      <c r="BA752" t="s">
        <v>74</v>
      </c>
      <c r="BB752">
        <v>867</v>
      </c>
      <c r="BC752">
        <v>878</v>
      </c>
      <c r="BD752" t="s">
        <v>74</v>
      </c>
      <c r="BE752" t="s">
        <v>74</v>
      </c>
      <c r="BF752" t="s">
        <v>74</v>
      </c>
      <c r="BG752" t="s">
        <v>74</v>
      </c>
      <c r="BH752" t="s">
        <v>74</v>
      </c>
      <c r="BI752">
        <v>12</v>
      </c>
      <c r="BJ752" t="s">
        <v>13774</v>
      </c>
      <c r="BK752" t="s">
        <v>4058</v>
      </c>
      <c r="BL752" t="s">
        <v>13775</v>
      </c>
      <c r="BM752" t="s">
        <v>13776</v>
      </c>
      <c r="BN752" t="s">
        <v>74</v>
      </c>
      <c r="BO752" t="s">
        <v>74</v>
      </c>
      <c r="BP752" t="s">
        <v>74</v>
      </c>
      <c r="BQ752" t="s">
        <v>74</v>
      </c>
      <c r="BR752" t="s">
        <v>105</v>
      </c>
      <c r="BS752" t="s">
        <v>13777</v>
      </c>
      <c r="BT752" t="str">
        <f>HYPERLINK("https%3A%2F%2Fwww.webofscience.com%2Fwos%2Fwoscc%2Ffull-record%2FWOS:000352775000077","View Full Record in Web of Science")</f>
        <v>View Full Record in Web of Science</v>
      </c>
    </row>
    <row r="753" spans="1:72" x14ac:dyDescent="0.15">
      <c r="A753" t="s">
        <v>72</v>
      </c>
      <c r="B753" t="s">
        <v>13778</v>
      </c>
      <c r="C753" t="s">
        <v>74</v>
      </c>
      <c r="D753" t="s">
        <v>74</v>
      </c>
      <c r="E753" t="s">
        <v>74</v>
      </c>
      <c r="F753" t="s">
        <v>13779</v>
      </c>
      <c r="G753" t="s">
        <v>74</v>
      </c>
      <c r="H753" t="s">
        <v>74</v>
      </c>
      <c r="I753" t="s">
        <v>13780</v>
      </c>
      <c r="J753" t="s">
        <v>13781</v>
      </c>
      <c r="K753" t="s">
        <v>74</v>
      </c>
      <c r="L753" t="s">
        <v>74</v>
      </c>
      <c r="M753" t="s">
        <v>78</v>
      </c>
      <c r="N753" t="s">
        <v>79</v>
      </c>
      <c r="O753" t="s">
        <v>74</v>
      </c>
      <c r="P753" t="s">
        <v>74</v>
      </c>
      <c r="Q753" t="s">
        <v>74</v>
      </c>
      <c r="R753" t="s">
        <v>74</v>
      </c>
      <c r="S753" t="s">
        <v>74</v>
      </c>
      <c r="T753" t="s">
        <v>13782</v>
      </c>
      <c r="U753" t="s">
        <v>74</v>
      </c>
      <c r="V753" t="s">
        <v>13783</v>
      </c>
      <c r="W753" t="s">
        <v>13784</v>
      </c>
      <c r="X753" t="s">
        <v>13785</v>
      </c>
      <c r="Y753" t="s">
        <v>13786</v>
      </c>
      <c r="Z753" t="s">
        <v>7541</v>
      </c>
      <c r="AA753" t="s">
        <v>13787</v>
      </c>
      <c r="AB753" t="s">
        <v>13788</v>
      </c>
      <c r="AC753" t="s">
        <v>13789</v>
      </c>
      <c r="AD753" t="s">
        <v>10537</v>
      </c>
      <c r="AE753" t="s">
        <v>74</v>
      </c>
      <c r="AF753" t="s">
        <v>74</v>
      </c>
      <c r="AG753">
        <v>4</v>
      </c>
      <c r="AH753">
        <v>24</v>
      </c>
      <c r="AI753">
        <v>26</v>
      </c>
      <c r="AJ753">
        <v>0</v>
      </c>
      <c r="AK753">
        <v>5</v>
      </c>
      <c r="AL753" t="s">
        <v>6459</v>
      </c>
      <c r="AM753" t="s">
        <v>4076</v>
      </c>
      <c r="AN753" t="s">
        <v>7362</v>
      </c>
      <c r="AO753" t="s">
        <v>13790</v>
      </c>
      <c r="AP753" t="s">
        <v>13791</v>
      </c>
      <c r="AQ753" t="s">
        <v>74</v>
      </c>
      <c r="AR753" t="s">
        <v>13792</v>
      </c>
      <c r="AS753" t="s">
        <v>13793</v>
      </c>
      <c r="AT753" t="s">
        <v>74</v>
      </c>
      <c r="AU753">
        <v>2013</v>
      </c>
      <c r="AV753" t="s">
        <v>74</v>
      </c>
      <c r="AW753">
        <v>4</v>
      </c>
      <c r="AX753" t="s">
        <v>74</v>
      </c>
      <c r="AY753" t="s">
        <v>74</v>
      </c>
      <c r="AZ753" t="s">
        <v>74</v>
      </c>
      <c r="BA753" t="s">
        <v>74</v>
      </c>
      <c r="BB753">
        <v>1</v>
      </c>
      <c r="BC753">
        <v>13</v>
      </c>
      <c r="BD753" t="s">
        <v>74</v>
      </c>
      <c r="BE753" t="s">
        <v>13794</v>
      </c>
      <c r="BF753" t="str">
        <f>HYPERLINK("http://dx.doi.org/10.3897/natureconservation.4.4499","http://dx.doi.org/10.3897/natureconservation.4.4499")</f>
        <v>http://dx.doi.org/10.3897/natureconservation.4.4499</v>
      </c>
      <c r="BG753" t="s">
        <v>74</v>
      </c>
      <c r="BH753" t="s">
        <v>74</v>
      </c>
      <c r="BI753">
        <v>13</v>
      </c>
      <c r="BJ753" t="s">
        <v>12335</v>
      </c>
      <c r="BK753" t="s">
        <v>102</v>
      </c>
      <c r="BL753" t="s">
        <v>12336</v>
      </c>
      <c r="BM753" t="s">
        <v>13795</v>
      </c>
      <c r="BN753" t="s">
        <v>74</v>
      </c>
      <c r="BO753" t="s">
        <v>2359</v>
      </c>
      <c r="BP753" t="s">
        <v>74</v>
      </c>
      <c r="BQ753" t="s">
        <v>74</v>
      </c>
      <c r="BR753" t="s">
        <v>105</v>
      </c>
      <c r="BS753" t="s">
        <v>13796</v>
      </c>
      <c r="BT753" t="str">
        <f>HYPERLINK("https%3A%2F%2Fwww.webofscience.com%2Fwos%2Fwoscc%2Ffull-record%2FWOS:000209432400001","View Full Record in Web of Science")</f>
        <v>View Full Record in Web of Science</v>
      </c>
    </row>
    <row r="754" spans="1:72" x14ac:dyDescent="0.15">
      <c r="A754" t="s">
        <v>72</v>
      </c>
      <c r="B754" t="s">
        <v>13797</v>
      </c>
      <c r="C754" t="s">
        <v>74</v>
      </c>
      <c r="D754" t="s">
        <v>74</v>
      </c>
      <c r="E754" t="s">
        <v>74</v>
      </c>
      <c r="F754" t="s">
        <v>13798</v>
      </c>
      <c r="G754" t="s">
        <v>74</v>
      </c>
      <c r="H754" t="s">
        <v>74</v>
      </c>
      <c r="I754" t="s">
        <v>13799</v>
      </c>
      <c r="J754" t="s">
        <v>2188</v>
      </c>
      <c r="K754" t="s">
        <v>74</v>
      </c>
      <c r="L754" t="s">
        <v>74</v>
      </c>
      <c r="M754" t="s">
        <v>78</v>
      </c>
      <c r="N754" t="s">
        <v>79</v>
      </c>
      <c r="O754" t="s">
        <v>74</v>
      </c>
      <c r="P754" t="s">
        <v>74</v>
      </c>
      <c r="Q754" t="s">
        <v>74</v>
      </c>
      <c r="R754" t="s">
        <v>74</v>
      </c>
      <c r="S754" t="s">
        <v>74</v>
      </c>
      <c r="T754" t="s">
        <v>74</v>
      </c>
      <c r="U754" t="s">
        <v>13800</v>
      </c>
      <c r="V754" t="s">
        <v>13801</v>
      </c>
      <c r="W754" t="s">
        <v>13802</v>
      </c>
      <c r="X754" t="s">
        <v>13803</v>
      </c>
      <c r="Y754" t="s">
        <v>13804</v>
      </c>
      <c r="Z754" t="s">
        <v>13805</v>
      </c>
      <c r="AA754" t="s">
        <v>13806</v>
      </c>
      <c r="AB754" t="s">
        <v>13807</v>
      </c>
      <c r="AC754" t="s">
        <v>13808</v>
      </c>
      <c r="AD754" t="s">
        <v>13809</v>
      </c>
      <c r="AE754" t="s">
        <v>13810</v>
      </c>
      <c r="AF754" t="s">
        <v>74</v>
      </c>
      <c r="AG754">
        <v>27</v>
      </c>
      <c r="AH754">
        <v>130</v>
      </c>
      <c r="AI754">
        <v>142</v>
      </c>
      <c r="AJ754">
        <v>1</v>
      </c>
      <c r="AK754">
        <v>68</v>
      </c>
      <c r="AL754" t="s">
        <v>2670</v>
      </c>
      <c r="AM754" t="s">
        <v>296</v>
      </c>
      <c r="AN754" t="s">
        <v>13811</v>
      </c>
      <c r="AO754" t="s">
        <v>2200</v>
      </c>
      <c r="AP754" t="s">
        <v>2201</v>
      </c>
      <c r="AQ754" t="s">
        <v>74</v>
      </c>
      <c r="AR754" t="s">
        <v>2202</v>
      </c>
      <c r="AS754" t="s">
        <v>2203</v>
      </c>
      <c r="AT754" t="s">
        <v>5170</v>
      </c>
      <c r="AU754">
        <v>2013</v>
      </c>
      <c r="AV754">
        <v>6</v>
      </c>
      <c r="AW754">
        <v>1</v>
      </c>
      <c r="AX754" t="s">
        <v>74</v>
      </c>
      <c r="AY754" t="s">
        <v>74</v>
      </c>
      <c r="AZ754" t="s">
        <v>74</v>
      </c>
      <c r="BA754" t="s">
        <v>74</v>
      </c>
      <c r="BB754">
        <v>48</v>
      </c>
      <c r="BC754">
        <v>51</v>
      </c>
      <c r="BD754" t="s">
        <v>74</v>
      </c>
      <c r="BE754" t="s">
        <v>13812</v>
      </c>
      <c r="BF754" t="str">
        <f>HYPERLINK("http://dx.doi.org/10.1038/NGEO1657","http://dx.doi.org/10.1038/NGEO1657")</f>
        <v>http://dx.doi.org/10.1038/NGEO1657</v>
      </c>
      <c r="BG754" t="s">
        <v>74</v>
      </c>
      <c r="BH754" t="s">
        <v>74</v>
      </c>
      <c r="BI754">
        <v>4</v>
      </c>
      <c r="BJ754" t="s">
        <v>1604</v>
      </c>
      <c r="BK754" t="s">
        <v>102</v>
      </c>
      <c r="BL754" t="s">
        <v>1605</v>
      </c>
      <c r="BM754" t="s">
        <v>13813</v>
      </c>
      <c r="BN754" t="s">
        <v>74</v>
      </c>
      <c r="BO754" t="s">
        <v>74</v>
      </c>
      <c r="BP754" t="s">
        <v>74</v>
      </c>
      <c r="BQ754" t="s">
        <v>74</v>
      </c>
      <c r="BR754" t="s">
        <v>105</v>
      </c>
      <c r="BS754" t="s">
        <v>13814</v>
      </c>
      <c r="BT754" t="str">
        <f>HYPERLINK("https%3A%2F%2Fwww.webofscience.com%2Fwos%2Fwoscc%2Ffull-record%2FWOS:000312633000027","View Full Record in Web of Science")</f>
        <v>View Full Record in Web of Science</v>
      </c>
    </row>
    <row r="755" spans="1:72" x14ac:dyDescent="0.15">
      <c r="A755" t="s">
        <v>72</v>
      </c>
      <c r="B755" t="s">
        <v>13815</v>
      </c>
      <c r="C755" t="s">
        <v>74</v>
      </c>
      <c r="D755" t="s">
        <v>74</v>
      </c>
      <c r="E755" t="s">
        <v>74</v>
      </c>
      <c r="F755" t="s">
        <v>13816</v>
      </c>
      <c r="G755" t="s">
        <v>74</v>
      </c>
      <c r="H755" t="s">
        <v>74</v>
      </c>
      <c r="I755" t="s">
        <v>13817</v>
      </c>
      <c r="J755" t="s">
        <v>13818</v>
      </c>
      <c r="K755" t="s">
        <v>74</v>
      </c>
      <c r="L755" t="s">
        <v>74</v>
      </c>
      <c r="M755" t="s">
        <v>78</v>
      </c>
      <c r="N755" t="s">
        <v>79</v>
      </c>
      <c r="O755" t="s">
        <v>74</v>
      </c>
      <c r="P755" t="s">
        <v>74</v>
      </c>
      <c r="Q755" t="s">
        <v>74</v>
      </c>
      <c r="R755" t="s">
        <v>74</v>
      </c>
      <c r="S755" t="s">
        <v>74</v>
      </c>
      <c r="T755" t="s">
        <v>13819</v>
      </c>
      <c r="U755" t="s">
        <v>13820</v>
      </c>
      <c r="V755" t="s">
        <v>13821</v>
      </c>
      <c r="W755" t="s">
        <v>13822</v>
      </c>
      <c r="X755" t="s">
        <v>13823</v>
      </c>
      <c r="Y755" t="s">
        <v>13824</v>
      </c>
      <c r="Z755" t="s">
        <v>13825</v>
      </c>
      <c r="AA755" t="s">
        <v>13826</v>
      </c>
      <c r="AB755" t="s">
        <v>13827</v>
      </c>
      <c r="AC755" t="s">
        <v>13828</v>
      </c>
      <c r="AD755" t="s">
        <v>13829</v>
      </c>
      <c r="AE755" t="s">
        <v>13830</v>
      </c>
      <c r="AF755" t="s">
        <v>74</v>
      </c>
      <c r="AG755">
        <v>52</v>
      </c>
      <c r="AH755">
        <v>21</v>
      </c>
      <c r="AI755">
        <v>23</v>
      </c>
      <c r="AJ755">
        <v>1</v>
      </c>
      <c r="AK755">
        <v>18</v>
      </c>
      <c r="AL755" t="s">
        <v>13831</v>
      </c>
      <c r="AM755" t="s">
        <v>349</v>
      </c>
      <c r="AN755" t="s">
        <v>13832</v>
      </c>
      <c r="AO755" t="s">
        <v>13833</v>
      </c>
      <c r="AP755" t="s">
        <v>13834</v>
      </c>
      <c r="AQ755" t="s">
        <v>74</v>
      </c>
      <c r="AR755" t="s">
        <v>13818</v>
      </c>
      <c r="AS755" t="s">
        <v>13835</v>
      </c>
      <c r="AT755" t="s">
        <v>74</v>
      </c>
      <c r="AU755">
        <v>2013</v>
      </c>
      <c r="AV755">
        <v>97</v>
      </c>
      <c r="AW755" t="s">
        <v>2789</v>
      </c>
      <c r="AX755" t="s">
        <v>74</v>
      </c>
      <c r="AY755" t="s">
        <v>74</v>
      </c>
      <c r="AZ755" t="s">
        <v>74</v>
      </c>
      <c r="BA755" t="s">
        <v>74</v>
      </c>
      <c r="BB755">
        <v>189</v>
      </c>
      <c r="BC755">
        <v>208</v>
      </c>
      <c r="BD755" t="s">
        <v>74</v>
      </c>
      <c r="BE755" t="s">
        <v>13836</v>
      </c>
      <c r="BF755" t="str">
        <f>HYPERLINK("http://dx.doi.org/10.1127/0029-5035/2013/0101","http://dx.doi.org/10.1127/0029-5035/2013/0101")</f>
        <v>http://dx.doi.org/10.1127/0029-5035/2013/0101</v>
      </c>
      <c r="BG755" t="s">
        <v>74</v>
      </c>
      <c r="BH755" t="s">
        <v>74</v>
      </c>
      <c r="BI755">
        <v>20</v>
      </c>
      <c r="BJ755" t="s">
        <v>427</v>
      </c>
      <c r="BK755" t="s">
        <v>102</v>
      </c>
      <c r="BL755" t="s">
        <v>427</v>
      </c>
      <c r="BM755" t="s">
        <v>13837</v>
      </c>
      <c r="BN755" t="s">
        <v>74</v>
      </c>
      <c r="BO755" t="s">
        <v>74</v>
      </c>
      <c r="BP755" t="s">
        <v>74</v>
      </c>
      <c r="BQ755" t="s">
        <v>74</v>
      </c>
      <c r="BR755" t="s">
        <v>105</v>
      </c>
      <c r="BS755" t="s">
        <v>13838</v>
      </c>
      <c r="BT755" t="str">
        <f>HYPERLINK("https%3A%2F%2Fwww.webofscience.com%2Fwos%2Fwoscc%2Ffull-record%2FWOS:000323398000009","View Full Record in Web of Science")</f>
        <v>View Full Record in Web of Science</v>
      </c>
    </row>
    <row r="756" spans="1:72" x14ac:dyDescent="0.15">
      <c r="A756" t="s">
        <v>72</v>
      </c>
      <c r="B756" t="s">
        <v>13839</v>
      </c>
      <c r="C756" t="s">
        <v>74</v>
      </c>
      <c r="D756" t="s">
        <v>74</v>
      </c>
      <c r="E756" t="s">
        <v>74</v>
      </c>
      <c r="F756" t="s">
        <v>13840</v>
      </c>
      <c r="G756" t="s">
        <v>74</v>
      </c>
      <c r="H756" t="s">
        <v>74</v>
      </c>
      <c r="I756" t="s">
        <v>13841</v>
      </c>
      <c r="J756" t="s">
        <v>9375</v>
      </c>
      <c r="K756" t="s">
        <v>74</v>
      </c>
      <c r="L756" t="s">
        <v>74</v>
      </c>
      <c r="M756" t="s">
        <v>78</v>
      </c>
      <c r="N756" t="s">
        <v>3967</v>
      </c>
      <c r="O756" t="s">
        <v>9376</v>
      </c>
      <c r="P756" t="s">
        <v>9377</v>
      </c>
      <c r="Q756" t="s">
        <v>9378</v>
      </c>
      <c r="R756" t="s">
        <v>74</v>
      </c>
      <c r="S756" t="s">
        <v>9379</v>
      </c>
      <c r="T756" t="s">
        <v>13842</v>
      </c>
      <c r="U756" t="s">
        <v>13843</v>
      </c>
      <c r="V756" t="s">
        <v>13844</v>
      </c>
      <c r="W756" t="s">
        <v>13845</v>
      </c>
      <c r="X756" t="s">
        <v>13846</v>
      </c>
      <c r="Y756" t="s">
        <v>13847</v>
      </c>
      <c r="Z756" t="s">
        <v>13848</v>
      </c>
      <c r="AA756" t="s">
        <v>13849</v>
      </c>
      <c r="AB756" t="s">
        <v>13850</v>
      </c>
      <c r="AC756" t="s">
        <v>74</v>
      </c>
      <c r="AD756" t="s">
        <v>74</v>
      </c>
      <c r="AE756" t="s">
        <v>74</v>
      </c>
      <c r="AF756" t="s">
        <v>74</v>
      </c>
      <c r="AG756">
        <v>15</v>
      </c>
      <c r="AH756">
        <v>5</v>
      </c>
      <c r="AI756">
        <v>5</v>
      </c>
      <c r="AJ756">
        <v>0</v>
      </c>
      <c r="AK756">
        <v>16</v>
      </c>
      <c r="AL756" t="s">
        <v>586</v>
      </c>
      <c r="AM756" t="s">
        <v>542</v>
      </c>
      <c r="AN756" t="s">
        <v>587</v>
      </c>
      <c r="AO756" t="s">
        <v>9389</v>
      </c>
      <c r="AP756" t="s">
        <v>9390</v>
      </c>
      <c r="AQ756" t="s">
        <v>74</v>
      </c>
      <c r="AR756" t="s">
        <v>9391</v>
      </c>
      <c r="AS756" t="s">
        <v>9392</v>
      </c>
      <c r="AT756" t="s">
        <v>5170</v>
      </c>
      <c r="AU756">
        <v>2013</v>
      </c>
      <c r="AV756">
        <v>294</v>
      </c>
      <c r="AW756" t="s">
        <v>74</v>
      </c>
      <c r="AX756" t="s">
        <v>74</v>
      </c>
      <c r="AY756" t="s">
        <v>74</v>
      </c>
      <c r="AZ756" t="s">
        <v>74</v>
      </c>
      <c r="BA756" t="s">
        <v>74</v>
      </c>
      <c r="BB756">
        <v>568</v>
      </c>
      <c r="BC756">
        <v>572</v>
      </c>
      <c r="BD756" t="s">
        <v>74</v>
      </c>
      <c r="BE756" t="s">
        <v>13851</v>
      </c>
      <c r="BF756" t="str">
        <f>HYPERLINK("http://dx.doi.org/10.1016/j.nimb.2012.05.041","http://dx.doi.org/10.1016/j.nimb.2012.05.041")</f>
        <v>http://dx.doi.org/10.1016/j.nimb.2012.05.041</v>
      </c>
      <c r="BG756" t="s">
        <v>74</v>
      </c>
      <c r="BH756" t="s">
        <v>74</v>
      </c>
      <c r="BI756">
        <v>5</v>
      </c>
      <c r="BJ756" t="s">
        <v>9394</v>
      </c>
      <c r="BK756" t="s">
        <v>3990</v>
      </c>
      <c r="BL756" t="s">
        <v>9395</v>
      </c>
      <c r="BM756" t="s">
        <v>9396</v>
      </c>
      <c r="BN756" t="s">
        <v>74</v>
      </c>
      <c r="BO756" t="s">
        <v>74</v>
      </c>
      <c r="BP756" t="s">
        <v>74</v>
      </c>
      <c r="BQ756" t="s">
        <v>74</v>
      </c>
      <c r="BR756" t="s">
        <v>105</v>
      </c>
      <c r="BS756" t="s">
        <v>13852</v>
      </c>
      <c r="BT756" t="str">
        <f>HYPERLINK("https%3A%2F%2Fwww.webofscience.com%2Fwos%2Fwoscc%2Ffull-record%2FWOS:000313234300109","View Full Record in Web of Science")</f>
        <v>View Full Record in Web of Science</v>
      </c>
    </row>
    <row r="757" spans="1:72" x14ac:dyDescent="0.15">
      <c r="A757" t="s">
        <v>72</v>
      </c>
      <c r="B757" t="s">
        <v>13853</v>
      </c>
      <c r="C757" t="s">
        <v>74</v>
      </c>
      <c r="D757" t="s">
        <v>74</v>
      </c>
      <c r="E757" t="s">
        <v>74</v>
      </c>
      <c r="F757" t="s">
        <v>13854</v>
      </c>
      <c r="G757" t="s">
        <v>74</v>
      </c>
      <c r="H757" t="s">
        <v>74</v>
      </c>
      <c r="I757" t="s">
        <v>13855</v>
      </c>
      <c r="J757" t="s">
        <v>6863</v>
      </c>
      <c r="K757" t="s">
        <v>74</v>
      </c>
      <c r="L757" t="s">
        <v>74</v>
      </c>
      <c r="M757" t="s">
        <v>78</v>
      </c>
      <c r="N757" t="s">
        <v>79</v>
      </c>
      <c r="O757" t="s">
        <v>74</v>
      </c>
      <c r="P757" t="s">
        <v>74</v>
      </c>
      <c r="Q757" t="s">
        <v>74</v>
      </c>
      <c r="R757" t="s">
        <v>74</v>
      </c>
      <c r="S757" t="s">
        <v>74</v>
      </c>
      <c r="T757" t="s">
        <v>74</v>
      </c>
      <c r="U757" t="s">
        <v>13856</v>
      </c>
      <c r="V757" t="s">
        <v>13857</v>
      </c>
      <c r="W757" t="s">
        <v>13858</v>
      </c>
      <c r="X757" t="s">
        <v>13859</v>
      </c>
      <c r="Y757" t="s">
        <v>13860</v>
      </c>
      <c r="Z757" t="s">
        <v>13861</v>
      </c>
      <c r="AA757" t="s">
        <v>13862</v>
      </c>
      <c r="AB757" t="s">
        <v>13863</v>
      </c>
      <c r="AC757" t="s">
        <v>13864</v>
      </c>
      <c r="AD757" t="s">
        <v>13865</v>
      </c>
      <c r="AE757" t="s">
        <v>13866</v>
      </c>
      <c r="AF757" t="s">
        <v>74</v>
      </c>
      <c r="AG757">
        <v>20</v>
      </c>
      <c r="AH757">
        <v>15</v>
      </c>
      <c r="AI757">
        <v>18</v>
      </c>
      <c r="AJ757">
        <v>0</v>
      </c>
      <c r="AK757">
        <v>3</v>
      </c>
      <c r="AL757" t="s">
        <v>4248</v>
      </c>
      <c r="AM757" t="s">
        <v>4249</v>
      </c>
      <c r="AN757" t="s">
        <v>4250</v>
      </c>
      <c r="AO757" t="s">
        <v>6872</v>
      </c>
      <c r="AP757" t="s">
        <v>74</v>
      </c>
      <c r="AQ757" t="s">
        <v>74</v>
      </c>
      <c r="AR757" t="s">
        <v>6873</v>
      </c>
      <c r="AS757" t="s">
        <v>6874</v>
      </c>
      <c r="AT757" t="s">
        <v>74</v>
      </c>
      <c r="AU757">
        <v>2013</v>
      </c>
      <c r="AV757">
        <v>9</v>
      </c>
      <c r="AW757">
        <v>5</v>
      </c>
      <c r="AX757" t="s">
        <v>74</v>
      </c>
      <c r="AY757" t="s">
        <v>74</v>
      </c>
      <c r="AZ757" t="s">
        <v>74</v>
      </c>
      <c r="BA757" t="s">
        <v>74</v>
      </c>
      <c r="BB757">
        <v>825</v>
      </c>
      <c r="BC757">
        <v>835</v>
      </c>
      <c r="BD757" t="s">
        <v>74</v>
      </c>
      <c r="BE757" t="s">
        <v>13867</v>
      </c>
      <c r="BF757" t="str">
        <f>HYPERLINK("http://dx.doi.org/10.5194/os-9-825-2013","http://dx.doi.org/10.5194/os-9-825-2013")</f>
        <v>http://dx.doi.org/10.5194/os-9-825-2013</v>
      </c>
      <c r="BG757" t="s">
        <v>74</v>
      </c>
      <c r="BH757" t="s">
        <v>74</v>
      </c>
      <c r="BI757">
        <v>11</v>
      </c>
      <c r="BJ757" t="s">
        <v>617</v>
      </c>
      <c r="BK757" t="s">
        <v>102</v>
      </c>
      <c r="BL757" t="s">
        <v>617</v>
      </c>
      <c r="BM757" t="s">
        <v>13868</v>
      </c>
      <c r="BN757" t="s">
        <v>74</v>
      </c>
      <c r="BO757" t="s">
        <v>3222</v>
      </c>
      <c r="BP757" t="s">
        <v>74</v>
      </c>
      <c r="BQ757" t="s">
        <v>74</v>
      </c>
      <c r="BR757" t="s">
        <v>105</v>
      </c>
      <c r="BS757" t="s">
        <v>13869</v>
      </c>
      <c r="BT757" t="str">
        <f>HYPERLINK("https%3A%2F%2Fwww.webofscience.com%2Fwos%2Fwoscc%2Ffull-record%2FWOS:000326631800005","View Full Record in Web of Science")</f>
        <v>View Full Record in Web of Science</v>
      </c>
    </row>
    <row r="758" spans="1:72" x14ac:dyDescent="0.15">
      <c r="A758" t="s">
        <v>72</v>
      </c>
      <c r="B758" t="s">
        <v>13870</v>
      </c>
      <c r="C758" t="s">
        <v>74</v>
      </c>
      <c r="D758" t="s">
        <v>74</v>
      </c>
      <c r="E758" t="s">
        <v>74</v>
      </c>
      <c r="F758" t="s">
        <v>13871</v>
      </c>
      <c r="G758" t="s">
        <v>74</v>
      </c>
      <c r="H758" t="s">
        <v>74</v>
      </c>
      <c r="I758" t="s">
        <v>13872</v>
      </c>
      <c r="J758" t="s">
        <v>13873</v>
      </c>
      <c r="K758" t="s">
        <v>74</v>
      </c>
      <c r="L758" t="s">
        <v>74</v>
      </c>
      <c r="M758" t="s">
        <v>78</v>
      </c>
      <c r="N758" t="s">
        <v>784</v>
      </c>
      <c r="O758" t="s">
        <v>74</v>
      </c>
      <c r="P758" t="s">
        <v>74</v>
      </c>
      <c r="Q758" t="s">
        <v>74</v>
      </c>
      <c r="R758" t="s">
        <v>74</v>
      </c>
      <c r="S758" t="s">
        <v>74</v>
      </c>
      <c r="T758" t="s">
        <v>74</v>
      </c>
      <c r="U758" t="s">
        <v>74</v>
      </c>
      <c r="V758" t="s">
        <v>74</v>
      </c>
      <c r="W758" t="s">
        <v>13874</v>
      </c>
      <c r="X758" t="s">
        <v>13875</v>
      </c>
      <c r="Y758" t="s">
        <v>13876</v>
      </c>
      <c r="Z758" t="s">
        <v>13877</v>
      </c>
      <c r="AA758" t="s">
        <v>13878</v>
      </c>
      <c r="AB758" t="s">
        <v>13879</v>
      </c>
      <c r="AC758" t="s">
        <v>13880</v>
      </c>
      <c r="AD758" t="s">
        <v>1550</v>
      </c>
      <c r="AE758" t="s">
        <v>74</v>
      </c>
      <c r="AF758" t="s">
        <v>74</v>
      </c>
      <c r="AG758">
        <v>0</v>
      </c>
      <c r="AH758">
        <v>1</v>
      </c>
      <c r="AI758">
        <v>1</v>
      </c>
      <c r="AJ758">
        <v>2</v>
      </c>
      <c r="AK758">
        <v>27</v>
      </c>
      <c r="AL758" t="s">
        <v>816</v>
      </c>
      <c r="AM758" t="s">
        <v>296</v>
      </c>
      <c r="AN758" t="s">
        <v>817</v>
      </c>
      <c r="AO758" t="s">
        <v>13881</v>
      </c>
      <c r="AP758" t="s">
        <v>74</v>
      </c>
      <c r="AQ758" t="s">
        <v>74</v>
      </c>
      <c r="AR758" t="s">
        <v>13873</v>
      </c>
      <c r="AS758" t="s">
        <v>13882</v>
      </c>
      <c r="AT758" t="s">
        <v>5170</v>
      </c>
      <c r="AU758">
        <v>2013</v>
      </c>
      <c r="AV758">
        <v>47</v>
      </c>
      <c r="AW758">
        <v>1</v>
      </c>
      <c r="AX758" t="s">
        <v>74</v>
      </c>
      <c r="AY758" t="s">
        <v>74</v>
      </c>
      <c r="AZ758" t="s">
        <v>74</v>
      </c>
      <c r="BA758" t="s">
        <v>74</v>
      </c>
      <c r="BB758">
        <v>16</v>
      </c>
      <c r="BC758">
        <v>17</v>
      </c>
      <c r="BD758" t="s">
        <v>74</v>
      </c>
      <c r="BE758" t="s">
        <v>13883</v>
      </c>
      <c r="BF758" t="str">
        <f>HYPERLINK("http://dx.doi.org/10.1017/S0030605313000173","http://dx.doi.org/10.1017/S0030605313000173")</f>
        <v>http://dx.doi.org/10.1017/S0030605313000173</v>
      </c>
      <c r="BG758" t="s">
        <v>74</v>
      </c>
      <c r="BH758" t="s">
        <v>74</v>
      </c>
      <c r="BI758">
        <v>3</v>
      </c>
      <c r="BJ758" t="s">
        <v>981</v>
      </c>
      <c r="BK758" t="s">
        <v>102</v>
      </c>
      <c r="BL758" t="s">
        <v>958</v>
      </c>
      <c r="BM758" t="s">
        <v>13884</v>
      </c>
      <c r="BN758" t="s">
        <v>74</v>
      </c>
      <c r="BO758" t="s">
        <v>1379</v>
      </c>
      <c r="BP758" t="s">
        <v>74</v>
      </c>
      <c r="BQ758" t="s">
        <v>74</v>
      </c>
      <c r="BR758" t="s">
        <v>105</v>
      </c>
      <c r="BS758" t="s">
        <v>13885</v>
      </c>
      <c r="BT758" t="str">
        <f>HYPERLINK("https%3A%2F%2Fwww.webofscience.com%2Fwos%2Fwoscc%2Ffull-record%2FWOS:000319726600006","View Full Record in Web of Science")</f>
        <v>View Full Record in Web of Science</v>
      </c>
    </row>
    <row r="759" spans="1:72" x14ac:dyDescent="0.15">
      <c r="A759" t="s">
        <v>72</v>
      </c>
      <c r="B759" t="s">
        <v>13886</v>
      </c>
      <c r="C759" t="s">
        <v>74</v>
      </c>
      <c r="D759" t="s">
        <v>74</v>
      </c>
      <c r="E759" t="s">
        <v>74</v>
      </c>
      <c r="F759" t="s">
        <v>13887</v>
      </c>
      <c r="G759" t="s">
        <v>74</v>
      </c>
      <c r="H759" t="s">
        <v>74</v>
      </c>
      <c r="I759" t="s">
        <v>13888</v>
      </c>
      <c r="J759" t="s">
        <v>7660</v>
      </c>
      <c r="K759" t="s">
        <v>74</v>
      </c>
      <c r="L759" t="s">
        <v>74</v>
      </c>
      <c r="M759" t="s">
        <v>78</v>
      </c>
      <c r="N759" t="s">
        <v>79</v>
      </c>
      <c r="O759" t="s">
        <v>74</v>
      </c>
      <c r="P759" t="s">
        <v>74</v>
      </c>
      <c r="Q759" t="s">
        <v>74</v>
      </c>
      <c r="R759" t="s">
        <v>74</v>
      </c>
      <c r="S759" t="s">
        <v>74</v>
      </c>
      <c r="T759" t="s">
        <v>74</v>
      </c>
      <c r="U759" t="s">
        <v>13889</v>
      </c>
      <c r="V759" t="s">
        <v>13890</v>
      </c>
      <c r="W759" t="s">
        <v>13891</v>
      </c>
      <c r="X759" t="s">
        <v>13892</v>
      </c>
      <c r="Y759" t="s">
        <v>13893</v>
      </c>
      <c r="Z759" t="s">
        <v>13894</v>
      </c>
      <c r="AA759" t="s">
        <v>13895</v>
      </c>
      <c r="AB759" t="s">
        <v>13896</v>
      </c>
      <c r="AC759" t="s">
        <v>13897</v>
      </c>
      <c r="AD759" t="s">
        <v>13898</v>
      </c>
      <c r="AE759" t="s">
        <v>13899</v>
      </c>
      <c r="AF759" t="s">
        <v>74</v>
      </c>
      <c r="AG759">
        <v>74</v>
      </c>
      <c r="AH759">
        <v>82</v>
      </c>
      <c r="AI759">
        <v>91</v>
      </c>
      <c r="AJ759">
        <v>0</v>
      </c>
      <c r="AK759">
        <v>82</v>
      </c>
      <c r="AL759" t="s">
        <v>2494</v>
      </c>
      <c r="AM759" t="s">
        <v>786</v>
      </c>
      <c r="AN759" t="s">
        <v>2495</v>
      </c>
      <c r="AO759" t="s">
        <v>7672</v>
      </c>
      <c r="AP759" t="s">
        <v>7673</v>
      </c>
      <c r="AQ759" t="s">
        <v>74</v>
      </c>
      <c r="AR759" t="s">
        <v>7660</v>
      </c>
      <c r="AS759" t="s">
        <v>7674</v>
      </c>
      <c r="AT759" t="s">
        <v>74</v>
      </c>
      <c r="AU759">
        <v>2013</v>
      </c>
      <c r="AV759">
        <v>28</v>
      </c>
      <c r="AW759">
        <v>1</v>
      </c>
      <c r="AX759" t="s">
        <v>74</v>
      </c>
      <c r="AY759" t="s">
        <v>74</v>
      </c>
      <c r="AZ759" t="s">
        <v>74</v>
      </c>
      <c r="BA759" t="s">
        <v>74</v>
      </c>
      <c r="BB759" t="s">
        <v>74</v>
      </c>
      <c r="BC759" t="s">
        <v>74</v>
      </c>
      <c r="BD759" t="s">
        <v>74</v>
      </c>
      <c r="BE759" t="s">
        <v>13900</v>
      </c>
      <c r="BF759" t="str">
        <f>HYPERLINK("http://dx.doi.org/10.1002/palo.20015","http://dx.doi.org/10.1002/palo.20015")</f>
        <v>http://dx.doi.org/10.1002/palo.20015</v>
      </c>
      <c r="BG759" t="s">
        <v>74</v>
      </c>
      <c r="BH759" t="s">
        <v>74</v>
      </c>
      <c r="BI759">
        <v>12</v>
      </c>
      <c r="BJ759" t="s">
        <v>7676</v>
      </c>
      <c r="BK759" t="s">
        <v>102</v>
      </c>
      <c r="BL759" t="s">
        <v>7677</v>
      </c>
      <c r="BM759" t="s">
        <v>7678</v>
      </c>
      <c r="BN759" t="s">
        <v>74</v>
      </c>
      <c r="BO759" t="s">
        <v>13901</v>
      </c>
      <c r="BP759" t="s">
        <v>74</v>
      </c>
      <c r="BQ759" t="s">
        <v>74</v>
      </c>
      <c r="BR759" t="s">
        <v>105</v>
      </c>
      <c r="BS759" t="s">
        <v>13902</v>
      </c>
      <c r="BT759" t="str">
        <f>HYPERLINK("https%3A%2F%2Fwww.webofscience.com%2Fwos%2Fwoscc%2Ffull-record%2FWOS:000317838200005","View Full Record in Web of Science")</f>
        <v>View Full Record in Web of Science</v>
      </c>
    </row>
    <row r="760" spans="1:72" x14ac:dyDescent="0.15">
      <c r="A760" t="s">
        <v>72</v>
      </c>
      <c r="B760" t="s">
        <v>13903</v>
      </c>
      <c r="C760" t="s">
        <v>74</v>
      </c>
      <c r="D760" t="s">
        <v>74</v>
      </c>
      <c r="E760" t="s">
        <v>74</v>
      </c>
      <c r="F760" t="s">
        <v>13904</v>
      </c>
      <c r="G760" t="s">
        <v>74</v>
      </c>
      <c r="H760" t="s">
        <v>74</v>
      </c>
      <c r="I760" t="s">
        <v>13905</v>
      </c>
      <c r="J760" t="s">
        <v>7660</v>
      </c>
      <c r="K760" t="s">
        <v>74</v>
      </c>
      <c r="L760" t="s">
        <v>74</v>
      </c>
      <c r="M760" t="s">
        <v>78</v>
      </c>
      <c r="N760" t="s">
        <v>79</v>
      </c>
      <c r="O760" t="s">
        <v>74</v>
      </c>
      <c r="P760" t="s">
        <v>74</v>
      </c>
      <c r="Q760" t="s">
        <v>74</v>
      </c>
      <c r="R760" t="s">
        <v>74</v>
      </c>
      <c r="S760" t="s">
        <v>74</v>
      </c>
      <c r="T760" t="s">
        <v>74</v>
      </c>
      <c r="U760" t="s">
        <v>13906</v>
      </c>
      <c r="V760" t="s">
        <v>13907</v>
      </c>
      <c r="W760" t="s">
        <v>13908</v>
      </c>
      <c r="X760" t="s">
        <v>13909</v>
      </c>
      <c r="Y760" t="s">
        <v>13910</v>
      </c>
      <c r="Z760" t="s">
        <v>13911</v>
      </c>
      <c r="AA760" t="s">
        <v>13912</v>
      </c>
      <c r="AB760" t="s">
        <v>13913</v>
      </c>
      <c r="AC760" t="s">
        <v>13914</v>
      </c>
      <c r="AD760" t="s">
        <v>13915</v>
      </c>
      <c r="AE760" t="s">
        <v>13916</v>
      </c>
      <c r="AF760" t="s">
        <v>74</v>
      </c>
      <c r="AG760">
        <v>96</v>
      </c>
      <c r="AH760">
        <v>17</v>
      </c>
      <c r="AI760">
        <v>21</v>
      </c>
      <c r="AJ760">
        <v>1</v>
      </c>
      <c r="AK760">
        <v>34</v>
      </c>
      <c r="AL760" t="s">
        <v>2494</v>
      </c>
      <c r="AM760" t="s">
        <v>786</v>
      </c>
      <c r="AN760" t="s">
        <v>2495</v>
      </c>
      <c r="AO760" t="s">
        <v>7672</v>
      </c>
      <c r="AP760" t="s">
        <v>7673</v>
      </c>
      <c r="AQ760" t="s">
        <v>74</v>
      </c>
      <c r="AR760" t="s">
        <v>7660</v>
      </c>
      <c r="AS760" t="s">
        <v>7674</v>
      </c>
      <c r="AT760" t="s">
        <v>74</v>
      </c>
      <c r="AU760">
        <v>2013</v>
      </c>
      <c r="AV760">
        <v>28</v>
      </c>
      <c r="AW760">
        <v>1</v>
      </c>
      <c r="AX760" t="s">
        <v>74</v>
      </c>
      <c r="AY760" t="s">
        <v>74</v>
      </c>
      <c r="AZ760" t="s">
        <v>74</v>
      </c>
      <c r="BA760" t="s">
        <v>74</v>
      </c>
      <c r="BB760" t="s">
        <v>74</v>
      </c>
      <c r="BC760" t="s">
        <v>74</v>
      </c>
      <c r="BD760" t="s">
        <v>74</v>
      </c>
      <c r="BE760" t="s">
        <v>13917</v>
      </c>
      <c r="BF760" t="str">
        <f>HYPERLINK("http://dx.doi.org/10.1029/2012PA002347","http://dx.doi.org/10.1029/2012PA002347")</f>
        <v>http://dx.doi.org/10.1029/2012PA002347</v>
      </c>
      <c r="BG760" t="s">
        <v>74</v>
      </c>
      <c r="BH760" t="s">
        <v>74</v>
      </c>
      <c r="BI760">
        <v>13</v>
      </c>
      <c r="BJ760" t="s">
        <v>7676</v>
      </c>
      <c r="BK760" t="s">
        <v>102</v>
      </c>
      <c r="BL760" t="s">
        <v>7677</v>
      </c>
      <c r="BM760" t="s">
        <v>7678</v>
      </c>
      <c r="BN760" t="s">
        <v>74</v>
      </c>
      <c r="BO760" t="s">
        <v>74</v>
      </c>
      <c r="BP760" t="s">
        <v>74</v>
      </c>
      <c r="BQ760" t="s">
        <v>74</v>
      </c>
      <c r="BR760" t="s">
        <v>105</v>
      </c>
      <c r="BS760" t="s">
        <v>13918</v>
      </c>
      <c r="BT760" t="str">
        <f>HYPERLINK("https%3A%2F%2Fwww.webofscience.com%2Fwos%2Fwoscc%2Ffull-record%2FWOS:000317838200012","View Full Record in Web of Science")</f>
        <v>View Full Record in Web of Science</v>
      </c>
    </row>
    <row r="761" spans="1:72" x14ac:dyDescent="0.15">
      <c r="A761" t="s">
        <v>72</v>
      </c>
      <c r="B761" t="s">
        <v>13919</v>
      </c>
      <c r="C761" t="s">
        <v>74</v>
      </c>
      <c r="D761" t="s">
        <v>74</v>
      </c>
      <c r="E761" t="s">
        <v>74</v>
      </c>
      <c r="F761" t="s">
        <v>13920</v>
      </c>
      <c r="G761" t="s">
        <v>74</v>
      </c>
      <c r="H761" t="s">
        <v>74</v>
      </c>
      <c r="I761" t="s">
        <v>13921</v>
      </c>
      <c r="J761" t="s">
        <v>7660</v>
      </c>
      <c r="K761" t="s">
        <v>74</v>
      </c>
      <c r="L761" t="s">
        <v>74</v>
      </c>
      <c r="M761" t="s">
        <v>78</v>
      </c>
      <c r="N761" t="s">
        <v>79</v>
      </c>
      <c r="O761" t="s">
        <v>74</v>
      </c>
      <c r="P761" t="s">
        <v>74</v>
      </c>
      <c r="Q761" t="s">
        <v>74</v>
      </c>
      <c r="R761" t="s">
        <v>74</v>
      </c>
      <c r="S761" t="s">
        <v>74</v>
      </c>
      <c r="T761" t="s">
        <v>74</v>
      </c>
      <c r="U761" t="s">
        <v>13922</v>
      </c>
      <c r="V761" t="s">
        <v>13923</v>
      </c>
      <c r="W761" t="s">
        <v>13924</v>
      </c>
      <c r="X761" t="s">
        <v>13925</v>
      </c>
      <c r="Y761" t="s">
        <v>13926</v>
      </c>
      <c r="Z761" t="s">
        <v>13927</v>
      </c>
      <c r="AA761" t="s">
        <v>13928</v>
      </c>
      <c r="AB761" t="s">
        <v>13929</v>
      </c>
      <c r="AC761" t="s">
        <v>13930</v>
      </c>
      <c r="AD761" t="s">
        <v>13931</v>
      </c>
      <c r="AE761" t="s">
        <v>13932</v>
      </c>
      <c r="AF761" t="s">
        <v>74</v>
      </c>
      <c r="AG761">
        <v>77</v>
      </c>
      <c r="AH761">
        <v>12</v>
      </c>
      <c r="AI761">
        <v>13</v>
      </c>
      <c r="AJ761">
        <v>0</v>
      </c>
      <c r="AK761">
        <v>11</v>
      </c>
      <c r="AL761" t="s">
        <v>2494</v>
      </c>
      <c r="AM761" t="s">
        <v>786</v>
      </c>
      <c r="AN761" t="s">
        <v>2495</v>
      </c>
      <c r="AO761" t="s">
        <v>7672</v>
      </c>
      <c r="AP761" t="s">
        <v>7673</v>
      </c>
      <c r="AQ761" t="s">
        <v>74</v>
      </c>
      <c r="AR761" t="s">
        <v>7660</v>
      </c>
      <c r="AS761" t="s">
        <v>7674</v>
      </c>
      <c r="AT761" t="s">
        <v>74</v>
      </c>
      <c r="AU761">
        <v>2013</v>
      </c>
      <c r="AV761">
        <v>28</v>
      </c>
      <c r="AW761">
        <v>1</v>
      </c>
      <c r="AX761" t="s">
        <v>74</v>
      </c>
      <c r="AY761" t="s">
        <v>74</v>
      </c>
      <c r="AZ761" t="s">
        <v>74</v>
      </c>
      <c r="BA761" t="s">
        <v>74</v>
      </c>
      <c r="BB761" t="s">
        <v>74</v>
      </c>
      <c r="BC761" t="s">
        <v>74</v>
      </c>
      <c r="BD761" t="s">
        <v>74</v>
      </c>
      <c r="BE761" t="s">
        <v>13933</v>
      </c>
      <c r="BF761" t="str">
        <f>HYPERLINK("http://dx.doi.org/10.1029/2012PA002326","http://dx.doi.org/10.1029/2012PA002326")</f>
        <v>http://dx.doi.org/10.1029/2012PA002326</v>
      </c>
      <c r="BG761" t="s">
        <v>74</v>
      </c>
      <c r="BH761" t="s">
        <v>74</v>
      </c>
      <c r="BI761">
        <v>13</v>
      </c>
      <c r="BJ761" t="s">
        <v>7676</v>
      </c>
      <c r="BK761" t="s">
        <v>102</v>
      </c>
      <c r="BL761" t="s">
        <v>7677</v>
      </c>
      <c r="BM761" t="s">
        <v>7678</v>
      </c>
      <c r="BN761" t="s">
        <v>74</v>
      </c>
      <c r="BO761" t="s">
        <v>429</v>
      </c>
      <c r="BP761" t="s">
        <v>74</v>
      </c>
      <c r="BQ761" t="s">
        <v>74</v>
      </c>
      <c r="BR761" t="s">
        <v>105</v>
      </c>
      <c r="BS761" t="s">
        <v>13934</v>
      </c>
      <c r="BT761" t="str">
        <f>HYPERLINK("https%3A%2F%2Fwww.webofscience.com%2Fwos%2Fwoscc%2Ffull-record%2FWOS:000317838200001","View Full Record in Web of Science")</f>
        <v>View Full Record in Web of Science</v>
      </c>
    </row>
    <row r="762" spans="1:72" x14ac:dyDescent="0.15">
      <c r="A762" t="s">
        <v>72</v>
      </c>
      <c r="B762" t="s">
        <v>13935</v>
      </c>
      <c r="C762" t="s">
        <v>74</v>
      </c>
      <c r="D762" t="s">
        <v>74</v>
      </c>
      <c r="E762" t="s">
        <v>74</v>
      </c>
      <c r="F762" t="s">
        <v>13936</v>
      </c>
      <c r="G762" t="s">
        <v>74</v>
      </c>
      <c r="H762" t="s">
        <v>74</v>
      </c>
      <c r="I762" t="s">
        <v>13937</v>
      </c>
      <c r="J762" t="s">
        <v>7660</v>
      </c>
      <c r="K762" t="s">
        <v>74</v>
      </c>
      <c r="L762" t="s">
        <v>74</v>
      </c>
      <c r="M762" t="s">
        <v>78</v>
      </c>
      <c r="N762" t="s">
        <v>79</v>
      </c>
      <c r="O762" t="s">
        <v>74</v>
      </c>
      <c r="P762" t="s">
        <v>74</v>
      </c>
      <c r="Q762" t="s">
        <v>74</v>
      </c>
      <c r="R762" t="s">
        <v>74</v>
      </c>
      <c r="S762" t="s">
        <v>74</v>
      </c>
      <c r="T762" t="s">
        <v>74</v>
      </c>
      <c r="U762" t="s">
        <v>13938</v>
      </c>
      <c r="V762" t="s">
        <v>13939</v>
      </c>
      <c r="W762" t="s">
        <v>13940</v>
      </c>
      <c r="X762" t="s">
        <v>13941</v>
      </c>
      <c r="Y762" t="s">
        <v>13942</v>
      </c>
      <c r="Z762" t="s">
        <v>13943</v>
      </c>
      <c r="AA762" t="s">
        <v>13944</v>
      </c>
      <c r="AB762" t="s">
        <v>13945</v>
      </c>
      <c r="AC762" t="s">
        <v>13946</v>
      </c>
      <c r="AD762" t="s">
        <v>13947</v>
      </c>
      <c r="AE762" t="s">
        <v>13948</v>
      </c>
      <c r="AF762" t="s">
        <v>74</v>
      </c>
      <c r="AG762">
        <v>81</v>
      </c>
      <c r="AH762">
        <v>119</v>
      </c>
      <c r="AI762">
        <v>124</v>
      </c>
      <c r="AJ762">
        <v>2</v>
      </c>
      <c r="AK762">
        <v>58</v>
      </c>
      <c r="AL762" t="s">
        <v>2494</v>
      </c>
      <c r="AM762" t="s">
        <v>786</v>
      </c>
      <c r="AN762" t="s">
        <v>2495</v>
      </c>
      <c r="AO762" t="s">
        <v>7672</v>
      </c>
      <c r="AP762" t="s">
        <v>7673</v>
      </c>
      <c r="AQ762" t="s">
        <v>74</v>
      </c>
      <c r="AR762" t="s">
        <v>7660</v>
      </c>
      <c r="AS762" t="s">
        <v>7674</v>
      </c>
      <c r="AT762" t="s">
        <v>74</v>
      </c>
      <c r="AU762">
        <v>2013</v>
      </c>
      <c r="AV762">
        <v>28</v>
      </c>
      <c r="AW762">
        <v>1</v>
      </c>
      <c r="AX762" t="s">
        <v>74</v>
      </c>
      <c r="AY762" t="s">
        <v>74</v>
      </c>
      <c r="AZ762" t="s">
        <v>74</v>
      </c>
      <c r="BA762" t="s">
        <v>74</v>
      </c>
      <c r="BB762" t="s">
        <v>74</v>
      </c>
      <c r="BC762" t="s">
        <v>74</v>
      </c>
      <c r="BD762" t="s">
        <v>74</v>
      </c>
      <c r="BE762" t="s">
        <v>13949</v>
      </c>
      <c r="BF762" t="str">
        <f>HYPERLINK("http://dx.doi.org/10.1002/palo.20017","http://dx.doi.org/10.1002/palo.20017")</f>
        <v>http://dx.doi.org/10.1002/palo.20017</v>
      </c>
      <c r="BG762" t="s">
        <v>74</v>
      </c>
      <c r="BH762" t="s">
        <v>74</v>
      </c>
      <c r="BI762">
        <v>15</v>
      </c>
      <c r="BJ762" t="s">
        <v>7676</v>
      </c>
      <c r="BK762" t="s">
        <v>102</v>
      </c>
      <c r="BL762" t="s">
        <v>7677</v>
      </c>
      <c r="BM762" t="s">
        <v>7678</v>
      </c>
      <c r="BN762" t="s">
        <v>74</v>
      </c>
      <c r="BO762" t="s">
        <v>10449</v>
      </c>
      <c r="BP762" t="s">
        <v>74</v>
      </c>
      <c r="BQ762" t="s">
        <v>74</v>
      </c>
      <c r="BR762" t="s">
        <v>105</v>
      </c>
      <c r="BS762" t="s">
        <v>13950</v>
      </c>
      <c r="BT762" t="str">
        <f>HYPERLINK("https%3A%2F%2Fwww.webofscience.com%2Fwos%2Fwoscc%2Ffull-record%2FWOS:000317838200017","View Full Record in Web of Science")</f>
        <v>View Full Record in Web of Science</v>
      </c>
    </row>
    <row r="763" spans="1:72" x14ac:dyDescent="0.15">
      <c r="A763" t="s">
        <v>72</v>
      </c>
      <c r="B763" t="s">
        <v>13951</v>
      </c>
      <c r="C763" t="s">
        <v>74</v>
      </c>
      <c r="D763" t="s">
        <v>74</v>
      </c>
      <c r="E763" t="s">
        <v>74</v>
      </c>
      <c r="F763" t="s">
        <v>13952</v>
      </c>
      <c r="G763" t="s">
        <v>74</v>
      </c>
      <c r="H763" t="s">
        <v>74</v>
      </c>
      <c r="I763" t="s">
        <v>13953</v>
      </c>
      <c r="J763" t="s">
        <v>7660</v>
      </c>
      <c r="K763" t="s">
        <v>74</v>
      </c>
      <c r="L763" t="s">
        <v>74</v>
      </c>
      <c r="M763" t="s">
        <v>78</v>
      </c>
      <c r="N763" t="s">
        <v>79</v>
      </c>
      <c r="O763" t="s">
        <v>74</v>
      </c>
      <c r="P763" t="s">
        <v>74</v>
      </c>
      <c r="Q763" t="s">
        <v>74</v>
      </c>
      <c r="R763" t="s">
        <v>74</v>
      </c>
      <c r="S763" t="s">
        <v>74</v>
      </c>
      <c r="T763" t="s">
        <v>74</v>
      </c>
      <c r="U763" t="s">
        <v>13954</v>
      </c>
      <c r="V763" t="s">
        <v>13955</v>
      </c>
      <c r="W763" t="s">
        <v>13956</v>
      </c>
      <c r="X763" t="s">
        <v>13957</v>
      </c>
      <c r="Y763" t="s">
        <v>13958</v>
      </c>
      <c r="Z763" t="s">
        <v>13959</v>
      </c>
      <c r="AA763" t="s">
        <v>13960</v>
      </c>
      <c r="AB763" t="s">
        <v>13961</v>
      </c>
      <c r="AC763" t="s">
        <v>74</v>
      </c>
      <c r="AD763" t="s">
        <v>74</v>
      </c>
      <c r="AE763" t="s">
        <v>74</v>
      </c>
      <c r="AF763" t="s">
        <v>74</v>
      </c>
      <c r="AG763">
        <v>76</v>
      </c>
      <c r="AH763">
        <v>11</v>
      </c>
      <c r="AI763">
        <v>11</v>
      </c>
      <c r="AJ763">
        <v>0</v>
      </c>
      <c r="AK763">
        <v>21</v>
      </c>
      <c r="AL763" t="s">
        <v>2494</v>
      </c>
      <c r="AM763" t="s">
        <v>786</v>
      </c>
      <c r="AN763" t="s">
        <v>2495</v>
      </c>
      <c r="AO763" t="s">
        <v>7672</v>
      </c>
      <c r="AP763" t="s">
        <v>7673</v>
      </c>
      <c r="AQ763" t="s">
        <v>74</v>
      </c>
      <c r="AR763" t="s">
        <v>7660</v>
      </c>
      <c r="AS763" t="s">
        <v>7674</v>
      </c>
      <c r="AT763" t="s">
        <v>74</v>
      </c>
      <c r="AU763">
        <v>2013</v>
      </c>
      <c r="AV763">
        <v>28</v>
      </c>
      <c r="AW763">
        <v>1</v>
      </c>
      <c r="AX763" t="s">
        <v>74</v>
      </c>
      <c r="AY763" t="s">
        <v>74</v>
      </c>
      <c r="AZ763" t="s">
        <v>74</v>
      </c>
      <c r="BA763" t="s">
        <v>74</v>
      </c>
      <c r="BB763" t="s">
        <v>74</v>
      </c>
      <c r="BC763" t="s">
        <v>74</v>
      </c>
      <c r="BD763" t="s">
        <v>74</v>
      </c>
      <c r="BE763" t="s">
        <v>13962</v>
      </c>
      <c r="BF763" t="str">
        <f>HYPERLINK("http://dx.doi.org/10.1002/palo.20021","http://dx.doi.org/10.1002/palo.20021")</f>
        <v>http://dx.doi.org/10.1002/palo.20021</v>
      </c>
      <c r="BG763" t="s">
        <v>74</v>
      </c>
      <c r="BH763" t="s">
        <v>74</v>
      </c>
      <c r="BI763">
        <v>10</v>
      </c>
      <c r="BJ763" t="s">
        <v>7676</v>
      </c>
      <c r="BK763" t="s">
        <v>102</v>
      </c>
      <c r="BL763" t="s">
        <v>7677</v>
      </c>
      <c r="BM763" t="s">
        <v>7678</v>
      </c>
      <c r="BN763" t="s">
        <v>74</v>
      </c>
      <c r="BO763" t="s">
        <v>128</v>
      </c>
      <c r="BP763" t="s">
        <v>74</v>
      </c>
      <c r="BQ763" t="s">
        <v>74</v>
      </c>
      <c r="BR763" t="s">
        <v>105</v>
      </c>
      <c r="BS763" t="s">
        <v>13963</v>
      </c>
      <c r="BT763" t="str">
        <f>HYPERLINK("https%3A%2F%2Fwww.webofscience.com%2Fwos%2Fwoscc%2Ffull-record%2FWOS:000317838200016","View Full Record in Web of Science")</f>
        <v>View Full Record in Web of Science</v>
      </c>
    </row>
    <row r="764" spans="1:72" x14ac:dyDescent="0.15">
      <c r="A764" t="s">
        <v>3251</v>
      </c>
      <c r="B764" t="s">
        <v>13964</v>
      </c>
      <c r="C764" t="s">
        <v>74</v>
      </c>
      <c r="D764" t="s">
        <v>7421</v>
      </c>
      <c r="E764" t="s">
        <v>74</v>
      </c>
      <c r="F764" t="s">
        <v>13965</v>
      </c>
      <c r="G764" t="s">
        <v>74</v>
      </c>
      <c r="H764" t="s">
        <v>74</v>
      </c>
      <c r="I764" t="s">
        <v>13966</v>
      </c>
      <c r="J764" t="s">
        <v>7424</v>
      </c>
      <c r="K764" t="s">
        <v>74</v>
      </c>
      <c r="L764" t="s">
        <v>74</v>
      </c>
      <c r="M764" t="s">
        <v>78</v>
      </c>
      <c r="N764" t="s">
        <v>3258</v>
      </c>
      <c r="O764" t="s">
        <v>74</v>
      </c>
      <c r="P764" t="s">
        <v>74</v>
      </c>
      <c r="Q764" t="s">
        <v>74</v>
      </c>
      <c r="R764" t="s">
        <v>74</v>
      </c>
      <c r="S764" t="s">
        <v>74</v>
      </c>
      <c r="T764" t="s">
        <v>74</v>
      </c>
      <c r="U764" t="s">
        <v>13967</v>
      </c>
      <c r="V764" t="s">
        <v>74</v>
      </c>
      <c r="W764" t="s">
        <v>13968</v>
      </c>
      <c r="X764" t="s">
        <v>13969</v>
      </c>
      <c r="Y764" t="s">
        <v>13970</v>
      </c>
      <c r="Z764" t="s">
        <v>13971</v>
      </c>
      <c r="AA764" t="s">
        <v>13972</v>
      </c>
      <c r="AB764" t="s">
        <v>13973</v>
      </c>
      <c r="AC764" t="s">
        <v>74</v>
      </c>
      <c r="AD764" t="s">
        <v>74</v>
      </c>
      <c r="AE764" t="s">
        <v>74</v>
      </c>
      <c r="AF764" t="s">
        <v>74</v>
      </c>
      <c r="AG764">
        <v>88</v>
      </c>
      <c r="AH764">
        <v>20</v>
      </c>
      <c r="AI764">
        <v>20</v>
      </c>
      <c r="AJ764">
        <v>0</v>
      </c>
      <c r="AK764">
        <v>22</v>
      </c>
      <c r="AL764" t="s">
        <v>7430</v>
      </c>
      <c r="AM764" t="s">
        <v>7431</v>
      </c>
      <c r="AN764" t="s">
        <v>7432</v>
      </c>
      <c r="AO764" t="s">
        <v>74</v>
      </c>
      <c r="AP764" t="s">
        <v>74</v>
      </c>
      <c r="AQ764" t="s">
        <v>7433</v>
      </c>
      <c r="AR764" t="s">
        <v>74</v>
      </c>
      <c r="AS764" t="s">
        <v>74</v>
      </c>
      <c r="AT764" t="s">
        <v>74</v>
      </c>
      <c r="AU764">
        <v>2013</v>
      </c>
      <c r="AV764" t="s">
        <v>74</v>
      </c>
      <c r="AW764" t="s">
        <v>74</v>
      </c>
      <c r="AX764" t="s">
        <v>74</v>
      </c>
      <c r="AY764" t="s">
        <v>74</v>
      </c>
      <c r="AZ764" t="s">
        <v>74</v>
      </c>
      <c r="BA764" t="s">
        <v>74</v>
      </c>
      <c r="BB764">
        <v>7</v>
      </c>
      <c r="BC764">
        <v>22</v>
      </c>
      <c r="BD764" t="s">
        <v>74</v>
      </c>
      <c r="BE764" t="s">
        <v>74</v>
      </c>
      <c r="BF764" t="s">
        <v>74</v>
      </c>
      <c r="BG764" t="s">
        <v>74</v>
      </c>
      <c r="BH764" t="s">
        <v>74</v>
      </c>
      <c r="BI764">
        <v>16</v>
      </c>
      <c r="BJ764" t="s">
        <v>7434</v>
      </c>
      <c r="BK764" t="s">
        <v>3379</v>
      </c>
      <c r="BL764" t="s">
        <v>7435</v>
      </c>
      <c r="BM764" t="s">
        <v>7436</v>
      </c>
      <c r="BN764" t="s">
        <v>74</v>
      </c>
      <c r="BO764" t="s">
        <v>74</v>
      </c>
      <c r="BP764" t="s">
        <v>74</v>
      </c>
      <c r="BQ764" t="s">
        <v>74</v>
      </c>
      <c r="BR764" t="s">
        <v>105</v>
      </c>
      <c r="BS764" t="s">
        <v>13974</v>
      </c>
      <c r="BT764" t="str">
        <f>HYPERLINK("https%3A%2F%2Fwww.webofscience.com%2Fwos%2Fwoscc%2Ffull-record%2FWOS:000318737300001","View Full Record in Web of Science")</f>
        <v>View Full Record in Web of Science</v>
      </c>
    </row>
    <row r="765" spans="1:72" x14ac:dyDescent="0.15">
      <c r="A765" t="s">
        <v>3251</v>
      </c>
      <c r="B765" t="s">
        <v>13975</v>
      </c>
      <c r="C765" t="s">
        <v>74</v>
      </c>
      <c r="D765" t="s">
        <v>7421</v>
      </c>
      <c r="E765" t="s">
        <v>74</v>
      </c>
      <c r="F765" t="s">
        <v>13976</v>
      </c>
      <c r="G765" t="s">
        <v>74</v>
      </c>
      <c r="H765" t="s">
        <v>74</v>
      </c>
      <c r="I765" t="s">
        <v>13977</v>
      </c>
      <c r="J765" t="s">
        <v>7424</v>
      </c>
      <c r="K765" t="s">
        <v>74</v>
      </c>
      <c r="L765" t="s">
        <v>74</v>
      </c>
      <c r="M765" t="s">
        <v>78</v>
      </c>
      <c r="N765" t="s">
        <v>3258</v>
      </c>
      <c r="O765" t="s">
        <v>74</v>
      </c>
      <c r="P765" t="s">
        <v>74</v>
      </c>
      <c r="Q765" t="s">
        <v>74</v>
      </c>
      <c r="R765" t="s">
        <v>74</v>
      </c>
      <c r="S765" t="s">
        <v>74</v>
      </c>
      <c r="T765" t="s">
        <v>74</v>
      </c>
      <c r="U765" t="s">
        <v>13978</v>
      </c>
      <c r="V765" t="s">
        <v>74</v>
      </c>
      <c r="W765" t="s">
        <v>13979</v>
      </c>
      <c r="X765" t="s">
        <v>13980</v>
      </c>
      <c r="Y765" t="s">
        <v>13981</v>
      </c>
      <c r="Z765" t="s">
        <v>1202</v>
      </c>
      <c r="AA765" t="s">
        <v>74</v>
      </c>
      <c r="AB765" t="s">
        <v>74</v>
      </c>
      <c r="AC765" t="s">
        <v>74</v>
      </c>
      <c r="AD765" t="s">
        <v>74</v>
      </c>
      <c r="AE765" t="s">
        <v>74</v>
      </c>
      <c r="AF765" t="s">
        <v>74</v>
      </c>
      <c r="AG765">
        <v>115</v>
      </c>
      <c r="AH765">
        <v>23</v>
      </c>
      <c r="AI765">
        <v>26</v>
      </c>
      <c r="AJ765">
        <v>0</v>
      </c>
      <c r="AK765">
        <v>13</v>
      </c>
      <c r="AL765" t="s">
        <v>7430</v>
      </c>
      <c r="AM765" t="s">
        <v>7431</v>
      </c>
      <c r="AN765" t="s">
        <v>7432</v>
      </c>
      <c r="AO765" t="s">
        <v>74</v>
      </c>
      <c r="AP765" t="s">
        <v>74</v>
      </c>
      <c r="AQ765" t="s">
        <v>7433</v>
      </c>
      <c r="AR765" t="s">
        <v>74</v>
      </c>
      <c r="AS765" t="s">
        <v>74</v>
      </c>
      <c r="AT765" t="s">
        <v>74</v>
      </c>
      <c r="AU765">
        <v>2013</v>
      </c>
      <c r="AV765" t="s">
        <v>74</v>
      </c>
      <c r="AW765" t="s">
        <v>74</v>
      </c>
      <c r="AX765" t="s">
        <v>74</v>
      </c>
      <c r="AY765" t="s">
        <v>74</v>
      </c>
      <c r="AZ765" t="s">
        <v>74</v>
      </c>
      <c r="BA765" t="s">
        <v>74</v>
      </c>
      <c r="BB765">
        <v>73</v>
      </c>
      <c r="BC765">
        <v>90</v>
      </c>
      <c r="BD765" t="s">
        <v>74</v>
      </c>
      <c r="BE765" t="s">
        <v>74</v>
      </c>
      <c r="BF765" t="s">
        <v>74</v>
      </c>
      <c r="BG765" t="s">
        <v>74</v>
      </c>
      <c r="BH765" t="s">
        <v>74</v>
      </c>
      <c r="BI765">
        <v>18</v>
      </c>
      <c r="BJ765" t="s">
        <v>7434</v>
      </c>
      <c r="BK765" t="s">
        <v>3379</v>
      </c>
      <c r="BL765" t="s">
        <v>7435</v>
      </c>
      <c r="BM765" t="s">
        <v>7436</v>
      </c>
      <c r="BN765" t="s">
        <v>74</v>
      </c>
      <c r="BO765" t="s">
        <v>74</v>
      </c>
      <c r="BP765" t="s">
        <v>74</v>
      </c>
      <c r="BQ765" t="s">
        <v>74</v>
      </c>
      <c r="BR765" t="s">
        <v>105</v>
      </c>
      <c r="BS765" t="s">
        <v>13982</v>
      </c>
      <c r="BT765" t="str">
        <f>HYPERLINK("https%3A%2F%2Fwww.webofscience.com%2Fwos%2Fwoscc%2Ffull-record%2FWOS:000318737300005","View Full Record in Web of Science")</f>
        <v>View Full Record in Web of Science</v>
      </c>
    </row>
    <row r="766" spans="1:72" x14ac:dyDescent="0.15">
      <c r="A766" t="s">
        <v>3251</v>
      </c>
      <c r="B766" t="s">
        <v>13983</v>
      </c>
      <c r="C766" t="s">
        <v>74</v>
      </c>
      <c r="D766" t="s">
        <v>7421</v>
      </c>
      <c r="E766" t="s">
        <v>74</v>
      </c>
      <c r="F766" t="s">
        <v>13984</v>
      </c>
      <c r="G766" t="s">
        <v>74</v>
      </c>
      <c r="H766" t="s">
        <v>74</v>
      </c>
      <c r="I766" t="s">
        <v>13985</v>
      </c>
      <c r="J766" t="s">
        <v>7424</v>
      </c>
      <c r="K766" t="s">
        <v>74</v>
      </c>
      <c r="L766" t="s">
        <v>74</v>
      </c>
      <c r="M766" t="s">
        <v>78</v>
      </c>
      <c r="N766" t="s">
        <v>3258</v>
      </c>
      <c r="O766" t="s">
        <v>74</v>
      </c>
      <c r="P766" t="s">
        <v>74</v>
      </c>
      <c r="Q766" t="s">
        <v>74</v>
      </c>
      <c r="R766" t="s">
        <v>74</v>
      </c>
      <c r="S766" t="s">
        <v>74</v>
      </c>
      <c r="T766" t="s">
        <v>74</v>
      </c>
      <c r="U766" t="s">
        <v>13986</v>
      </c>
      <c r="V766" t="s">
        <v>74</v>
      </c>
      <c r="W766" t="s">
        <v>13987</v>
      </c>
      <c r="X766" t="s">
        <v>8238</v>
      </c>
      <c r="Y766" t="s">
        <v>13988</v>
      </c>
      <c r="Z766" t="s">
        <v>13989</v>
      </c>
      <c r="AA766" t="s">
        <v>74</v>
      </c>
      <c r="AB766" t="s">
        <v>74</v>
      </c>
      <c r="AC766" t="s">
        <v>74</v>
      </c>
      <c r="AD766" t="s">
        <v>74</v>
      </c>
      <c r="AE766" t="s">
        <v>74</v>
      </c>
      <c r="AF766" t="s">
        <v>74</v>
      </c>
      <c r="AG766">
        <v>99</v>
      </c>
      <c r="AH766">
        <v>23</v>
      </c>
      <c r="AI766">
        <v>23</v>
      </c>
      <c r="AJ766">
        <v>0</v>
      </c>
      <c r="AK766">
        <v>11</v>
      </c>
      <c r="AL766" t="s">
        <v>7430</v>
      </c>
      <c r="AM766" t="s">
        <v>7431</v>
      </c>
      <c r="AN766" t="s">
        <v>7432</v>
      </c>
      <c r="AO766" t="s">
        <v>74</v>
      </c>
      <c r="AP766" t="s">
        <v>74</v>
      </c>
      <c r="AQ766" t="s">
        <v>7433</v>
      </c>
      <c r="AR766" t="s">
        <v>74</v>
      </c>
      <c r="AS766" t="s">
        <v>74</v>
      </c>
      <c r="AT766" t="s">
        <v>74</v>
      </c>
      <c r="AU766">
        <v>2013</v>
      </c>
      <c r="AV766" t="s">
        <v>74</v>
      </c>
      <c r="AW766" t="s">
        <v>74</v>
      </c>
      <c r="AX766" t="s">
        <v>74</v>
      </c>
      <c r="AY766" t="s">
        <v>74</v>
      </c>
      <c r="AZ766" t="s">
        <v>74</v>
      </c>
      <c r="BA766" t="s">
        <v>74</v>
      </c>
      <c r="BB766">
        <v>113</v>
      </c>
      <c r="BC766">
        <v>130</v>
      </c>
      <c r="BD766" t="s">
        <v>74</v>
      </c>
      <c r="BE766" t="s">
        <v>74</v>
      </c>
      <c r="BF766" t="s">
        <v>74</v>
      </c>
      <c r="BG766" t="s">
        <v>74</v>
      </c>
      <c r="BH766" t="s">
        <v>74</v>
      </c>
      <c r="BI766">
        <v>18</v>
      </c>
      <c r="BJ766" t="s">
        <v>7434</v>
      </c>
      <c r="BK766" t="s">
        <v>3379</v>
      </c>
      <c r="BL766" t="s">
        <v>7435</v>
      </c>
      <c r="BM766" t="s">
        <v>7436</v>
      </c>
      <c r="BN766" t="s">
        <v>74</v>
      </c>
      <c r="BO766" t="s">
        <v>74</v>
      </c>
      <c r="BP766" t="s">
        <v>74</v>
      </c>
      <c r="BQ766" t="s">
        <v>74</v>
      </c>
      <c r="BR766" t="s">
        <v>105</v>
      </c>
      <c r="BS766" t="s">
        <v>13990</v>
      </c>
      <c r="BT766" t="str">
        <f>HYPERLINK("https%3A%2F%2Fwww.webofscience.com%2Fwos%2Fwoscc%2Ffull-record%2FWOS:000318737300007","View Full Record in Web of Science")</f>
        <v>View Full Record in Web of Science</v>
      </c>
    </row>
    <row r="767" spans="1:72" x14ac:dyDescent="0.15">
      <c r="A767" t="s">
        <v>3251</v>
      </c>
      <c r="B767" t="s">
        <v>13991</v>
      </c>
      <c r="C767" t="s">
        <v>74</v>
      </c>
      <c r="D767" t="s">
        <v>7421</v>
      </c>
      <c r="E767" t="s">
        <v>74</v>
      </c>
      <c r="F767" t="s">
        <v>13992</v>
      </c>
      <c r="G767" t="s">
        <v>74</v>
      </c>
      <c r="H767" t="s">
        <v>74</v>
      </c>
      <c r="I767" t="s">
        <v>13993</v>
      </c>
      <c r="J767" t="s">
        <v>7424</v>
      </c>
      <c r="K767" t="s">
        <v>74</v>
      </c>
      <c r="L767" t="s">
        <v>74</v>
      </c>
      <c r="M767" t="s">
        <v>78</v>
      </c>
      <c r="N767" t="s">
        <v>3258</v>
      </c>
      <c r="O767" t="s">
        <v>74</v>
      </c>
      <c r="P767" t="s">
        <v>74</v>
      </c>
      <c r="Q767" t="s">
        <v>74</v>
      </c>
      <c r="R767" t="s">
        <v>74</v>
      </c>
      <c r="S767" t="s">
        <v>74</v>
      </c>
      <c r="T767" t="s">
        <v>74</v>
      </c>
      <c r="U767" t="s">
        <v>13994</v>
      </c>
      <c r="V767" t="s">
        <v>74</v>
      </c>
      <c r="W767" t="s">
        <v>13995</v>
      </c>
      <c r="X767" t="s">
        <v>13996</v>
      </c>
      <c r="Y767" t="s">
        <v>13997</v>
      </c>
      <c r="Z767" t="s">
        <v>13998</v>
      </c>
      <c r="AA767" t="s">
        <v>74</v>
      </c>
      <c r="AB767" t="s">
        <v>74</v>
      </c>
      <c r="AC767" t="s">
        <v>74</v>
      </c>
      <c r="AD767" t="s">
        <v>74</v>
      </c>
      <c r="AE767" t="s">
        <v>74</v>
      </c>
      <c r="AF767" t="s">
        <v>74</v>
      </c>
      <c r="AG767">
        <v>145</v>
      </c>
      <c r="AH767">
        <v>11</v>
      </c>
      <c r="AI767">
        <v>11</v>
      </c>
      <c r="AJ767">
        <v>4</v>
      </c>
      <c r="AK767">
        <v>14</v>
      </c>
      <c r="AL767" t="s">
        <v>7430</v>
      </c>
      <c r="AM767" t="s">
        <v>7431</v>
      </c>
      <c r="AN767" t="s">
        <v>7432</v>
      </c>
      <c r="AO767" t="s">
        <v>74</v>
      </c>
      <c r="AP767" t="s">
        <v>74</v>
      </c>
      <c r="AQ767" t="s">
        <v>7433</v>
      </c>
      <c r="AR767" t="s">
        <v>74</v>
      </c>
      <c r="AS767" t="s">
        <v>74</v>
      </c>
      <c r="AT767" t="s">
        <v>74</v>
      </c>
      <c r="AU767">
        <v>2013</v>
      </c>
      <c r="AV767" t="s">
        <v>74</v>
      </c>
      <c r="AW767" t="s">
        <v>74</v>
      </c>
      <c r="AX767" t="s">
        <v>74</v>
      </c>
      <c r="AY767" t="s">
        <v>74</v>
      </c>
      <c r="AZ767" t="s">
        <v>74</v>
      </c>
      <c r="BA767" t="s">
        <v>74</v>
      </c>
      <c r="BB767">
        <v>185</v>
      </c>
      <c r="BC767">
        <v>210</v>
      </c>
      <c r="BD767" t="s">
        <v>74</v>
      </c>
      <c r="BE767" t="s">
        <v>74</v>
      </c>
      <c r="BF767" t="s">
        <v>74</v>
      </c>
      <c r="BG767" t="s">
        <v>74</v>
      </c>
      <c r="BH767" t="s">
        <v>74</v>
      </c>
      <c r="BI767">
        <v>26</v>
      </c>
      <c r="BJ767" t="s">
        <v>7434</v>
      </c>
      <c r="BK767" t="s">
        <v>3379</v>
      </c>
      <c r="BL767" t="s">
        <v>7435</v>
      </c>
      <c r="BM767" t="s">
        <v>7436</v>
      </c>
      <c r="BN767" t="s">
        <v>74</v>
      </c>
      <c r="BO767" t="s">
        <v>74</v>
      </c>
      <c r="BP767" t="s">
        <v>74</v>
      </c>
      <c r="BQ767" t="s">
        <v>74</v>
      </c>
      <c r="BR767" t="s">
        <v>105</v>
      </c>
      <c r="BS767" t="s">
        <v>13999</v>
      </c>
      <c r="BT767" t="str">
        <f>HYPERLINK("https%3A%2F%2Fwww.webofscience.com%2Fwos%2Fwoscc%2Ffull-record%2FWOS:000318737300012","View Full Record in Web of Science")</f>
        <v>View Full Record in Web of Science</v>
      </c>
    </row>
    <row r="768" spans="1:72" x14ac:dyDescent="0.15">
      <c r="A768" t="s">
        <v>3251</v>
      </c>
      <c r="B768" t="s">
        <v>14000</v>
      </c>
      <c r="C768" t="s">
        <v>74</v>
      </c>
      <c r="D768" t="s">
        <v>7421</v>
      </c>
      <c r="E768" t="s">
        <v>74</v>
      </c>
      <c r="F768" t="s">
        <v>14001</v>
      </c>
      <c r="G768" t="s">
        <v>74</v>
      </c>
      <c r="H768" t="s">
        <v>74</v>
      </c>
      <c r="I768" t="s">
        <v>14002</v>
      </c>
      <c r="J768" t="s">
        <v>7424</v>
      </c>
      <c r="K768" t="s">
        <v>74</v>
      </c>
      <c r="L768" t="s">
        <v>74</v>
      </c>
      <c r="M768" t="s">
        <v>78</v>
      </c>
      <c r="N768" t="s">
        <v>3258</v>
      </c>
      <c r="O768" t="s">
        <v>74</v>
      </c>
      <c r="P768" t="s">
        <v>74</v>
      </c>
      <c r="Q768" t="s">
        <v>74</v>
      </c>
      <c r="R768" t="s">
        <v>74</v>
      </c>
      <c r="S768" t="s">
        <v>74</v>
      </c>
      <c r="T768" t="s">
        <v>74</v>
      </c>
      <c r="U768" t="s">
        <v>14003</v>
      </c>
      <c r="V768" t="s">
        <v>74</v>
      </c>
      <c r="W768" t="s">
        <v>14004</v>
      </c>
      <c r="X768" t="s">
        <v>14005</v>
      </c>
      <c r="Y768" t="s">
        <v>14006</v>
      </c>
      <c r="Z768" t="s">
        <v>14007</v>
      </c>
      <c r="AA768" t="s">
        <v>74</v>
      </c>
      <c r="AB768" t="s">
        <v>74</v>
      </c>
      <c r="AC768" t="s">
        <v>74</v>
      </c>
      <c r="AD768" t="s">
        <v>74</v>
      </c>
      <c r="AE768" t="s">
        <v>74</v>
      </c>
      <c r="AF768" t="s">
        <v>74</v>
      </c>
      <c r="AG768">
        <v>202</v>
      </c>
      <c r="AH768">
        <v>78</v>
      </c>
      <c r="AI768">
        <v>82</v>
      </c>
      <c r="AJ768">
        <v>0</v>
      </c>
      <c r="AK768">
        <v>9</v>
      </c>
      <c r="AL768" t="s">
        <v>7430</v>
      </c>
      <c r="AM768" t="s">
        <v>7431</v>
      </c>
      <c r="AN768" t="s">
        <v>7432</v>
      </c>
      <c r="AO768" t="s">
        <v>74</v>
      </c>
      <c r="AP768" t="s">
        <v>74</v>
      </c>
      <c r="AQ768" t="s">
        <v>7433</v>
      </c>
      <c r="AR768" t="s">
        <v>74</v>
      </c>
      <c r="AS768" t="s">
        <v>74</v>
      </c>
      <c r="AT768" t="s">
        <v>74</v>
      </c>
      <c r="AU768">
        <v>2013</v>
      </c>
      <c r="AV768" t="s">
        <v>74</v>
      </c>
      <c r="AW768" t="s">
        <v>74</v>
      </c>
      <c r="AX768" t="s">
        <v>74</v>
      </c>
      <c r="AY768" t="s">
        <v>74</v>
      </c>
      <c r="AZ768" t="s">
        <v>74</v>
      </c>
      <c r="BA768" t="s">
        <v>74</v>
      </c>
      <c r="BB768">
        <v>233</v>
      </c>
      <c r="BC768">
        <v>264</v>
      </c>
      <c r="BD768" t="s">
        <v>74</v>
      </c>
      <c r="BE768" t="s">
        <v>74</v>
      </c>
      <c r="BF768" t="s">
        <v>74</v>
      </c>
      <c r="BG768" t="s">
        <v>74</v>
      </c>
      <c r="BH768" t="s">
        <v>74</v>
      </c>
      <c r="BI768">
        <v>32</v>
      </c>
      <c r="BJ768" t="s">
        <v>7434</v>
      </c>
      <c r="BK768" t="s">
        <v>3379</v>
      </c>
      <c r="BL768" t="s">
        <v>7435</v>
      </c>
      <c r="BM768" t="s">
        <v>7436</v>
      </c>
      <c r="BN768" t="s">
        <v>74</v>
      </c>
      <c r="BO768" t="s">
        <v>74</v>
      </c>
      <c r="BP768" t="s">
        <v>74</v>
      </c>
      <c r="BQ768" t="s">
        <v>74</v>
      </c>
      <c r="BR768" t="s">
        <v>105</v>
      </c>
      <c r="BS768" t="s">
        <v>14008</v>
      </c>
      <c r="BT768" t="str">
        <f>HYPERLINK("https%3A%2F%2Fwww.webofscience.com%2Fwos%2Fwoscc%2Ffull-record%2FWOS:000318737300014","View Full Record in Web of Science")</f>
        <v>View Full Record in Web of Science</v>
      </c>
    </row>
    <row r="769" spans="1:72" x14ac:dyDescent="0.15">
      <c r="A769" t="s">
        <v>72</v>
      </c>
      <c r="B769" t="s">
        <v>14009</v>
      </c>
      <c r="C769" t="s">
        <v>74</v>
      </c>
      <c r="D769" t="s">
        <v>74</v>
      </c>
      <c r="E769" t="s">
        <v>74</v>
      </c>
      <c r="F769" t="s">
        <v>14010</v>
      </c>
      <c r="G769" t="s">
        <v>74</v>
      </c>
      <c r="H769" t="s">
        <v>74</v>
      </c>
      <c r="I769" t="s">
        <v>14011</v>
      </c>
      <c r="J769" t="s">
        <v>14012</v>
      </c>
      <c r="K769" t="s">
        <v>74</v>
      </c>
      <c r="L769" t="s">
        <v>74</v>
      </c>
      <c r="M769" t="s">
        <v>78</v>
      </c>
      <c r="N769" t="s">
        <v>79</v>
      </c>
      <c r="O769" t="s">
        <v>74</v>
      </c>
      <c r="P769" t="s">
        <v>74</v>
      </c>
      <c r="Q769" t="s">
        <v>74</v>
      </c>
      <c r="R769" t="s">
        <v>74</v>
      </c>
      <c r="S769" t="s">
        <v>74</v>
      </c>
      <c r="T769" t="s">
        <v>74</v>
      </c>
      <c r="U769" t="s">
        <v>14013</v>
      </c>
      <c r="V769" t="s">
        <v>14014</v>
      </c>
      <c r="W769" t="s">
        <v>14015</v>
      </c>
      <c r="X769" t="s">
        <v>14016</v>
      </c>
      <c r="Y769" t="s">
        <v>14017</v>
      </c>
      <c r="Z769" t="s">
        <v>74</v>
      </c>
      <c r="AA769" t="s">
        <v>14018</v>
      </c>
      <c r="AB769" t="s">
        <v>14019</v>
      </c>
      <c r="AC769" t="s">
        <v>14020</v>
      </c>
      <c r="AD769" t="s">
        <v>14021</v>
      </c>
      <c r="AE769" t="s">
        <v>14022</v>
      </c>
      <c r="AF769" t="s">
        <v>74</v>
      </c>
      <c r="AG769">
        <v>25</v>
      </c>
      <c r="AH769">
        <v>8</v>
      </c>
      <c r="AI769">
        <v>8</v>
      </c>
      <c r="AJ769">
        <v>0</v>
      </c>
      <c r="AK769">
        <v>12</v>
      </c>
      <c r="AL769" t="s">
        <v>14023</v>
      </c>
      <c r="AM769" t="s">
        <v>474</v>
      </c>
      <c r="AN769" t="s">
        <v>4672</v>
      </c>
      <c r="AO769" t="s">
        <v>14024</v>
      </c>
      <c r="AP769" t="s">
        <v>14025</v>
      </c>
      <c r="AQ769" t="s">
        <v>74</v>
      </c>
      <c r="AR769" t="s">
        <v>14026</v>
      </c>
      <c r="AS769" t="s">
        <v>14027</v>
      </c>
      <c r="AT769" t="s">
        <v>74</v>
      </c>
      <c r="AU769">
        <v>2013</v>
      </c>
      <c r="AV769">
        <v>12</v>
      </c>
      <c r="AW769">
        <v>7</v>
      </c>
      <c r="AX769" t="s">
        <v>74</v>
      </c>
      <c r="AY769" t="s">
        <v>74</v>
      </c>
      <c r="AZ769" t="s">
        <v>74</v>
      </c>
      <c r="BA769" t="s">
        <v>74</v>
      </c>
      <c r="BB769">
        <v>1193</v>
      </c>
      <c r="BC769">
        <v>1201</v>
      </c>
      <c r="BD769" t="s">
        <v>74</v>
      </c>
      <c r="BE769" t="s">
        <v>14028</v>
      </c>
      <c r="BF769" t="str">
        <f>HYPERLINK("http://dx.doi.org/10.1039/c3pp25440b","http://dx.doi.org/10.1039/c3pp25440b")</f>
        <v>http://dx.doi.org/10.1039/c3pp25440b</v>
      </c>
      <c r="BG769" t="s">
        <v>74</v>
      </c>
      <c r="BH769" t="s">
        <v>74</v>
      </c>
      <c r="BI769">
        <v>9</v>
      </c>
      <c r="BJ769" t="s">
        <v>14029</v>
      </c>
      <c r="BK769" t="s">
        <v>102</v>
      </c>
      <c r="BL769" t="s">
        <v>14030</v>
      </c>
      <c r="BM769" t="s">
        <v>14031</v>
      </c>
      <c r="BN769">
        <v>23584370</v>
      </c>
      <c r="BO769" t="s">
        <v>74</v>
      </c>
      <c r="BP769" t="s">
        <v>74</v>
      </c>
      <c r="BQ769" t="s">
        <v>74</v>
      </c>
      <c r="BR769" t="s">
        <v>105</v>
      </c>
      <c r="BS769" t="s">
        <v>14032</v>
      </c>
      <c r="BT769" t="str">
        <f>HYPERLINK("https%3A%2F%2Fwww.webofscience.com%2Fwos%2Fwoscc%2Ffull-record%2FWOS:000320557800009","View Full Record in Web of Science")</f>
        <v>View Full Record in Web of Science</v>
      </c>
    </row>
    <row r="770" spans="1:72" x14ac:dyDescent="0.15">
      <c r="A770" t="s">
        <v>3224</v>
      </c>
      <c r="B770" t="s">
        <v>14033</v>
      </c>
      <c r="C770" t="s">
        <v>74</v>
      </c>
      <c r="D770" t="s">
        <v>74</v>
      </c>
      <c r="E770" t="s">
        <v>14034</v>
      </c>
      <c r="F770" t="s">
        <v>14035</v>
      </c>
      <c r="G770" t="s">
        <v>74</v>
      </c>
      <c r="H770" t="s">
        <v>74</v>
      </c>
      <c r="I770" t="s">
        <v>14036</v>
      </c>
      <c r="J770" t="s">
        <v>14037</v>
      </c>
      <c r="K770" t="s">
        <v>14038</v>
      </c>
      <c r="L770" t="s">
        <v>74</v>
      </c>
      <c r="M770" t="s">
        <v>78</v>
      </c>
      <c r="N770" t="s">
        <v>3231</v>
      </c>
      <c r="O770" t="s">
        <v>14039</v>
      </c>
      <c r="P770" t="s">
        <v>14040</v>
      </c>
      <c r="Q770" t="s">
        <v>14041</v>
      </c>
      <c r="R770" t="s">
        <v>74</v>
      </c>
      <c r="S770" t="s">
        <v>74</v>
      </c>
      <c r="T770" t="s">
        <v>74</v>
      </c>
      <c r="U770" t="s">
        <v>14042</v>
      </c>
      <c r="V770" t="s">
        <v>14043</v>
      </c>
      <c r="W770" t="s">
        <v>14044</v>
      </c>
      <c r="X770" t="s">
        <v>14045</v>
      </c>
      <c r="Y770" t="s">
        <v>14046</v>
      </c>
      <c r="Z770" t="s">
        <v>74</v>
      </c>
      <c r="AA770" t="s">
        <v>14047</v>
      </c>
      <c r="AB770" t="s">
        <v>14048</v>
      </c>
      <c r="AC770" t="s">
        <v>74</v>
      </c>
      <c r="AD770" t="s">
        <v>74</v>
      </c>
      <c r="AE770" t="s">
        <v>74</v>
      </c>
      <c r="AF770" t="s">
        <v>74</v>
      </c>
      <c r="AG770">
        <v>8</v>
      </c>
      <c r="AH770">
        <v>7</v>
      </c>
      <c r="AI770">
        <v>7</v>
      </c>
      <c r="AJ770">
        <v>0</v>
      </c>
      <c r="AK770">
        <v>8</v>
      </c>
      <c r="AL770" t="s">
        <v>14049</v>
      </c>
      <c r="AM770" t="s">
        <v>2038</v>
      </c>
      <c r="AN770" t="s">
        <v>14050</v>
      </c>
      <c r="AO770" t="s">
        <v>14051</v>
      </c>
      <c r="AP770" t="s">
        <v>74</v>
      </c>
      <c r="AQ770" t="s">
        <v>14052</v>
      </c>
      <c r="AR770" t="s">
        <v>14053</v>
      </c>
      <c r="AS770" t="s">
        <v>74</v>
      </c>
      <c r="AT770" t="s">
        <v>74</v>
      </c>
      <c r="AU770">
        <v>2013</v>
      </c>
      <c r="AV770" t="s">
        <v>74</v>
      </c>
      <c r="AW770" t="s">
        <v>74</v>
      </c>
      <c r="AX770" t="s">
        <v>74</v>
      </c>
      <c r="AY770" t="s">
        <v>74</v>
      </c>
      <c r="AZ770" t="s">
        <v>74</v>
      </c>
      <c r="BA770" t="s">
        <v>74</v>
      </c>
      <c r="BB770">
        <v>514</v>
      </c>
      <c r="BC770">
        <v>518</v>
      </c>
      <c r="BD770" t="s">
        <v>74</v>
      </c>
      <c r="BE770" t="s">
        <v>74</v>
      </c>
      <c r="BF770" t="s">
        <v>74</v>
      </c>
      <c r="BG770" t="s">
        <v>74</v>
      </c>
      <c r="BH770" t="s">
        <v>74</v>
      </c>
      <c r="BI770">
        <v>5</v>
      </c>
      <c r="BJ770" t="s">
        <v>10005</v>
      </c>
      <c r="BK770" t="s">
        <v>3247</v>
      </c>
      <c r="BL770" t="s">
        <v>10006</v>
      </c>
      <c r="BM770" t="s">
        <v>14054</v>
      </c>
      <c r="BN770" t="s">
        <v>74</v>
      </c>
      <c r="BO770" t="s">
        <v>74</v>
      </c>
      <c r="BP770" t="s">
        <v>74</v>
      </c>
      <c r="BQ770" t="s">
        <v>74</v>
      </c>
      <c r="BR770" t="s">
        <v>105</v>
      </c>
      <c r="BS770" t="s">
        <v>14055</v>
      </c>
      <c r="BT770" t="str">
        <f>HYPERLINK("https%3A%2F%2Fwww.webofscience.com%2Fwos%2Fwoscc%2Ffull-record%2FWOS:000361384200107","View Full Record in Web of Science")</f>
        <v>View Full Record in Web of Science</v>
      </c>
    </row>
    <row r="771" spans="1:72" x14ac:dyDescent="0.15">
      <c r="A771" t="s">
        <v>72</v>
      </c>
      <c r="B771" t="s">
        <v>14056</v>
      </c>
      <c r="C771" t="s">
        <v>74</v>
      </c>
      <c r="D771" t="s">
        <v>74</v>
      </c>
      <c r="E771" t="s">
        <v>74</v>
      </c>
      <c r="F771" t="s">
        <v>14057</v>
      </c>
      <c r="G771" t="s">
        <v>74</v>
      </c>
      <c r="H771" t="s">
        <v>74</v>
      </c>
      <c r="I771" t="s">
        <v>14058</v>
      </c>
      <c r="J771" t="s">
        <v>964</v>
      </c>
      <c r="K771" t="s">
        <v>74</v>
      </c>
      <c r="L771" t="s">
        <v>74</v>
      </c>
      <c r="M771" t="s">
        <v>78</v>
      </c>
      <c r="N771" t="s">
        <v>79</v>
      </c>
      <c r="O771" t="s">
        <v>74</v>
      </c>
      <c r="P771" t="s">
        <v>74</v>
      </c>
      <c r="Q771" t="s">
        <v>74</v>
      </c>
      <c r="R771" t="s">
        <v>74</v>
      </c>
      <c r="S771" t="s">
        <v>74</v>
      </c>
      <c r="T771" t="s">
        <v>14059</v>
      </c>
      <c r="U771" t="s">
        <v>14060</v>
      </c>
      <c r="V771" t="s">
        <v>14061</v>
      </c>
      <c r="W771" t="s">
        <v>14062</v>
      </c>
      <c r="X771" t="s">
        <v>14063</v>
      </c>
      <c r="Y771" t="s">
        <v>14064</v>
      </c>
      <c r="Z771" t="s">
        <v>14065</v>
      </c>
      <c r="AA771" t="s">
        <v>14066</v>
      </c>
      <c r="AB771" t="s">
        <v>14067</v>
      </c>
      <c r="AC771" t="s">
        <v>14068</v>
      </c>
      <c r="AD771" t="s">
        <v>11883</v>
      </c>
      <c r="AE771" t="s">
        <v>14069</v>
      </c>
      <c r="AF771" t="s">
        <v>74</v>
      </c>
      <c r="AG771">
        <v>65</v>
      </c>
      <c r="AH771">
        <v>5</v>
      </c>
      <c r="AI771">
        <v>7</v>
      </c>
      <c r="AJ771">
        <v>0</v>
      </c>
      <c r="AK771">
        <v>28</v>
      </c>
      <c r="AL771" t="s">
        <v>500</v>
      </c>
      <c r="AM771" t="s">
        <v>296</v>
      </c>
      <c r="AN771" t="s">
        <v>525</v>
      </c>
      <c r="AO771" t="s">
        <v>976</v>
      </c>
      <c r="AP771" t="s">
        <v>977</v>
      </c>
      <c r="AQ771" t="s">
        <v>74</v>
      </c>
      <c r="AR771" t="s">
        <v>978</v>
      </c>
      <c r="AS771" t="s">
        <v>979</v>
      </c>
      <c r="AT771" t="s">
        <v>5170</v>
      </c>
      <c r="AU771">
        <v>2013</v>
      </c>
      <c r="AV771">
        <v>36</v>
      </c>
      <c r="AW771">
        <v>1</v>
      </c>
      <c r="AX771" t="s">
        <v>74</v>
      </c>
      <c r="AY771" t="s">
        <v>74</v>
      </c>
      <c r="AZ771" t="s">
        <v>74</v>
      </c>
      <c r="BA771" t="s">
        <v>74</v>
      </c>
      <c r="BB771">
        <v>1</v>
      </c>
      <c r="BC771">
        <v>11</v>
      </c>
      <c r="BD771" t="s">
        <v>74</v>
      </c>
      <c r="BE771" t="s">
        <v>14070</v>
      </c>
      <c r="BF771" t="str">
        <f>HYPERLINK("http://dx.doi.org/10.1007/s00300-012-1233-0","http://dx.doi.org/10.1007/s00300-012-1233-0")</f>
        <v>http://dx.doi.org/10.1007/s00300-012-1233-0</v>
      </c>
      <c r="BG771" t="s">
        <v>74</v>
      </c>
      <c r="BH771" t="s">
        <v>74</v>
      </c>
      <c r="BI771">
        <v>11</v>
      </c>
      <c r="BJ771" t="s">
        <v>981</v>
      </c>
      <c r="BK771" t="s">
        <v>102</v>
      </c>
      <c r="BL771" t="s">
        <v>958</v>
      </c>
      <c r="BM771" t="s">
        <v>9617</v>
      </c>
      <c r="BN771" t="s">
        <v>74</v>
      </c>
      <c r="BO771" t="s">
        <v>74</v>
      </c>
      <c r="BP771" t="s">
        <v>74</v>
      </c>
      <c r="BQ771" t="s">
        <v>74</v>
      </c>
      <c r="BR771" t="s">
        <v>105</v>
      </c>
      <c r="BS771" t="s">
        <v>14071</v>
      </c>
      <c r="BT771" t="str">
        <f>HYPERLINK("https%3A%2F%2Fwww.webofscience.com%2Fwos%2Fwoscc%2Ffull-record%2FWOS:000312729700001","View Full Record in Web of Science")</f>
        <v>View Full Record in Web of Science</v>
      </c>
    </row>
    <row r="772" spans="1:72" x14ac:dyDescent="0.15">
      <c r="A772" t="s">
        <v>72</v>
      </c>
      <c r="B772" t="s">
        <v>14072</v>
      </c>
      <c r="C772" t="s">
        <v>74</v>
      </c>
      <c r="D772" t="s">
        <v>74</v>
      </c>
      <c r="E772" t="s">
        <v>74</v>
      </c>
      <c r="F772" t="s">
        <v>14073</v>
      </c>
      <c r="G772" t="s">
        <v>74</v>
      </c>
      <c r="H772" t="s">
        <v>74</v>
      </c>
      <c r="I772" t="s">
        <v>14074</v>
      </c>
      <c r="J772" t="s">
        <v>964</v>
      </c>
      <c r="K772" t="s">
        <v>74</v>
      </c>
      <c r="L772" t="s">
        <v>74</v>
      </c>
      <c r="M772" t="s">
        <v>78</v>
      </c>
      <c r="N772" t="s">
        <v>79</v>
      </c>
      <c r="O772" t="s">
        <v>74</v>
      </c>
      <c r="P772" t="s">
        <v>74</v>
      </c>
      <c r="Q772" t="s">
        <v>74</v>
      </c>
      <c r="R772" t="s">
        <v>74</v>
      </c>
      <c r="S772" t="s">
        <v>74</v>
      </c>
      <c r="T772" t="s">
        <v>14075</v>
      </c>
      <c r="U772" t="s">
        <v>14076</v>
      </c>
      <c r="V772" t="s">
        <v>14077</v>
      </c>
      <c r="W772" t="s">
        <v>14078</v>
      </c>
      <c r="X772" t="s">
        <v>14079</v>
      </c>
      <c r="Y772" t="s">
        <v>14080</v>
      </c>
      <c r="Z772" t="s">
        <v>14081</v>
      </c>
      <c r="AA772" t="s">
        <v>14082</v>
      </c>
      <c r="AB772" t="s">
        <v>14083</v>
      </c>
      <c r="AC772" t="s">
        <v>14084</v>
      </c>
      <c r="AD772" t="s">
        <v>14085</v>
      </c>
      <c r="AE772" t="s">
        <v>14086</v>
      </c>
      <c r="AF772" t="s">
        <v>74</v>
      </c>
      <c r="AG772">
        <v>47</v>
      </c>
      <c r="AH772">
        <v>11</v>
      </c>
      <c r="AI772">
        <v>12</v>
      </c>
      <c r="AJ772">
        <v>0</v>
      </c>
      <c r="AK772">
        <v>19</v>
      </c>
      <c r="AL772" t="s">
        <v>500</v>
      </c>
      <c r="AM772" t="s">
        <v>296</v>
      </c>
      <c r="AN772" t="s">
        <v>501</v>
      </c>
      <c r="AO772" t="s">
        <v>976</v>
      </c>
      <c r="AP772" t="s">
        <v>977</v>
      </c>
      <c r="AQ772" t="s">
        <v>74</v>
      </c>
      <c r="AR772" t="s">
        <v>978</v>
      </c>
      <c r="AS772" t="s">
        <v>979</v>
      </c>
      <c r="AT772" t="s">
        <v>5170</v>
      </c>
      <c r="AU772">
        <v>2013</v>
      </c>
      <c r="AV772">
        <v>36</v>
      </c>
      <c r="AW772">
        <v>1</v>
      </c>
      <c r="AX772" t="s">
        <v>74</v>
      </c>
      <c r="AY772" t="s">
        <v>74</v>
      </c>
      <c r="AZ772" t="s">
        <v>74</v>
      </c>
      <c r="BA772" t="s">
        <v>74</v>
      </c>
      <c r="BB772">
        <v>115</v>
      </c>
      <c r="BC772">
        <v>126</v>
      </c>
      <c r="BD772" t="s">
        <v>74</v>
      </c>
      <c r="BE772" t="s">
        <v>14087</v>
      </c>
      <c r="BF772" t="str">
        <f>HYPERLINK("http://dx.doi.org/10.1007/s00300-012-1242-z","http://dx.doi.org/10.1007/s00300-012-1242-z")</f>
        <v>http://dx.doi.org/10.1007/s00300-012-1242-z</v>
      </c>
      <c r="BG772" t="s">
        <v>74</v>
      </c>
      <c r="BH772" t="s">
        <v>74</v>
      </c>
      <c r="BI772">
        <v>12</v>
      </c>
      <c r="BJ772" t="s">
        <v>981</v>
      </c>
      <c r="BK772" t="s">
        <v>102</v>
      </c>
      <c r="BL772" t="s">
        <v>958</v>
      </c>
      <c r="BM772" t="s">
        <v>9617</v>
      </c>
      <c r="BN772" t="s">
        <v>74</v>
      </c>
      <c r="BO772" t="s">
        <v>74</v>
      </c>
      <c r="BP772" t="s">
        <v>74</v>
      </c>
      <c r="BQ772" t="s">
        <v>74</v>
      </c>
      <c r="BR772" t="s">
        <v>105</v>
      </c>
      <c r="BS772" t="s">
        <v>14088</v>
      </c>
      <c r="BT772" t="str">
        <f>HYPERLINK("https%3A%2F%2Fwww.webofscience.com%2Fwos%2Fwoscc%2Ffull-record%2FWOS:000312729700009","View Full Record in Web of Science")</f>
        <v>View Full Record in Web of Science</v>
      </c>
    </row>
    <row r="773" spans="1:72" x14ac:dyDescent="0.15">
      <c r="A773" t="s">
        <v>72</v>
      </c>
      <c r="B773" t="s">
        <v>14089</v>
      </c>
      <c r="C773" t="s">
        <v>74</v>
      </c>
      <c r="D773" t="s">
        <v>74</v>
      </c>
      <c r="E773" t="s">
        <v>74</v>
      </c>
      <c r="F773" t="s">
        <v>14090</v>
      </c>
      <c r="G773" t="s">
        <v>74</v>
      </c>
      <c r="H773" t="s">
        <v>74</v>
      </c>
      <c r="I773" t="s">
        <v>14091</v>
      </c>
      <c r="J773" t="s">
        <v>14092</v>
      </c>
      <c r="K773" t="s">
        <v>74</v>
      </c>
      <c r="L773" t="s">
        <v>74</v>
      </c>
      <c r="M773" t="s">
        <v>78</v>
      </c>
      <c r="N773" t="s">
        <v>79</v>
      </c>
      <c r="O773" t="s">
        <v>74</v>
      </c>
      <c r="P773" t="s">
        <v>74</v>
      </c>
      <c r="Q773" t="s">
        <v>74</v>
      </c>
      <c r="R773" t="s">
        <v>74</v>
      </c>
      <c r="S773" t="s">
        <v>74</v>
      </c>
      <c r="T773" t="s">
        <v>74</v>
      </c>
      <c r="U773" t="s">
        <v>14093</v>
      </c>
      <c r="V773" t="s">
        <v>14094</v>
      </c>
      <c r="W773" t="s">
        <v>14095</v>
      </c>
      <c r="X773" t="s">
        <v>14096</v>
      </c>
      <c r="Y773" t="s">
        <v>14097</v>
      </c>
      <c r="Z773" t="s">
        <v>14098</v>
      </c>
      <c r="AA773" t="s">
        <v>74</v>
      </c>
      <c r="AB773" t="s">
        <v>74</v>
      </c>
      <c r="AC773" t="s">
        <v>14099</v>
      </c>
      <c r="AD773" t="s">
        <v>14100</v>
      </c>
      <c r="AE773" t="s">
        <v>14101</v>
      </c>
      <c r="AF773" t="s">
        <v>74</v>
      </c>
      <c r="AG773">
        <v>47</v>
      </c>
      <c r="AH773">
        <v>2</v>
      </c>
      <c r="AI773">
        <v>2</v>
      </c>
      <c r="AJ773">
        <v>0</v>
      </c>
      <c r="AK773">
        <v>0</v>
      </c>
      <c r="AL773" t="s">
        <v>7020</v>
      </c>
      <c r="AM773" t="s">
        <v>7021</v>
      </c>
      <c r="AN773" t="s">
        <v>7022</v>
      </c>
      <c r="AO773" t="s">
        <v>14102</v>
      </c>
      <c r="AP773" t="s">
        <v>14103</v>
      </c>
      <c r="AQ773" t="s">
        <v>74</v>
      </c>
      <c r="AR773" t="s">
        <v>14104</v>
      </c>
      <c r="AS773" t="s">
        <v>14105</v>
      </c>
      <c r="AT773" t="s">
        <v>74</v>
      </c>
      <c r="AU773">
        <v>2013</v>
      </c>
      <c r="AV773">
        <v>36</v>
      </c>
      <c r="AW773">
        <v>3</v>
      </c>
      <c r="AX773" t="s">
        <v>74</v>
      </c>
      <c r="AY773" t="s">
        <v>74</v>
      </c>
      <c r="AZ773" t="s">
        <v>74</v>
      </c>
      <c r="BA773" t="s">
        <v>74</v>
      </c>
      <c r="BB773">
        <v>202</v>
      </c>
      <c r="BC773">
        <v>220</v>
      </c>
      <c r="BD773" t="s">
        <v>74</v>
      </c>
      <c r="BE773" t="s">
        <v>14106</v>
      </c>
      <c r="BF773" t="str">
        <f>HYPERLINK("http://dx.doi.org/10.1080/1088937X.2012.691120","http://dx.doi.org/10.1080/1088937X.2012.691120")</f>
        <v>http://dx.doi.org/10.1080/1088937X.2012.691120</v>
      </c>
      <c r="BG773" t="s">
        <v>74</v>
      </c>
      <c r="BH773" t="s">
        <v>74</v>
      </c>
      <c r="BI773">
        <v>19</v>
      </c>
      <c r="BJ773" t="s">
        <v>14107</v>
      </c>
      <c r="BK773" t="s">
        <v>1717</v>
      </c>
      <c r="BL773" t="s">
        <v>14108</v>
      </c>
      <c r="BM773" t="s">
        <v>14109</v>
      </c>
      <c r="BN773" t="s">
        <v>74</v>
      </c>
      <c r="BO773" t="s">
        <v>74</v>
      </c>
      <c r="BP773" t="s">
        <v>74</v>
      </c>
      <c r="BQ773" t="s">
        <v>74</v>
      </c>
      <c r="BR773" t="s">
        <v>105</v>
      </c>
      <c r="BS773" t="s">
        <v>14110</v>
      </c>
      <c r="BT773" t="str">
        <f>HYPERLINK("https%3A%2F%2Fwww.webofscience.com%2Fwos%2Fwoscc%2Ffull-record%2FWOS:000211113300003","View Full Record in Web of Science")</f>
        <v>View Full Record in Web of Science</v>
      </c>
    </row>
    <row r="774" spans="1:72" x14ac:dyDescent="0.15">
      <c r="A774" t="s">
        <v>72</v>
      </c>
      <c r="B774" t="s">
        <v>14111</v>
      </c>
      <c r="C774" t="s">
        <v>74</v>
      </c>
      <c r="D774" t="s">
        <v>74</v>
      </c>
      <c r="E774" t="s">
        <v>74</v>
      </c>
      <c r="F774" t="s">
        <v>14112</v>
      </c>
      <c r="G774" t="s">
        <v>74</v>
      </c>
      <c r="H774" t="s">
        <v>74</v>
      </c>
      <c r="I774" t="s">
        <v>14113</v>
      </c>
      <c r="J774" t="s">
        <v>4495</v>
      </c>
      <c r="K774" t="s">
        <v>74</v>
      </c>
      <c r="L774" t="s">
        <v>74</v>
      </c>
      <c r="M774" t="s">
        <v>78</v>
      </c>
      <c r="N774" t="s">
        <v>79</v>
      </c>
      <c r="O774" t="s">
        <v>74</v>
      </c>
      <c r="P774" t="s">
        <v>74</v>
      </c>
      <c r="Q774" t="s">
        <v>74</v>
      </c>
      <c r="R774" t="s">
        <v>74</v>
      </c>
      <c r="S774" t="s">
        <v>74</v>
      </c>
      <c r="T774" t="s">
        <v>14114</v>
      </c>
      <c r="U774" t="s">
        <v>14115</v>
      </c>
      <c r="V774" t="s">
        <v>14116</v>
      </c>
      <c r="W774" t="s">
        <v>14117</v>
      </c>
      <c r="X774" t="s">
        <v>14118</v>
      </c>
      <c r="Y774" t="s">
        <v>14119</v>
      </c>
      <c r="Z774" t="s">
        <v>14120</v>
      </c>
      <c r="AA774" t="s">
        <v>14121</v>
      </c>
      <c r="AB774" t="s">
        <v>14122</v>
      </c>
      <c r="AC774" t="s">
        <v>14123</v>
      </c>
      <c r="AD774" t="s">
        <v>14124</v>
      </c>
      <c r="AE774" t="s">
        <v>14125</v>
      </c>
      <c r="AF774" t="s">
        <v>74</v>
      </c>
      <c r="AG774">
        <v>66</v>
      </c>
      <c r="AH774">
        <v>7</v>
      </c>
      <c r="AI774">
        <v>8</v>
      </c>
      <c r="AJ774">
        <v>0</v>
      </c>
      <c r="AK774">
        <v>10</v>
      </c>
      <c r="AL774" t="s">
        <v>4506</v>
      </c>
      <c r="AM774" t="s">
        <v>4507</v>
      </c>
      <c r="AN774" t="s">
        <v>4508</v>
      </c>
      <c r="AO774" t="s">
        <v>4509</v>
      </c>
      <c r="AP774" t="s">
        <v>4510</v>
      </c>
      <c r="AQ774" t="s">
        <v>74</v>
      </c>
      <c r="AR774" t="s">
        <v>4511</v>
      </c>
      <c r="AS774" t="s">
        <v>4512</v>
      </c>
      <c r="AT774" t="s">
        <v>74</v>
      </c>
      <c r="AU774">
        <v>2013</v>
      </c>
      <c r="AV774">
        <v>32</v>
      </c>
      <c r="AW774" t="s">
        <v>74</v>
      </c>
      <c r="AX774" t="s">
        <v>74</v>
      </c>
      <c r="AY774" t="s">
        <v>74</v>
      </c>
      <c r="AZ774" t="s">
        <v>74</v>
      </c>
      <c r="BA774" t="s">
        <v>74</v>
      </c>
      <c r="BB774" t="s">
        <v>74</v>
      </c>
      <c r="BC774" t="s">
        <v>74</v>
      </c>
      <c r="BD774">
        <v>17309</v>
      </c>
      <c r="BE774" t="s">
        <v>14126</v>
      </c>
      <c r="BF774" t="str">
        <f>HYPERLINK("http://dx.doi.org/10.3402/polar.v32i0.17309","http://dx.doi.org/10.3402/polar.v32i0.17309")</f>
        <v>http://dx.doi.org/10.3402/polar.v32i0.17309</v>
      </c>
      <c r="BG774" t="s">
        <v>74</v>
      </c>
      <c r="BH774" t="s">
        <v>74</v>
      </c>
      <c r="BI774">
        <v>15</v>
      </c>
      <c r="BJ774" t="s">
        <v>4514</v>
      </c>
      <c r="BK774" t="s">
        <v>102</v>
      </c>
      <c r="BL774" t="s">
        <v>4515</v>
      </c>
      <c r="BM774" t="s">
        <v>14127</v>
      </c>
      <c r="BN774" t="s">
        <v>74</v>
      </c>
      <c r="BO774" t="s">
        <v>1719</v>
      </c>
      <c r="BP774" t="s">
        <v>74</v>
      </c>
      <c r="BQ774" t="s">
        <v>74</v>
      </c>
      <c r="BR774" t="s">
        <v>105</v>
      </c>
      <c r="BS774" t="s">
        <v>14128</v>
      </c>
      <c r="BT774" t="str">
        <f>HYPERLINK("https%3A%2F%2Fwww.webofscience.com%2Fwos%2Fwoscc%2Ffull-record%2FWOS:000327540800001","View Full Record in Web of Science")</f>
        <v>View Full Record in Web of Science</v>
      </c>
    </row>
    <row r="775" spans="1:72" x14ac:dyDescent="0.15">
      <c r="A775" t="s">
        <v>72</v>
      </c>
      <c r="B775" t="s">
        <v>14129</v>
      </c>
      <c r="C775" t="s">
        <v>74</v>
      </c>
      <c r="D775" t="s">
        <v>74</v>
      </c>
      <c r="E775" t="s">
        <v>74</v>
      </c>
      <c r="F775" t="s">
        <v>14130</v>
      </c>
      <c r="G775" t="s">
        <v>74</v>
      </c>
      <c r="H775" t="s">
        <v>74</v>
      </c>
      <c r="I775" t="s">
        <v>14131</v>
      </c>
      <c r="J775" t="s">
        <v>4495</v>
      </c>
      <c r="K775" t="s">
        <v>74</v>
      </c>
      <c r="L775" t="s">
        <v>74</v>
      </c>
      <c r="M775" t="s">
        <v>78</v>
      </c>
      <c r="N775" t="s">
        <v>79</v>
      </c>
      <c r="O775" t="s">
        <v>74</v>
      </c>
      <c r="P775" t="s">
        <v>74</v>
      </c>
      <c r="Q775" t="s">
        <v>74</v>
      </c>
      <c r="R775" t="s">
        <v>74</v>
      </c>
      <c r="S775" t="s">
        <v>74</v>
      </c>
      <c r="T775" t="s">
        <v>14132</v>
      </c>
      <c r="U775" t="s">
        <v>14133</v>
      </c>
      <c r="V775" t="s">
        <v>14134</v>
      </c>
      <c r="W775" t="s">
        <v>14135</v>
      </c>
      <c r="X775" t="s">
        <v>14136</v>
      </c>
      <c r="Y775" t="s">
        <v>14137</v>
      </c>
      <c r="Z775" t="s">
        <v>14138</v>
      </c>
      <c r="AA775" t="s">
        <v>14139</v>
      </c>
      <c r="AB775" t="s">
        <v>14140</v>
      </c>
      <c r="AC775" t="s">
        <v>14141</v>
      </c>
      <c r="AD775" t="s">
        <v>14142</v>
      </c>
      <c r="AE775" t="s">
        <v>14143</v>
      </c>
      <c r="AF775" t="s">
        <v>74</v>
      </c>
      <c r="AG775">
        <v>31</v>
      </c>
      <c r="AH775">
        <v>21</v>
      </c>
      <c r="AI775">
        <v>21</v>
      </c>
      <c r="AJ775">
        <v>2</v>
      </c>
      <c r="AK775">
        <v>30</v>
      </c>
      <c r="AL775" t="s">
        <v>4506</v>
      </c>
      <c r="AM775" t="s">
        <v>4507</v>
      </c>
      <c r="AN775" t="s">
        <v>4508</v>
      </c>
      <c r="AO775" t="s">
        <v>4509</v>
      </c>
      <c r="AP775" t="s">
        <v>4510</v>
      </c>
      <c r="AQ775" t="s">
        <v>74</v>
      </c>
      <c r="AR775" t="s">
        <v>4511</v>
      </c>
      <c r="AS775" t="s">
        <v>4512</v>
      </c>
      <c r="AT775" t="s">
        <v>74</v>
      </c>
      <c r="AU775">
        <v>2013</v>
      </c>
      <c r="AV775">
        <v>32</v>
      </c>
      <c r="AW775" t="s">
        <v>74</v>
      </c>
      <c r="AX775" t="s">
        <v>74</v>
      </c>
      <c r="AY775" t="s">
        <v>74</v>
      </c>
      <c r="AZ775" t="s">
        <v>74</v>
      </c>
      <c r="BA775" t="s">
        <v>74</v>
      </c>
      <c r="BB775" t="s">
        <v>74</v>
      </c>
      <c r="BC775" t="s">
        <v>74</v>
      </c>
      <c r="BD775">
        <v>19261</v>
      </c>
      <c r="BE775" t="s">
        <v>14144</v>
      </c>
      <c r="BF775" t="str">
        <f>HYPERLINK("http://dx.doi.org/10.3402/polar.v32i0.19261","http://dx.doi.org/10.3402/polar.v32i0.19261")</f>
        <v>http://dx.doi.org/10.3402/polar.v32i0.19261</v>
      </c>
      <c r="BG775" t="s">
        <v>74</v>
      </c>
      <c r="BH775" t="s">
        <v>74</v>
      </c>
      <c r="BI775">
        <v>10</v>
      </c>
      <c r="BJ775" t="s">
        <v>4514</v>
      </c>
      <c r="BK775" t="s">
        <v>102</v>
      </c>
      <c r="BL775" t="s">
        <v>4515</v>
      </c>
      <c r="BM775" t="s">
        <v>14145</v>
      </c>
      <c r="BN775" t="s">
        <v>74</v>
      </c>
      <c r="BO775" t="s">
        <v>1719</v>
      </c>
      <c r="BP775" t="s">
        <v>74</v>
      </c>
      <c r="BQ775" t="s">
        <v>74</v>
      </c>
      <c r="BR775" t="s">
        <v>105</v>
      </c>
      <c r="BS775" t="s">
        <v>14146</v>
      </c>
      <c r="BT775" t="str">
        <f>HYPERLINK("https%3A%2F%2Fwww.webofscience.com%2Fwos%2Fwoscc%2Ffull-record%2FWOS:000322887900001","View Full Record in Web of Science")</f>
        <v>View Full Record in Web of Science</v>
      </c>
    </row>
    <row r="776" spans="1:72" x14ac:dyDescent="0.15">
      <c r="A776" t="s">
        <v>72</v>
      </c>
      <c r="B776" t="s">
        <v>14147</v>
      </c>
      <c r="C776" t="s">
        <v>74</v>
      </c>
      <c r="D776" t="s">
        <v>74</v>
      </c>
      <c r="E776" t="s">
        <v>74</v>
      </c>
      <c r="F776" t="s">
        <v>14148</v>
      </c>
      <c r="G776" t="s">
        <v>74</v>
      </c>
      <c r="H776" t="s">
        <v>74</v>
      </c>
      <c r="I776" t="s">
        <v>14149</v>
      </c>
      <c r="J776" t="s">
        <v>4814</v>
      </c>
      <c r="K776" t="s">
        <v>74</v>
      </c>
      <c r="L776" t="s">
        <v>74</v>
      </c>
      <c r="M776" t="s">
        <v>78</v>
      </c>
      <c r="N776" t="s">
        <v>79</v>
      </c>
      <c r="O776" t="s">
        <v>74</v>
      </c>
      <c r="P776" t="s">
        <v>74</v>
      </c>
      <c r="Q776" t="s">
        <v>74</v>
      </c>
      <c r="R776" t="s">
        <v>74</v>
      </c>
      <c r="S776" t="s">
        <v>74</v>
      </c>
      <c r="T776" t="s">
        <v>14150</v>
      </c>
      <c r="U776" t="s">
        <v>14151</v>
      </c>
      <c r="V776" t="s">
        <v>14152</v>
      </c>
      <c r="W776" t="s">
        <v>14153</v>
      </c>
      <c r="X776" t="s">
        <v>14154</v>
      </c>
      <c r="Y776" t="s">
        <v>14155</v>
      </c>
      <c r="Z776" t="s">
        <v>14156</v>
      </c>
      <c r="AA776" t="s">
        <v>14157</v>
      </c>
      <c r="AB776" t="s">
        <v>14158</v>
      </c>
      <c r="AC776" t="s">
        <v>14159</v>
      </c>
      <c r="AD776" t="s">
        <v>14160</v>
      </c>
      <c r="AE776" t="s">
        <v>14161</v>
      </c>
      <c r="AF776" t="s">
        <v>74</v>
      </c>
      <c r="AG776">
        <v>66</v>
      </c>
      <c r="AH776">
        <v>24</v>
      </c>
      <c r="AI776">
        <v>31</v>
      </c>
      <c r="AJ776">
        <v>1</v>
      </c>
      <c r="AK776">
        <v>36</v>
      </c>
      <c r="AL776" t="s">
        <v>4827</v>
      </c>
      <c r="AM776" t="s">
        <v>4828</v>
      </c>
      <c r="AN776" t="s">
        <v>4829</v>
      </c>
      <c r="AO776" t="s">
        <v>4830</v>
      </c>
      <c r="AP776" t="s">
        <v>4831</v>
      </c>
      <c r="AQ776" t="s">
        <v>74</v>
      </c>
      <c r="AR776" t="s">
        <v>4832</v>
      </c>
      <c r="AS776" t="s">
        <v>4833</v>
      </c>
      <c r="AT776" t="s">
        <v>74</v>
      </c>
      <c r="AU776">
        <v>2013</v>
      </c>
      <c r="AV776">
        <v>34</v>
      </c>
      <c r="AW776">
        <v>1</v>
      </c>
      <c r="AX776" t="s">
        <v>74</v>
      </c>
      <c r="AY776" t="s">
        <v>74</v>
      </c>
      <c r="AZ776" t="s">
        <v>74</v>
      </c>
      <c r="BA776" t="s">
        <v>74</v>
      </c>
      <c r="BB776">
        <v>39</v>
      </c>
      <c r="BC776">
        <v>54</v>
      </c>
      <c r="BD776" t="s">
        <v>74</v>
      </c>
      <c r="BE776" t="s">
        <v>14162</v>
      </c>
      <c r="BF776" t="str">
        <f>HYPERLINK("http://dx.doi.org/10.2478/popore-2013-0006","http://dx.doi.org/10.2478/popore-2013-0006")</f>
        <v>http://dx.doi.org/10.2478/popore-2013-0006</v>
      </c>
      <c r="BG776" t="s">
        <v>74</v>
      </c>
      <c r="BH776" t="s">
        <v>74</v>
      </c>
      <c r="BI776">
        <v>16</v>
      </c>
      <c r="BJ776" t="s">
        <v>4835</v>
      </c>
      <c r="BK776" t="s">
        <v>102</v>
      </c>
      <c r="BL776" t="s">
        <v>4836</v>
      </c>
      <c r="BM776" t="s">
        <v>8384</v>
      </c>
      <c r="BN776" t="s">
        <v>74</v>
      </c>
      <c r="BO776" t="s">
        <v>1191</v>
      </c>
      <c r="BP776" t="s">
        <v>74</v>
      </c>
      <c r="BQ776" t="s">
        <v>74</v>
      </c>
      <c r="BR776" t="s">
        <v>105</v>
      </c>
      <c r="BS776" t="s">
        <v>14163</v>
      </c>
      <c r="BT776" t="str">
        <f>HYPERLINK("https%3A%2F%2Fwww.webofscience.com%2Fwos%2Fwoscc%2Ffull-record%2FWOS:000316170800003","View Full Record in Web of Science")</f>
        <v>View Full Record in Web of Science</v>
      </c>
    </row>
    <row r="777" spans="1:72" x14ac:dyDescent="0.15">
      <c r="A777" t="s">
        <v>72</v>
      </c>
      <c r="B777" t="s">
        <v>14164</v>
      </c>
      <c r="C777" t="s">
        <v>74</v>
      </c>
      <c r="D777" t="s">
        <v>74</v>
      </c>
      <c r="E777" t="s">
        <v>74</v>
      </c>
      <c r="F777" t="s">
        <v>14165</v>
      </c>
      <c r="G777" t="s">
        <v>74</v>
      </c>
      <c r="H777" t="s">
        <v>74</v>
      </c>
      <c r="I777" t="s">
        <v>14166</v>
      </c>
      <c r="J777" t="s">
        <v>4814</v>
      </c>
      <c r="K777" t="s">
        <v>74</v>
      </c>
      <c r="L777" t="s">
        <v>74</v>
      </c>
      <c r="M777" t="s">
        <v>78</v>
      </c>
      <c r="N777" t="s">
        <v>79</v>
      </c>
      <c r="O777" t="s">
        <v>74</v>
      </c>
      <c r="P777" t="s">
        <v>74</v>
      </c>
      <c r="Q777" t="s">
        <v>74</v>
      </c>
      <c r="R777" t="s">
        <v>74</v>
      </c>
      <c r="S777" t="s">
        <v>74</v>
      </c>
      <c r="T777" t="s">
        <v>14167</v>
      </c>
      <c r="U777" t="s">
        <v>14168</v>
      </c>
      <c r="V777" t="s">
        <v>14169</v>
      </c>
      <c r="W777" t="s">
        <v>14170</v>
      </c>
      <c r="X777" t="s">
        <v>14171</v>
      </c>
      <c r="Y777" t="s">
        <v>14172</v>
      </c>
      <c r="Z777" t="s">
        <v>14173</v>
      </c>
      <c r="AA777" t="s">
        <v>1025</v>
      </c>
      <c r="AB777" t="s">
        <v>14174</v>
      </c>
      <c r="AC777" t="s">
        <v>74</v>
      </c>
      <c r="AD777" t="s">
        <v>74</v>
      </c>
      <c r="AE777" t="s">
        <v>74</v>
      </c>
      <c r="AF777" t="s">
        <v>74</v>
      </c>
      <c r="AG777">
        <v>28</v>
      </c>
      <c r="AH777">
        <v>22</v>
      </c>
      <c r="AI777">
        <v>22</v>
      </c>
      <c r="AJ777">
        <v>1</v>
      </c>
      <c r="AK777">
        <v>25</v>
      </c>
      <c r="AL777" t="s">
        <v>4827</v>
      </c>
      <c r="AM777" t="s">
        <v>4828</v>
      </c>
      <c r="AN777" t="s">
        <v>4829</v>
      </c>
      <c r="AO777" t="s">
        <v>4830</v>
      </c>
      <c r="AP777" t="s">
        <v>4831</v>
      </c>
      <c r="AQ777" t="s">
        <v>74</v>
      </c>
      <c r="AR777" t="s">
        <v>4832</v>
      </c>
      <c r="AS777" t="s">
        <v>4833</v>
      </c>
      <c r="AT777" t="s">
        <v>74</v>
      </c>
      <c r="AU777">
        <v>2013</v>
      </c>
      <c r="AV777">
        <v>34</v>
      </c>
      <c r="AW777">
        <v>2</v>
      </c>
      <c r="AX777" t="s">
        <v>74</v>
      </c>
      <c r="AY777" t="s">
        <v>74</v>
      </c>
      <c r="AZ777" t="s">
        <v>74</v>
      </c>
      <c r="BA777" t="s">
        <v>74</v>
      </c>
      <c r="BB777">
        <v>201</v>
      </c>
      <c r="BC777">
        <v>212</v>
      </c>
      <c r="BD777" t="s">
        <v>74</v>
      </c>
      <c r="BE777" t="s">
        <v>14175</v>
      </c>
      <c r="BF777" t="str">
        <f>HYPERLINK("http://dx.doi.org/10.2478/popore-2013-0008","http://dx.doi.org/10.2478/popore-2013-0008")</f>
        <v>http://dx.doi.org/10.2478/popore-2013-0008</v>
      </c>
      <c r="BG777" t="s">
        <v>74</v>
      </c>
      <c r="BH777" t="s">
        <v>74</v>
      </c>
      <c r="BI777">
        <v>12</v>
      </c>
      <c r="BJ777" t="s">
        <v>4835</v>
      </c>
      <c r="BK777" t="s">
        <v>102</v>
      </c>
      <c r="BL777" t="s">
        <v>4836</v>
      </c>
      <c r="BM777" t="s">
        <v>6893</v>
      </c>
      <c r="BN777" t="s">
        <v>74</v>
      </c>
      <c r="BO777" t="s">
        <v>155</v>
      </c>
      <c r="BP777" t="s">
        <v>74</v>
      </c>
      <c r="BQ777" t="s">
        <v>74</v>
      </c>
      <c r="BR777" t="s">
        <v>105</v>
      </c>
      <c r="BS777" t="s">
        <v>14176</v>
      </c>
      <c r="BT777" t="str">
        <f>HYPERLINK("https%3A%2F%2Fwww.webofscience.com%2Fwos%2Fwoscc%2Ffull-record%2FWOS:000320635500005","View Full Record in Web of Science")</f>
        <v>View Full Record in Web of Science</v>
      </c>
    </row>
    <row r="778" spans="1:72" x14ac:dyDescent="0.15">
      <c r="A778" t="s">
        <v>72</v>
      </c>
      <c r="B778" t="s">
        <v>14177</v>
      </c>
      <c r="C778" t="s">
        <v>74</v>
      </c>
      <c r="D778" t="s">
        <v>74</v>
      </c>
      <c r="E778" t="s">
        <v>74</v>
      </c>
      <c r="F778" t="s">
        <v>14178</v>
      </c>
      <c r="G778" t="s">
        <v>74</v>
      </c>
      <c r="H778" t="s">
        <v>74</v>
      </c>
      <c r="I778" t="s">
        <v>14179</v>
      </c>
      <c r="J778" t="s">
        <v>4814</v>
      </c>
      <c r="K778" t="s">
        <v>74</v>
      </c>
      <c r="L778" t="s">
        <v>74</v>
      </c>
      <c r="M778" t="s">
        <v>78</v>
      </c>
      <c r="N778" t="s">
        <v>79</v>
      </c>
      <c r="O778" t="s">
        <v>74</v>
      </c>
      <c r="P778" t="s">
        <v>74</v>
      </c>
      <c r="Q778" t="s">
        <v>74</v>
      </c>
      <c r="R778" t="s">
        <v>74</v>
      </c>
      <c r="S778" t="s">
        <v>74</v>
      </c>
      <c r="T778" t="s">
        <v>14180</v>
      </c>
      <c r="U778" t="s">
        <v>14181</v>
      </c>
      <c r="V778" t="s">
        <v>14182</v>
      </c>
      <c r="W778" t="s">
        <v>14183</v>
      </c>
      <c r="X778" t="s">
        <v>14184</v>
      </c>
      <c r="Y778" t="s">
        <v>14185</v>
      </c>
      <c r="Z778" t="s">
        <v>14186</v>
      </c>
      <c r="AA778" t="s">
        <v>14187</v>
      </c>
      <c r="AB778" t="s">
        <v>14188</v>
      </c>
      <c r="AC778" t="s">
        <v>14189</v>
      </c>
      <c r="AD778" t="s">
        <v>14190</v>
      </c>
      <c r="AE778" t="s">
        <v>14191</v>
      </c>
      <c r="AF778" t="s">
        <v>74</v>
      </c>
      <c r="AG778">
        <v>70</v>
      </c>
      <c r="AH778">
        <v>75</v>
      </c>
      <c r="AI778">
        <v>76</v>
      </c>
      <c r="AJ778">
        <v>0</v>
      </c>
      <c r="AK778">
        <v>27</v>
      </c>
      <c r="AL778" t="s">
        <v>4870</v>
      </c>
      <c r="AM778" t="s">
        <v>4828</v>
      </c>
      <c r="AN778" t="s">
        <v>4871</v>
      </c>
      <c r="AO778" t="s">
        <v>4830</v>
      </c>
      <c r="AP778" t="s">
        <v>4831</v>
      </c>
      <c r="AQ778" t="s">
        <v>74</v>
      </c>
      <c r="AR778" t="s">
        <v>4832</v>
      </c>
      <c r="AS778" t="s">
        <v>4833</v>
      </c>
      <c r="AT778" t="s">
        <v>74</v>
      </c>
      <c r="AU778">
        <v>2013</v>
      </c>
      <c r="AV778">
        <v>34</v>
      </c>
      <c r="AW778">
        <v>2</v>
      </c>
      <c r="AX778" t="s">
        <v>74</v>
      </c>
      <c r="AY778" t="s">
        <v>74</v>
      </c>
      <c r="AZ778" t="s">
        <v>74</v>
      </c>
      <c r="BA778" t="s">
        <v>74</v>
      </c>
      <c r="BB778">
        <v>213</v>
      </c>
      <c r="BC778">
        <v>235</v>
      </c>
      <c r="BD778" t="s">
        <v>74</v>
      </c>
      <c r="BE778" t="s">
        <v>14192</v>
      </c>
      <c r="BF778" t="str">
        <f>HYPERLINK("http://dx.doi.org/10.2478/popore-2013-0004","http://dx.doi.org/10.2478/popore-2013-0004")</f>
        <v>http://dx.doi.org/10.2478/popore-2013-0004</v>
      </c>
      <c r="BG778" t="s">
        <v>74</v>
      </c>
      <c r="BH778" t="s">
        <v>74</v>
      </c>
      <c r="BI778">
        <v>23</v>
      </c>
      <c r="BJ778" t="s">
        <v>4835</v>
      </c>
      <c r="BK778" t="s">
        <v>102</v>
      </c>
      <c r="BL778" t="s">
        <v>4836</v>
      </c>
      <c r="BM778" t="s">
        <v>6893</v>
      </c>
      <c r="BN778" t="s">
        <v>74</v>
      </c>
      <c r="BO778" t="s">
        <v>155</v>
      </c>
      <c r="BP778" t="s">
        <v>74</v>
      </c>
      <c r="BQ778" t="s">
        <v>74</v>
      </c>
      <c r="BR778" t="s">
        <v>105</v>
      </c>
      <c r="BS778" t="s">
        <v>14193</v>
      </c>
      <c r="BT778" t="str">
        <f>HYPERLINK("https%3A%2F%2Fwww.webofscience.com%2Fwos%2Fwoscc%2Ffull-record%2FWOS:000320635500006","View Full Record in Web of Science")</f>
        <v>View Full Record in Web of Science</v>
      </c>
    </row>
    <row r="779" spans="1:72" x14ac:dyDescent="0.15">
      <c r="A779" t="s">
        <v>72</v>
      </c>
      <c r="B779" t="s">
        <v>14194</v>
      </c>
      <c r="C779" t="s">
        <v>74</v>
      </c>
      <c r="D779" t="s">
        <v>74</v>
      </c>
      <c r="E779" t="s">
        <v>74</v>
      </c>
      <c r="F779" t="s">
        <v>14195</v>
      </c>
      <c r="G779" t="s">
        <v>74</v>
      </c>
      <c r="H779" t="s">
        <v>74</v>
      </c>
      <c r="I779" t="s">
        <v>14196</v>
      </c>
      <c r="J779" t="s">
        <v>4814</v>
      </c>
      <c r="K779" t="s">
        <v>74</v>
      </c>
      <c r="L779" t="s">
        <v>74</v>
      </c>
      <c r="M779" t="s">
        <v>78</v>
      </c>
      <c r="N779" t="s">
        <v>79</v>
      </c>
      <c r="O779" t="s">
        <v>74</v>
      </c>
      <c r="P779" t="s">
        <v>74</v>
      </c>
      <c r="Q779" t="s">
        <v>74</v>
      </c>
      <c r="R779" t="s">
        <v>74</v>
      </c>
      <c r="S779" t="s">
        <v>74</v>
      </c>
      <c r="T779" t="s">
        <v>14197</v>
      </c>
      <c r="U779" t="s">
        <v>14198</v>
      </c>
      <c r="V779" t="s">
        <v>14199</v>
      </c>
      <c r="W779" t="s">
        <v>14200</v>
      </c>
      <c r="X779" t="s">
        <v>14201</v>
      </c>
      <c r="Y779" t="s">
        <v>14202</v>
      </c>
      <c r="Z779" t="s">
        <v>1842</v>
      </c>
      <c r="AA779" t="s">
        <v>14203</v>
      </c>
      <c r="AB779" t="s">
        <v>14204</v>
      </c>
      <c r="AC779" t="s">
        <v>14205</v>
      </c>
      <c r="AD779" t="s">
        <v>14206</v>
      </c>
      <c r="AE779" t="s">
        <v>14207</v>
      </c>
      <c r="AF779" t="s">
        <v>74</v>
      </c>
      <c r="AG779">
        <v>46</v>
      </c>
      <c r="AH779">
        <v>9</v>
      </c>
      <c r="AI779">
        <v>12</v>
      </c>
      <c r="AJ779">
        <v>0</v>
      </c>
      <c r="AK779">
        <v>41</v>
      </c>
      <c r="AL779" t="s">
        <v>4827</v>
      </c>
      <c r="AM779" t="s">
        <v>4828</v>
      </c>
      <c r="AN779" t="s">
        <v>4829</v>
      </c>
      <c r="AO779" t="s">
        <v>4830</v>
      </c>
      <c r="AP779" t="s">
        <v>4831</v>
      </c>
      <c r="AQ779" t="s">
        <v>74</v>
      </c>
      <c r="AR779" t="s">
        <v>4832</v>
      </c>
      <c r="AS779" t="s">
        <v>4833</v>
      </c>
      <c r="AT779" t="s">
        <v>74</v>
      </c>
      <c r="AU779">
        <v>2013</v>
      </c>
      <c r="AV779">
        <v>34</v>
      </c>
      <c r="AW779">
        <v>3</v>
      </c>
      <c r="AX779" t="s">
        <v>74</v>
      </c>
      <c r="AY779" t="s">
        <v>74</v>
      </c>
      <c r="AZ779" t="s">
        <v>74</v>
      </c>
      <c r="BA779" t="s">
        <v>74</v>
      </c>
      <c r="BB779">
        <v>253</v>
      </c>
      <c r="BC779">
        <v>267</v>
      </c>
      <c r="BD779" t="s">
        <v>74</v>
      </c>
      <c r="BE779" t="s">
        <v>14208</v>
      </c>
      <c r="BF779" t="str">
        <f>HYPERLINK("http://dx.doi.org/10.2478/popore-2013-0014","http://dx.doi.org/10.2478/popore-2013-0014")</f>
        <v>http://dx.doi.org/10.2478/popore-2013-0014</v>
      </c>
      <c r="BG779" t="s">
        <v>74</v>
      </c>
      <c r="BH779" t="s">
        <v>74</v>
      </c>
      <c r="BI779">
        <v>15</v>
      </c>
      <c r="BJ779" t="s">
        <v>4835</v>
      </c>
      <c r="BK779" t="s">
        <v>102</v>
      </c>
      <c r="BL779" t="s">
        <v>4836</v>
      </c>
      <c r="BM779" t="s">
        <v>5758</v>
      </c>
      <c r="BN779" t="s">
        <v>74</v>
      </c>
      <c r="BO779" t="s">
        <v>4854</v>
      </c>
      <c r="BP779" t="s">
        <v>74</v>
      </c>
      <c r="BQ779" t="s">
        <v>74</v>
      </c>
      <c r="BR779" t="s">
        <v>105</v>
      </c>
      <c r="BS779" t="s">
        <v>14209</v>
      </c>
      <c r="BT779" t="str">
        <f>HYPERLINK("https%3A%2F%2Fwww.webofscience.com%2Fwos%2Fwoscc%2Ffull-record%2FWOS:000325316600002","View Full Record in Web of Science")</f>
        <v>View Full Record in Web of Science</v>
      </c>
    </row>
    <row r="780" spans="1:72" x14ac:dyDescent="0.15">
      <c r="A780" t="s">
        <v>72</v>
      </c>
      <c r="B780" t="s">
        <v>14210</v>
      </c>
      <c r="C780" t="s">
        <v>74</v>
      </c>
      <c r="D780" t="s">
        <v>74</v>
      </c>
      <c r="E780" t="s">
        <v>74</v>
      </c>
      <c r="F780" t="s">
        <v>14211</v>
      </c>
      <c r="G780" t="s">
        <v>74</v>
      </c>
      <c r="H780" t="s">
        <v>74</v>
      </c>
      <c r="I780" t="s">
        <v>14212</v>
      </c>
      <c r="J780" t="s">
        <v>14213</v>
      </c>
      <c r="K780" t="s">
        <v>74</v>
      </c>
      <c r="L780" t="s">
        <v>74</v>
      </c>
      <c r="M780" t="s">
        <v>78</v>
      </c>
      <c r="N780" t="s">
        <v>79</v>
      </c>
      <c r="O780" t="s">
        <v>74</v>
      </c>
      <c r="P780" t="s">
        <v>74</v>
      </c>
      <c r="Q780" t="s">
        <v>74</v>
      </c>
      <c r="R780" t="s">
        <v>74</v>
      </c>
      <c r="S780" t="s">
        <v>74</v>
      </c>
      <c r="T780" t="s">
        <v>14214</v>
      </c>
      <c r="U780" t="s">
        <v>14215</v>
      </c>
      <c r="V780" t="s">
        <v>14216</v>
      </c>
      <c r="W780" t="s">
        <v>14217</v>
      </c>
      <c r="X780" t="s">
        <v>14218</v>
      </c>
      <c r="Y780" t="s">
        <v>14219</v>
      </c>
      <c r="Z780" t="s">
        <v>14220</v>
      </c>
      <c r="AA780" t="s">
        <v>14221</v>
      </c>
      <c r="AB780" t="s">
        <v>14222</v>
      </c>
      <c r="AC780" t="s">
        <v>14223</v>
      </c>
      <c r="AD780" t="s">
        <v>1550</v>
      </c>
      <c r="AE780" t="s">
        <v>74</v>
      </c>
      <c r="AF780" t="s">
        <v>74</v>
      </c>
      <c r="AG780">
        <v>32</v>
      </c>
      <c r="AH780">
        <v>33</v>
      </c>
      <c r="AI780">
        <v>35</v>
      </c>
      <c r="AJ780">
        <v>1</v>
      </c>
      <c r="AK780">
        <v>26</v>
      </c>
      <c r="AL780" t="s">
        <v>541</v>
      </c>
      <c r="AM780" t="s">
        <v>542</v>
      </c>
      <c r="AN780" t="s">
        <v>543</v>
      </c>
      <c r="AO780" t="s">
        <v>14224</v>
      </c>
      <c r="AP780" t="s">
        <v>74</v>
      </c>
      <c r="AQ780" t="s">
        <v>74</v>
      </c>
      <c r="AR780" t="s">
        <v>14225</v>
      </c>
      <c r="AS780" t="s">
        <v>14226</v>
      </c>
      <c r="AT780" t="s">
        <v>5170</v>
      </c>
      <c r="AU780">
        <v>2013</v>
      </c>
      <c r="AV780">
        <v>224</v>
      </c>
      <c r="AW780" t="s">
        <v>74</v>
      </c>
      <c r="AX780" t="s">
        <v>74</v>
      </c>
      <c r="AY780" t="s">
        <v>74</v>
      </c>
      <c r="AZ780" t="s">
        <v>74</v>
      </c>
      <c r="BA780" t="s">
        <v>74</v>
      </c>
      <c r="BB780">
        <v>671</v>
      </c>
      <c r="BC780">
        <v>689</v>
      </c>
      <c r="BD780" t="s">
        <v>74</v>
      </c>
      <c r="BE780" t="s">
        <v>14227</v>
      </c>
      <c r="BF780" t="str">
        <f>HYPERLINK("http://dx.doi.org/10.1016/j.precamres.2012.11.010","http://dx.doi.org/10.1016/j.precamres.2012.11.010")</f>
        <v>http://dx.doi.org/10.1016/j.precamres.2012.11.010</v>
      </c>
      <c r="BG780" t="s">
        <v>74</v>
      </c>
      <c r="BH780" t="s">
        <v>74</v>
      </c>
      <c r="BI780">
        <v>19</v>
      </c>
      <c r="BJ780" t="s">
        <v>1604</v>
      </c>
      <c r="BK780" t="s">
        <v>102</v>
      </c>
      <c r="BL780" t="s">
        <v>1605</v>
      </c>
      <c r="BM780" t="s">
        <v>14228</v>
      </c>
      <c r="BN780" t="s">
        <v>74</v>
      </c>
      <c r="BO780" t="s">
        <v>74</v>
      </c>
      <c r="BP780" t="s">
        <v>74</v>
      </c>
      <c r="BQ780" t="s">
        <v>74</v>
      </c>
      <c r="BR780" t="s">
        <v>105</v>
      </c>
      <c r="BS780" t="s">
        <v>14229</v>
      </c>
      <c r="BT780" t="str">
        <f>HYPERLINK("https%3A%2F%2Fwww.webofscience.com%2Fwos%2Fwoscc%2Ffull-record%2FWOS:000313765800038","View Full Record in Web of Science")</f>
        <v>View Full Record in Web of Science</v>
      </c>
    </row>
    <row r="781" spans="1:72" x14ac:dyDescent="0.15">
      <c r="A781" t="s">
        <v>3224</v>
      </c>
      <c r="B781" t="s">
        <v>14230</v>
      </c>
      <c r="C781" t="s">
        <v>74</v>
      </c>
      <c r="D781" t="s">
        <v>14231</v>
      </c>
      <c r="E781" t="s">
        <v>74</v>
      </c>
      <c r="F781" t="s">
        <v>14232</v>
      </c>
      <c r="G781" t="s">
        <v>74</v>
      </c>
      <c r="H781" t="s">
        <v>74</v>
      </c>
      <c r="I781" t="s">
        <v>14233</v>
      </c>
      <c r="J781" t="s">
        <v>14234</v>
      </c>
      <c r="K781" t="s">
        <v>14235</v>
      </c>
      <c r="L781" t="s">
        <v>74</v>
      </c>
      <c r="M781" t="s">
        <v>78</v>
      </c>
      <c r="N781" t="s">
        <v>3231</v>
      </c>
      <c r="O781" t="s">
        <v>14236</v>
      </c>
      <c r="P781" t="s">
        <v>14237</v>
      </c>
      <c r="Q781" t="s">
        <v>14238</v>
      </c>
      <c r="R781" t="s">
        <v>74</v>
      </c>
      <c r="S781" t="s">
        <v>74</v>
      </c>
      <c r="T781" t="s">
        <v>14239</v>
      </c>
      <c r="U781" t="s">
        <v>14240</v>
      </c>
      <c r="V781" t="s">
        <v>14241</v>
      </c>
      <c r="W781" t="s">
        <v>14242</v>
      </c>
      <c r="X781" t="s">
        <v>14243</v>
      </c>
      <c r="Y781" t="s">
        <v>14244</v>
      </c>
      <c r="Z781" t="s">
        <v>14245</v>
      </c>
      <c r="AA781" t="s">
        <v>14246</v>
      </c>
      <c r="AB781" t="s">
        <v>74</v>
      </c>
      <c r="AC781" t="s">
        <v>74</v>
      </c>
      <c r="AD781" t="s">
        <v>74</v>
      </c>
      <c r="AE781" t="s">
        <v>74</v>
      </c>
      <c r="AF781" t="s">
        <v>74</v>
      </c>
      <c r="AG781">
        <v>36</v>
      </c>
      <c r="AH781">
        <v>1</v>
      </c>
      <c r="AI781">
        <v>1</v>
      </c>
      <c r="AJ781">
        <v>0</v>
      </c>
      <c r="AK781">
        <v>2</v>
      </c>
      <c r="AL781" t="s">
        <v>14247</v>
      </c>
      <c r="AM781" t="s">
        <v>14248</v>
      </c>
      <c r="AN781" t="s">
        <v>14249</v>
      </c>
      <c r="AO781" t="s">
        <v>14250</v>
      </c>
      <c r="AP781" t="s">
        <v>74</v>
      </c>
      <c r="AQ781" t="s">
        <v>14251</v>
      </c>
      <c r="AR781" t="s">
        <v>14252</v>
      </c>
      <c r="AS781" t="s">
        <v>74</v>
      </c>
      <c r="AT781" t="s">
        <v>74</v>
      </c>
      <c r="AU781">
        <v>2013</v>
      </c>
      <c r="AV781" t="s">
        <v>74</v>
      </c>
      <c r="AW781" t="s">
        <v>74</v>
      </c>
      <c r="AX781" t="s">
        <v>74</v>
      </c>
      <c r="AY781" t="s">
        <v>74</v>
      </c>
      <c r="AZ781" t="s">
        <v>74</v>
      </c>
      <c r="BA781" t="s">
        <v>74</v>
      </c>
      <c r="BB781" t="s">
        <v>74</v>
      </c>
      <c r="BC781" t="s">
        <v>74</v>
      </c>
      <c r="BD781" t="s">
        <v>74</v>
      </c>
      <c r="BE781" t="s">
        <v>74</v>
      </c>
      <c r="BF781" t="s">
        <v>74</v>
      </c>
      <c r="BG781" t="s">
        <v>74</v>
      </c>
      <c r="BH781" t="s">
        <v>74</v>
      </c>
      <c r="BI781">
        <v>8</v>
      </c>
      <c r="BJ781" t="s">
        <v>14253</v>
      </c>
      <c r="BK781" t="s">
        <v>3247</v>
      </c>
      <c r="BL781" t="s">
        <v>14254</v>
      </c>
      <c r="BM781" t="s">
        <v>14255</v>
      </c>
      <c r="BN781" t="s">
        <v>74</v>
      </c>
      <c r="BO781" t="s">
        <v>74</v>
      </c>
      <c r="BP781" t="s">
        <v>74</v>
      </c>
      <c r="BQ781" t="s">
        <v>74</v>
      </c>
      <c r="BR781" t="s">
        <v>105</v>
      </c>
      <c r="BS781" t="s">
        <v>14256</v>
      </c>
      <c r="BT781" t="str">
        <f>HYPERLINK("https%3A%2F%2Fwww.webofscience.com%2Fwos%2Fwoscc%2Ffull-record%2FWOS:000346067900328","View Full Record in Web of Science")</f>
        <v>View Full Record in Web of Science</v>
      </c>
    </row>
    <row r="782" spans="1:72" x14ac:dyDescent="0.15">
      <c r="A782" t="s">
        <v>3224</v>
      </c>
      <c r="B782" t="s">
        <v>14257</v>
      </c>
      <c r="C782" t="s">
        <v>74</v>
      </c>
      <c r="D782" t="s">
        <v>5294</v>
      </c>
      <c r="E782" t="s">
        <v>74</v>
      </c>
      <c r="F782" t="s">
        <v>14258</v>
      </c>
      <c r="G782" t="s">
        <v>74</v>
      </c>
      <c r="H782" t="s">
        <v>74</v>
      </c>
      <c r="I782" t="s">
        <v>14259</v>
      </c>
      <c r="J782" t="s">
        <v>5297</v>
      </c>
      <c r="K782" t="s">
        <v>5298</v>
      </c>
      <c r="L782" t="s">
        <v>74</v>
      </c>
      <c r="M782" t="s">
        <v>78</v>
      </c>
      <c r="N782" t="s">
        <v>3231</v>
      </c>
      <c r="O782" t="s">
        <v>5299</v>
      </c>
      <c r="P782" t="s">
        <v>5300</v>
      </c>
      <c r="Q782" t="s">
        <v>5301</v>
      </c>
      <c r="R782" t="s">
        <v>74</v>
      </c>
      <c r="S782" t="s">
        <v>74</v>
      </c>
      <c r="T782" t="s">
        <v>14260</v>
      </c>
      <c r="U782" t="s">
        <v>14261</v>
      </c>
      <c r="V782" t="s">
        <v>14262</v>
      </c>
      <c r="W782" t="s">
        <v>14263</v>
      </c>
      <c r="X782" t="s">
        <v>14264</v>
      </c>
      <c r="Y782" t="s">
        <v>14265</v>
      </c>
      <c r="Z782" t="s">
        <v>14266</v>
      </c>
      <c r="AA782" t="s">
        <v>14267</v>
      </c>
      <c r="AB782" t="s">
        <v>14268</v>
      </c>
      <c r="AC782" t="s">
        <v>14269</v>
      </c>
      <c r="AD782" t="s">
        <v>14270</v>
      </c>
      <c r="AE782" t="s">
        <v>14271</v>
      </c>
      <c r="AF782" t="s">
        <v>74</v>
      </c>
      <c r="AG782">
        <v>11</v>
      </c>
      <c r="AH782">
        <v>3</v>
      </c>
      <c r="AI782">
        <v>3</v>
      </c>
      <c r="AJ782">
        <v>1</v>
      </c>
      <c r="AK782">
        <v>17</v>
      </c>
      <c r="AL782" t="s">
        <v>3827</v>
      </c>
      <c r="AM782" t="s">
        <v>3828</v>
      </c>
      <c r="AN782" t="s">
        <v>3829</v>
      </c>
      <c r="AO782" t="s">
        <v>5311</v>
      </c>
      <c r="AP782" t="s">
        <v>74</v>
      </c>
      <c r="AQ782" t="s">
        <v>74</v>
      </c>
      <c r="AR782" t="s">
        <v>5312</v>
      </c>
      <c r="AS782" t="s">
        <v>74</v>
      </c>
      <c r="AT782" t="s">
        <v>74</v>
      </c>
      <c r="AU782">
        <v>2013</v>
      </c>
      <c r="AV782">
        <v>1</v>
      </c>
      <c r="AW782" t="s">
        <v>74</v>
      </c>
      <c r="AX782" t="s">
        <v>74</v>
      </c>
      <c r="AY782" t="s">
        <v>74</v>
      </c>
      <c r="AZ782" t="s">
        <v>74</v>
      </c>
      <c r="BA782" t="s">
        <v>74</v>
      </c>
      <c r="BB782" t="s">
        <v>74</v>
      </c>
      <c r="BC782" t="s">
        <v>74</v>
      </c>
      <c r="BD782">
        <v>23001</v>
      </c>
      <c r="BE782" t="s">
        <v>14272</v>
      </c>
      <c r="BF782" t="str">
        <f>HYPERLINK("http://dx.doi.org/10.1051/e3sconf/20130123001","http://dx.doi.org/10.1051/e3sconf/20130123001")</f>
        <v>http://dx.doi.org/10.1051/e3sconf/20130123001</v>
      </c>
      <c r="BG782" t="s">
        <v>74</v>
      </c>
      <c r="BH782" t="s">
        <v>74</v>
      </c>
      <c r="BI782">
        <v>4</v>
      </c>
      <c r="BJ782" t="s">
        <v>5314</v>
      </c>
      <c r="BK782" t="s">
        <v>3247</v>
      </c>
      <c r="BL782" t="s">
        <v>4836</v>
      </c>
      <c r="BM782" t="s">
        <v>5315</v>
      </c>
      <c r="BN782" t="s">
        <v>74</v>
      </c>
      <c r="BO782" t="s">
        <v>3222</v>
      </c>
      <c r="BP782" t="s">
        <v>74</v>
      </c>
      <c r="BQ782" t="s">
        <v>74</v>
      </c>
      <c r="BR782" t="s">
        <v>105</v>
      </c>
      <c r="BS782" t="s">
        <v>14273</v>
      </c>
      <c r="BT782" t="str">
        <f>HYPERLINK("https%3A%2F%2Fwww.webofscience.com%2Fwos%2Fwoscc%2Ffull-record%2FWOS:000326475400180","View Full Record in Web of Science")</f>
        <v>View Full Record in Web of Science</v>
      </c>
    </row>
    <row r="783" spans="1:72" x14ac:dyDescent="0.15">
      <c r="A783" t="s">
        <v>3224</v>
      </c>
      <c r="B783" t="s">
        <v>14274</v>
      </c>
      <c r="C783" t="s">
        <v>74</v>
      </c>
      <c r="D783" t="s">
        <v>14275</v>
      </c>
      <c r="E783" t="s">
        <v>74</v>
      </c>
      <c r="F783" t="s">
        <v>14276</v>
      </c>
      <c r="G783" t="s">
        <v>74</v>
      </c>
      <c r="H783" t="s">
        <v>74</v>
      </c>
      <c r="I783" t="s">
        <v>14277</v>
      </c>
      <c r="J783" t="s">
        <v>14278</v>
      </c>
      <c r="K783" t="s">
        <v>4380</v>
      </c>
      <c r="L783" t="s">
        <v>74</v>
      </c>
      <c r="M783" t="s">
        <v>78</v>
      </c>
      <c r="N783" t="s">
        <v>3231</v>
      </c>
      <c r="O783" t="s">
        <v>14279</v>
      </c>
      <c r="P783" t="s">
        <v>14280</v>
      </c>
      <c r="Q783" t="s">
        <v>14281</v>
      </c>
      <c r="R783" t="s">
        <v>74</v>
      </c>
      <c r="S783" t="s">
        <v>74</v>
      </c>
      <c r="T783" t="s">
        <v>74</v>
      </c>
      <c r="U783" t="s">
        <v>74</v>
      </c>
      <c r="V783" t="s">
        <v>14282</v>
      </c>
      <c r="W783" t="s">
        <v>14283</v>
      </c>
      <c r="X783" t="s">
        <v>74</v>
      </c>
      <c r="Y783" t="s">
        <v>14284</v>
      </c>
      <c r="Z783" t="s">
        <v>14285</v>
      </c>
      <c r="AA783" t="s">
        <v>74</v>
      </c>
      <c r="AB783" t="s">
        <v>74</v>
      </c>
      <c r="AC783" t="s">
        <v>14286</v>
      </c>
      <c r="AD783" t="s">
        <v>14286</v>
      </c>
      <c r="AE783" t="s">
        <v>14287</v>
      </c>
      <c r="AF783" t="s">
        <v>74</v>
      </c>
      <c r="AG783">
        <v>6</v>
      </c>
      <c r="AH783">
        <v>0</v>
      </c>
      <c r="AI783">
        <v>0</v>
      </c>
      <c r="AJ783">
        <v>0</v>
      </c>
      <c r="AK783">
        <v>2</v>
      </c>
      <c r="AL783" t="s">
        <v>4387</v>
      </c>
      <c r="AM783" t="s">
        <v>4388</v>
      </c>
      <c r="AN783" t="s">
        <v>4389</v>
      </c>
      <c r="AO783" t="s">
        <v>4390</v>
      </c>
      <c r="AP783" t="s">
        <v>74</v>
      </c>
      <c r="AQ783" t="s">
        <v>14288</v>
      </c>
      <c r="AR783" t="s">
        <v>4392</v>
      </c>
      <c r="AS783" t="s">
        <v>74</v>
      </c>
      <c r="AT783" t="s">
        <v>74</v>
      </c>
      <c r="AU783">
        <v>2013</v>
      </c>
      <c r="AV783">
        <v>721</v>
      </c>
      <c r="AW783" t="s">
        <v>74</v>
      </c>
      <c r="AX783" t="s">
        <v>74</v>
      </c>
      <c r="AY783" t="s">
        <v>74</v>
      </c>
      <c r="AZ783" t="s">
        <v>74</v>
      </c>
      <c r="BA783" t="s">
        <v>74</v>
      </c>
      <c r="BB783">
        <v>603</v>
      </c>
      <c r="BC783">
        <v>607</v>
      </c>
      <c r="BD783" t="s">
        <v>74</v>
      </c>
      <c r="BE783" t="s">
        <v>74</v>
      </c>
      <c r="BF783" t="s">
        <v>74</v>
      </c>
      <c r="BG783" t="s">
        <v>74</v>
      </c>
      <c r="BH783" t="s">
        <v>74</v>
      </c>
      <c r="BI783">
        <v>5</v>
      </c>
      <c r="BJ783" t="s">
        <v>9028</v>
      </c>
      <c r="BK783" t="s">
        <v>3247</v>
      </c>
      <c r="BL783" t="s">
        <v>9029</v>
      </c>
      <c r="BM783" t="s">
        <v>14289</v>
      </c>
      <c r="BN783" t="s">
        <v>74</v>
      </c>
      <c r="BO783" t="s">
        <v>74</v>
      </c>
      <c r="BP783" t="s">
        <v>74</v>
      </c>
      <c r="BQ783" t="s">
        <v>74</v>
      </c>
      <c r="BR783" t="s">
        <v>105</v>
      </c>
      <c r="BS783" t="s">
        <v>14290</v>
      </c>
      <c r="BT783" t="str">
        <f>HYPERLINK("https%3A%2F%2Fwww.webofscience.com%2Fwos%2Fwoscc%2Ffull-record%2FWOS:000407525000090","View Full Record in Web of Science")</f>
        <v>View Full Record in Web of Science</v>
      </c>
    </row>
    <row r="784" spans="1:72" x14ac:dyDescent="0.15">
      <c r="A784" t="s">
        <v>3224</v>
      </c>
      <c r="B784" t="s">
        <v>14291</v>
      </c>
      <c r="C784" t="s">
        <v>74</v>
      </c>
      <c r="D784" t="s">
        <v>14292</v>
      </c>
      <c r="E784" t="s">
        <v>74</v>
      </c>
      <c r="F784" t="s">
        <v>14293</v>
      </c>
      <c r="G784" t="s">
        <v>74</v>
      </c>
      <c r="H784" t="s">
        <v>74</v>
      </c>
      <c r="I784" t="s">
        <v>14294</v>
      </c>
      <c r="J784" t="s">
        <v>14295</v>
      </c>
      <c r="K784" t="s">
        <v>74</v>
      </c>
      <c r="L784" t="s">
        <v>74</v>
      </c>
      <c r="M784" t="s">
        <v>78</v>
      </c>
      <c r="N784" t="s">
        <v>3231</v>
      </c>
      <c r="O784" t="s">
        <v>14296</v>
      </c>
      <c r="P784" t="s">
        <v>14297</v>
      </c>
      <c r="Q784" t="s">
        <v>14298</v>
      </c>
      <c r="R784" t="s">
        <v>74</v>
      </c>
      <c r="S784" t="s">
        <v>14299</v>
      </c>
      <c r="T784" t="s">
        <v>74</v>
      </c>
      <c r="U784" t="s">
        <v>14300</v>
      </c>
      <c r="V784" t="s">
        <v>14301</v>
      </c>
      <c r="W784" t="s">
        <v>14302</v>
      </c>
      <c r="X784" t="s">
        <v>14303</v>
      </c>
      <c r="Y784" t="s">
        <v>14304</v>
      </c>
      <c r="Z784" t="s">
        <v>14305</v>
      </c>
      <c r="AA784" t="s">
        <v>74</v>
      </c>
      <c r="AB784" t="s">
        <v>74</v>
      </c>
      <c r="AC784" t="s">
        <v>14306</v>
      </c>
      <c r="AD784" t="s">
        <v>14307</v>
      </c>
      <c r="AE784" t="s">
        <v>14308</v>
      </c>
      <c r="AF784" t="s">
        <v>74</v>
      </c>
      <c r="AG784">
        <v>9</v>
      </c>
      <c r="AH784">
        <v>0</v>
      </c>
      <c r="AI784">
        <v>0</v>
      </c>
      <c r="AJ784">
        <v>0</v>
      </c>
      <c r="AK784">
        <v>1</v>
      </c>
      <c r="AL784" t="s">
        <v>14309</v>
      </c>
      <c r="AM784" t="s">
        <v>322</v>
      </c>
      <c r="AN784" t="s">
        <v>14310</v>
      </c>
      <c r="AO784" t="s">
        <v>74</v>
      </c>
      <c r="AP784" t="s">
        <v>74</v>
      </c>
      <c r="AQ784" t="s">
        <v>14311</v>
      </c>
      <c r="AR784" t="s">
        <v>74</v>
      </c>
      <c r="AS784" t="s">
        <v>74</v>
      </c>
      <c r="AT784" t="s">
        <v>74</v>
      </c>
      <c r="AU784">
        <v>2013</v>
      </c>
      <c r="AV784" t="s">
        <v>74</v>
      </c>
      <c r="AW784" t="s">
        <v>74</v>
      </c>
      <c r="AX784" t="s">
        <v>74</v>
      </c>
      <c r="AY784" t="s">
        <v>74</v>
      </c>
      <c r="AZ784" t="s">
        <v>74</v>
      </c>
      <c r="BA784" t="s">
        <v>74</v>
      </c>
      <c r="BB784">
        <v>9167</v>
      </c>
      <c r="BC784">
        <v>9177</v>
      </c>
      <c r="BD784" t="s">
        <v>74</v>
      </c>
      <c r="BE784" t="s">
        <v>74</v>
      </c>
      <c r="BF784" t="s">
        <v>74</v>
      </c>
      <c r="BG784" t="s">
        <v>74</v>
      </c>
      <c r="BH784" t="s">
        <v>74</v>
      </c>
      <c r="BI784">
        <v>11</v>
      </c>
      <c r="BJ784" t="s">
        <v>14312</v>
      </c>
      <c r="BK784" t="s">
        <v>3247</v>
      </c>
      <c r="BL784" t="s">
        <v>14313</v>
      </c>
      <c r="BM784" t="s">
        <v>14314</v>
      </c>
      <c r="BN784" t="s">
        <v>74</v>
      </c>
      <c r="BO784" t="s">
        <v>74</v>
      </c>
      <c r="BP784" t="s">
        <v>74</v>
      </c>
      <c r="BQ784" t="s">
        <v>74</v>
      </c>
      <c r="BR784" t="s">
        <v>105</v>
      </c>
      <c r="BS784" t="s">
        <v>14315</v>
      </c>
      <c r="BT784" t="str">
        <f>HYPERLINK("https%3A%2F%2Fwww.webofscience.com%2Fwos%2Fwoscc%2Ffull-record%2FWOS:000401410900014","View Full Record in Web of Science")</f>
        <v>View Full Record in Web of Science</v>
      </c>
    </row>
    <row r="785" spans="1:72" x14ac:dyDescent="0.15">
      <c r="A785" t="s">
        <v>3224</v>
      </c>
      <c r="B785" t="s">
        <v>14316</v>
      </c>
      <c r="C785" t="s">
        <v>74</v>
      </c>
      <c r="D785" t="s">
        <v>14292</v>
      </c>
      <c r="E785" t="s">
        <v>74</v>
      </c>
      <c r="F785" t="s">
        <v>14317</v>
      </c>
      <c r="G785" t="s">
        <v>74</v>
      </c>
      <c r="H785" t="s">
        <v>74</v>
      </c>
      <c r="I785" t="s">
        <v>14318</v>
      </c>
      <c r="J785" t="s">
        <v>14295</v>
      </c>
      <c r="K785" t="s">
        <v>74</v>
      </c>
      <c r="L785" t="s">
        <v>74</v>
      </c>
      <c r="M785" t="s">
        <v>78</v>
      </c>
      <c r="N785" t="s">
        <v>3231</v>
      </c>
      <c r="O785" t="s">
        <v>14296</v>
      </c>
      <c r="P785" t="s">
        <v>14297</v>
      </c>
      <c r="Q785" t="s">
        <v>14298</v>
      </c>
      <c r="R785" t="s">
        <v>74</v>
      </c>
      <c r="S785" t="s">
        <v>14299</v>
      </c>
      <c r="T785" t="s">
        <v>74</v>
      </c>
      <c r="U785" t="s">
        <v>74</v>
      </c>
      <c r="V785" t="s">
        <v>14319</v>
      </c>
      <c r="W785" t="s">
        <v>14320</v>
      </c>
      <c r="X785" t="s">
        <v>14303</v>
      </c>
      <c r="Y785" t="s">
        <v>14321</v>
      </c>
      <c r="Z785" t="s">
        <v>14322</v>
      </c>
      <c r="AA785" t="s">
        <v>74</v>
      </c>
      <c r="AB785" t="s">
        <v>74</v>
      </c>
      <c r="AC785" t="s">
        <v>74</v>
      </c>
      <c r="AD785" t="s">
        <v>74</v>
      </c>
      <c r="AE785" t="s">
        <v>74</v>
      </c>
      <c r="AF785" t="s">
        <v>74</v>
      </c>
      <c r="AG785">
        <v>4</v>
      </c>
      <c r="AH785">
        <v>0</v>
      </c>
      <c r="AI785">
        <v>0</v>
      </c>
      <c r="AJ785">
        <v>0</v>
      </c>
      <c r="AK785">
        <v>2</v>
      </c>
      <c r="AL785" t="s">
        <v>14309</v>
      </c>
      <c r="AM785" t="s">
        <v>322</v>
      </c>
      <c r="AN785" t="s">
        <v>14310</v>
      </c>
      <c r="AO785" t="s">
        <v>74</v>
      </c>
      <c r="AP785" t="s">
        <v>74</v>
      </c>
      <c r="AQ785" t="s">
        <v>14311</v>
      </c>
      <c r="AR785" t="s">
        <v>74</v>
      </c>
      <c r="AS785" t="s">
        <v>74</v>
      </c>
      <c r="AT785" t="s">
        <v>74</v>
      </c>
      <c r="AU785">
        <v>2013</v>
      </c>
      <c r="AV785" t="s">
        <v>74</v>
      </c>
      <c r="AW785" t="s">
        <v>74</v>
      </c>
      <c r="AX785" t="s">
        <v>74</v>
      </c>
      <c r="AY785" t="s">
        <v>74</v>
      </c>
      <c r="AZ785" t="s">
        <v>74</v>
      </c>
      <c r="BA785" t="s">
        <v>74</v>
      </c>
      <c r="BB785" t="s">
        <v>74</v>
      </c>
      <c r="BC785" t="s">
        <v>74</v>
      </c>
      <c r="BD785" t="s">
        <v>74</v>
      </c>
      <c r="BE785" t="s">
        <v>74</v>
      </c>
      <c r="BF785" t="s">
        <v>74</v>
      </c>
      <c r="BG785" t="s">
        <v>74</v>
      </c>
      <c r="BH785" t="s">
        <v>74</v>
      </c>
      <c r="BI785">
        <v>12</v>
      </c>
      <c r="BJ785" t="s">
        <v>14312</v>
      </c>
      <c r="BK785" t="s">
        <v>3247</v>
      </c>
      <c r="BL785" t="s">
        <v>14313</v>
      </c>
      <c r="BM785" t="s">
        <v>14323</v>
      </c>
      <c r="BN785" t="s">
        <v>74</v>
      </c>
      <c r="BO785" t="s">
        <v>74</v>
      </c>
      <c r="BP785" t="s">
        <v>74</v>
      </c>
      <c r="BQ785" t="s">
        <v>74</v>
      </c>
      <c r="BR785" t="s">
        <v>105</v>
      </c>
      <c r="BS785" t="s">
        <v>14324</v>
      </c>
      <c r="BT785" t="str">
        <f>HYPERLINK("https%3A%2F%2Fwww.webofscience.com%2Fwos%2Fwoscc%2Ffull-record%2FWOS:000370410302093","View Full Record in Web of Science")</f>
        <v>View Full Record in Web of Science</v>
      </c>
    </row>
    <row r="786" spans="1:72" x14ac:dyDescent="0.15">
      <c r="A786" t="s">
        <v>72</v>
      </c>
      <c r="B786" t="s">
        <v>14325</v>
      </c>
      <c r="C786" t="s">
        <v>74</v>
      </c>
      <c r="D786" t="s">
        <v>74</v>
      </c>
      <c r="E786" t="s">
        <v>74</v>
      </c>
      <c r="F786" t="s">
        <v>14326</v>
      </c>
      <c r="G786" t="s">
        <v>74</v>
      </c>
      <c r="H786" t="s">
        <v>74</v>
      </c>
      <c r="I786" t="s">
        <v>14327</v>
      </c>
      <c r="J786" t="s">
        <v>14328</v>
      </c>
      <c r="K786" t="s">
        <v>74</v>
      </c>
      <c r="L786" t="s">
        <v>74</v>
      </c>
      <c r="M786" t="s">
        <v>78</v>
      </c>
      <c r="N786" t="s">
        <v>1120</v>
      </c>
      <c r="O786" t="s">
        <v>74</v>
      </c>
      <c r="P786" t="s">
        <v>74</v>
      </c>
      <c r="Q786" t="s">
        <v>74</v>
      </c>
      <c r="R786" t="s">
        <v>74</v>
      </c>
      <c r="S786" t="s">
        <v>74</v>
      </c>
      <c r="T786" t="s">
        <v>74</v>
      </c>
      <c r="U786" t="s">
        <v>14329</v>
      </c>
      <c r="V786" t="s">
        <v>14330</v>
      </c>
      <c r="W786" t="s">
        <v>14331</v>
      </c>
      <c r="X786" t="s">
        <v>14332</v>
      </c>
      <c r="Y786" t="s">
        <v>14333</v>
      </c>
      <c r="Z786" t="s">
        <v>14334</v>
      </c>
      <c r="AA786" t="s">
        <v>74</v>
      </c>
      <c r="AB786" t="s">
        <v>14335</v>
      </c>
      <c r="AC786" t="s">
        <v>74</v>
      </c>
      <c r="AD786" t="s">
        <v>74</v>
      </c>
      <c r="AE786" t="s">
        <v>74</v>
      </c>
      <c r="AF786" t="s">
        <v>74</v>
      </c>
      <c r="AG786">
        <v>118</v>
      </c>
      <c r="AH786">
        <v>115</v>
      </c>
      <c r="AI786">
        <v>124</v>
      </c>
      <c r="AJ786">
        <v>3</v>
      </c>
      <c r="AK786">
        <v>123</v>
      </c>
      <c r="AL786" t="s">
        <v>146</v>
      </c>
      <c r="AM786" t="s">
        <v>147</v>
      </c>
      <c r="AN786" t="s">
        <v>148</v>
      </c>
      <c r="AO786" t="s">
        <v>14336</v>
      </c>
      <c r="AP786" t="s">
        <v>74</v>
      </c>
      <c r="AQ786" t="s">
        <v>74</v>
      </c>
      <c r="AR786" t="s">
        <v>14337</v>
      </c>
      <c r="AS786" t="s">
        <v>14338</v>
      </c>
      <c r="AT786" t="s">
        <v>5170</v>
      </c>
      <c r="AU786">
        <v>2013</v>
      </c>
      <c r="AV786">
        <v>108</v>
      </c>
      <c r="AW786" t="s">
        <v>74</v>
      </c>
      <c r="AX786" t="s">
        <v>74</v>
      </c>
      <c r="AY786" t="s">
        <v>74</v>
      </c>
      <c r="AZ786" t="s">
        <v>74</v>
      </c>
      <c r="BA786" t="s">
        <v>74</v>
      </c>
      <c r="BB786">
        <v>1</v>
      </c>
      <c r="BC786">
        <v>42</v>
      </c>
      <c r="BD786" t="s">
        <v>74</v>
      </c>
      <c r="BE786" t="s">
        <v>14339</v>
      </c>
      <c r="BF786" t="str">
        <f>HYPERLINK("http://dx.doi.org/10.1016/j.pocean.2012.10.006","http://dx.doi.org/10.1016/j.pocean.2012.10.006")</f>
        <v>http://dx.doi.org/10.1016/j.pocean.2012.10.006</v>
      </c>
      <c r="BG786" t="s">
        <v>74</v>
      </c>
      <c r="BH786" t="s">
        <v>74</v>
      </c>
      <c r="BI786">
        <v>42</v>
      </c>
      <c r="BJ786" t="s">
        <v>303</v>
      </c>
      <c r="BK786" t="s">
        <v>102</v>
      </c>
      <c r="BL786" t="s">
        <v>303</v>
      </c>
      <c r="BM786" t="s">
        <v>14340</v>
      </c>
      <c r="BN786" t="s">
        <v>74</v>
      </c>
      <c r="BO786" t="s">
        <v>74</v>
      </c>
      <c r="BP786" t="s">
        <v>74</v>
      </c>
      <c r="BQ786" t="s">
        <v>74</v>
      </c>
      <c r="BR786" t="s">
        <v>105</v>
      </c>
      <c r="BS786" t="s">
        <v>14341</v>
      </c>
      <c r="BT786" t="str">
        <f>HYPERLINK("https%3A%2F%2Fwww.webofscience.com%2Fwos%2Fwoscc%2Ffull-record%2FWOS:000314010800001","View Full Record in Web of Science")</f>
        <v>View Full Record in Web of Science</v>
      </c>
    </row>
    <row r="787" spans="1:72" x14ac:dyDescent="0.15">
      <c r="A787" t="s">
        <v>72</v>
      </c>
      <c r="B787" t="s">
        <v>14342</v>
      </c>
      <c r="C787" t="s">
        <v>74</v>
      </c>
      <c r="D787" t="s">
        <v>74</v>
      </c>
      <c r="E787" t="s">
        <v>74</v>
      </c>
      <c r="F787" t="s">
        <v>14343</v>
      </c>
      <c r="G787" t="s">
        <v>74</v>
      </c>
      <c r="H787" t="s">
        <v>74</v>
      </c>
      <c r="I787" t="s">
        <v>14344</v>
      </c>
      <c r="J787" t="s">
        <v>14345</v>
      </c>
      <c r="K787" t="s">
        <v>74</v>
      </c>
      <c r="L787" t="s">
        <v>74</v>
      </c>
      <c r="M787" t="s">
        <v>78</v>
      </c>
      <c r="N787" t="s">
        <v>79</v>
      </c>
      <c r="O787" t="s">
        <v>74</v>
      </c>
      <c r="P787" t="s">
        <v>74</v>
      </c>
      <c r="Q787" t="s">
        <v>74</v>
      </c>
      <c r="R787" t="s">
        <v>74</v>
      </c>
      <c r="S787" t="s">
        <v>74</v>
      </c>
      <c r="T787" t="s">
        <v>14346</v>
      </c>
      <c r="U787" t="s">
        <v>14347</v>
      </c>
      <c r="V787" t="s">
        <v>14348</v>
      </c>
      <c r="W787" t="s">
        <v>14349</v>
      </c>
      <c r="X787" t="s">
        <v>14350</v>
      </c>
      <c r="Y787" t="s">
        <v>14351</v>
      </c>
      <c r="Z787" t="s">
        <v>14352</v>
      </c>
      <c r="AA787" t="s">
        <v>14353</v>
      </c>
      <c r="AB787" t="s">
        <v>14354</v>
      </c>
      <c r="AC787" t="s">
        <v>14355</v>
      </c>
      <c r="AD787" t="s">
        <v>14356</v>
      </c>
      <c r="AE787" t="s">
        <v>14357</v>
      </c>
      <c r="AF787" t="s">
        <v>74</v>
      </c>
      <c r="AG787">
        <v>91</v>
      </c>
      <c r="AH787">
        <v>75</v>
      </c>
      <c r="AI787">
        <v>83</v>
      </c>
      <c r="AJ787">
        <v>1</v>
      </c>
      <c r="AK787">
        <v>58</v>
      </c>
      <c r="AL787" t="s">
        <v>6804</v>
      </c>
      <c r="AM787" t="s">
        <v>6805</v>
      </c>
      <c r="AN787" t="s">
        <v>6806</v>
      </c>
      <c r="AO787" t="s">
        <v>14358</v>
      </c>
      <c r="AP787" t="s">
        <v>14359</v>
      </c>
      <c r="AQ787" t="s">
        <v>74</v>
      </c>
      <c r="AR787" t="s">
        <v>14345</v>
      </c>
      <c r="AS787" t="s">
        <v>14360</v>
      </c>
      <c r="AT787" t="s">
        <v>5170</v>
      </c>
      <c r="AU787">
        <v>2013</v>
      </c>
      <c r="AV787">
        <v>164</v>
      </c>
      <c r="AW787">
        <v>1</v>
      </c>
      <c r="AX787" t="s">
        <v>74</v>
      </c>
      <c r="AY787" t="s">
        <v>74</v>
      </c>
      <c r="AZ787" t="s">
        <v>74</v>
      </c>
      <c r="BA787" t="s">
        <v>74</v>
      </c>
      <c r="BB787">
        <v>101</v>
      </c>
      <c r="BC787">
        <v>115</v>
      </c>
      <c r="BD787" t="s">
        <v>74</v>
      </c>
      <c r="BE787" t="s">
        <v>14361</v>
      </c>
      <c r="BF787" t="str">
        <f>HYPERLINK("http://dx.doi.org/10.1016/j.protis.2012.04.001","http://dx.doi.org/10.1016/j.protis.2012.04.001")</f>
        <v>http://dx.doi.org/10.1016/j.protis.2012.04.001</v>
      </c>
      <c r="BG787" t="s">
        <v>74</v>
      </c>
      <c r="BH787" t="s">
        <v>74</v>
      </c>
      <c r="BI787">
        <v>15</v>
      </c>
      <c r="BJ787" t="s">
        <v>1139</v>
      </c>
      <c r="BK787" t="s">
        <v>102</v>
      </c>
      <c r="BL787" t="s">
        <v>1139</v>
      </c>
      <c r="BM787" t="s">
        <v>14362</v>
      </c>
      <c r="BN787">
        <v>22554828</v>
      </c>
      <c r="BO787" t="s">
        <v>429</v>
      </c>
      <c r="BP787" t="s">
        <v>74</v>
      </c>
      <c r="BQ787" t="s">
        <v>74</v>
      </c>
      <c r="BR787" t="s">
        <v>105</v>
      </c>
      <c r="BS787" t="s">
        <v>14363</v>
      </c>
      <c r="BT787" t="str">
        <f>HYPERLINK("https%3A%2F%2Fwww.webofscience.com%2Fwos%2Fwoscc%2Ffull-record%2FWOS:000312188500010","View Full Record in Web of Science")</f>
        <v>View Full Record in Web of Science</v>
      </c>
    </row>
    <row r="788" spans="1:72" x14ac:dyDescent="0.15">
      <c r="A788" t="s">
        <v>3224</v>
      </c>
      <c r="B788" t="s">
        <v>14364</v>
      </c>
      <c r="C788" t="s">
        <v>74</v>
      </c>
      <c r="D788" t="s">
        <v>6757</v>
      </c>
      <c r="E788" t="s">
        <v>74</v>
      </c>
      <c r="F788" t="s">
        <v>14365</v>
      </c>
      <c r="G788" t="s">
        <v>74</v>
      </c>
      <c r="H788" t="s">
        <v>74</v>
      </c>
      <c r="I788" t="s">
        <v>14366</v>
      </c>
      <c r="J788" t="s">
        <v>6760</v>
      </c>
      <c r="K788" t="s">
        <v>4212</v>
      </c>
      <c r="L788" t="s">
        <v>74</v>
      </c>
      <c r="M788" t="s">
        <v>78</v>
      </c>
      <c r="N788" t="s">
        <v>3231</v>
      </c>
      <c r="O788" t="s">
        <v>6761</v>
      </c>
      <c r="P788" t="s">
        <v>6762</v>
      </c>
      <c r="Q788" t="s">
        <v>6763</v>
      </c>
      <c r="R788" t="s">
        <v>74</v>
      </c>
      <c r="S788" t="s">
        <v>6764</v>
      </c>
      <c r="T788" t="s">
        <v>14367</v>
      </c>
      <c r="U788" t="s">
        <v>14368</v>
      </c>
      <c r="V788" t="s">
        <v>14369</v>
      </c>
      <c r="W788" t="s">
        <v>14370</v>
      </c>
      <c r="X788" t="s">
        <v>14371</v>
      </c>
      <c r="Y788" t="s">
        <v>14372</v>
      </c>
      <c r="Z788" t="s">
        <v>74</v>
      </c>
      <c r="AA788" t="s">
        <v>14373</v>
      </c>
      <c r="AB788" t="s">
        <v>14374</v>
      </c>
      <c r="AC788" t="s">
        <v>74</v>
      </c>
      <c r="AD788" t="s">
        <v>74</v>
      </c>
      <c r="AE788" t="s">
        <v>74</v>
      </c>
      <c r="AF788" t="s">
        <v>74</v>
      </c>
      <c r="AG788">
        <v>14</v>
      </c>
      <c r="AH788">
        <v>1</v>
      </c>
      <c r="AI788">
        <v>1</v>
      </c>
      <c r="AJ788">
        <v>0</v>
      </c>
      <c r="AK788">
        <v>7</v>
      </c>
      <c r="AL788" t="s">
        <v>4224</v>
      </c>
      <c r="AM788" t="s">
        <v>4225</v>
      </c>
      <c r="AN788" t="s">
        <v>4226</v>
      </c>
      <c r="AO788" t="s">
        <v>4227</v>
      </c>
      <c r="AP788" t="s">
        <v>74</v>
      </c>
      <c r="AQ788" t="s">
        <v>6773</v>
      </c>
      <c r="AR788" t="s">
        <v>4229</v>
      </c>
      <c r="AS788" t="s">
        <v>74</v>
      </c>
      <c r="AT788" t="s">
        <v>74</v>
      </c>
      <c r="AU788">
        <v>2013</v>
      </c>
      <c r="AV788">
        <v>1531</v>
      </c>
      <c r="AW788" t="s">
        <v>74</v>
      </c>
      <c r="AX788" t="s">
        <v>74</v>
      </c>
      <c r="AY788" t="s">
        <v>74</v>
      </c>
      <c r="AZ788" t="s">
        <v>74</v>
      </c>
      <c r="BA788" t="s">
        <v>74</v>
      </c>
      <c r="BB788">
        <v>300</v>
      </c>
      <c r="BC788">
        <v>303</v>
      </c>
      <c r="BD788" t="s">
        <v>74</v>
      </c>
      <c r="BE788" t="s">
        <v>14375</v>
      </c>
      <c r="BF788" t="str">
        <f>HYPERLINK("http://dx.doi.org/10.1063/1.4804766","http://dx.doi.org/10.1063/1.4804766")</f>
        <v>http://dx.doi.org/10.1063/1.4804766</v>
      </c>
      <c r="BG788" t="s">
        <v>74</v>
      </c>
      <c r="BH788" t="s">
        <v>74</v>
      </c>
      <c r="BI788">
        <v>4</v>
      </c>
      <c r="BJ788" t="s">
        <v>6775</v>
      </c>
      <c r="BK788" t="s">
        <v>3247</v>
      </c>
      <c r="BL788" t="s">
        <v>6776</v>
      </c>
      <c r="BM788" t="s">
        <v>6777</v>
      </c>
      <c r="BN788" t="s">
        <v>74</v>
      </c>
      <c r="BO788" t="s">
        <v>128</v>
      </c>
      <c r="BP788" t="s">
        <v>74</v>
      </c>
      <c r="BQ788" t="s">
        <v>74</v>
      </c>
      <c r="BR788" t="s">
        <v>105</v>
      </c>
      <c r="BS788" t="s">
        <v>14376</v>
      </c>
      <c r="BT788" t="str">
        <f>HYPERLINK("https%3A%2F%2Fwww.webofscience.com%2Fwos%2Fwoscc%2Ffull-record%2FWOS:000320763100072","View Full Record in Web of Science")</f>
        <v>View Full Record in Web of Science</v>
      </c>
    </row>
    <row r="789" spans="1:72" x14ac:dyDescent="0.15">
      <c r="A789" t="s">
        <v>3224</v>
      </c>
      <c r="B789" t="s">
        <v>14377</v>
      </c>
      <c r="C789" t="s">
        <v>74</v>
      </c>
      <c r="D789" t="s">
        <v>5347</v>
      </c>
      <c r="E789" t="s">
        <v>74</v>
      </c>
      <c r="F789" t="s">
        <v>14378</v>
      </c>
      <c r="G789" t="s">
        <v>74</v>
      </c>
      <c r="H789" t="s">
        <v>74</v>
      </c>
      <c r="I789" t="s">
        <v>14379</v>
      </c>
      <c r="J789" t="s">
        <v>5350</v>
      </c>
      <c r="K789" t="s">
        <v>5255</v>
      </c>
      <c r="L789" t="s">
        <v>74</v>
      </c>
      <c r="M789" t="s">
        <v>78</v>
      </c>
      <c r="N789" t="s">
        <v>3231</v>
      </c>
      <c r="O789" t="s">
        <v>5351</v>
      </c>
      <c r="P789" t="s">
        <v>5352</v>
      </c>
      <c r="Q789" t="s">
        <v>5353</v>
      </c>
      <c r="R789" t="s">
        <v>74</v>
      </c>
      <c r="S789" t="s">
        <v>74</v>
      </c>
      <c r="T789" t="s">
        <v>14380</v>
      </c>
      <c r="U789" t="s">
        <v>14381</v>
      </c>
      <c r="V789" t="s">
        <v>14382</v>
      </c>
      <c r="W789" t="s">
        <v>14383</v>
      </c>
      <c r="X789" t="s">
        <v>14384</v>
      </c>
      <c r="Y789" t="s">
        <v>14385</v>
      </c>
      <c r="Z789" t="s">
        <v>14386</v>
      </c>
      <c r="AA789" t="s">
        <v>14387</v>
      </c>
      <c r="AB789" t="s">
        <v>14388</v>
      </c>
      <c r="AC789" t="s">
        <v>14389</v>
      </c>
      <c r="AD789" t="s">
        <v>14390</v>
      </c>
      <c r="AE789" t="s">
        <v>14391</v>
      </c>
      <c r="AF789" t="s">
        <v>74</v>
      </c>
      <c r="AG789">
        <v>20</v>
      </c>
      <c r="AH789">
        <v>0</v>
      </c>
      <c r="AI789">
        <v>0</v>
      </c>
      <c r="AJ789">
        <v>0</v>
      </c>
      <c r="AK789">
        <v>19</v>
      </c>
      <c r="AL789" t="s">
        <v>5265</v>
      </c>
      <c r="AM789" t="s">
        <v>5266</v>
      </c>
      <c r="AN789" t="s">
        <v>5267</v>
      </c>
      <c r="AO789" t="s">
        <v>5268</v>
      </c>
      <c r="AP789" t="s">
        <v>5289</v>
      </c>
      <c r="AQ789" t="s">
        <v>5363</v>
      </c>
      <c r="AR789" t="s">
        <v>5270</v>
      </c>
      <c r="AS789" t="s">
        <v>74</v>
      </c>
      <c r="AT789" t="s">
        <v>74</v>
      </c>
      <c r="AU789">
        <v>2013</v>
      </c>
      <c r="AV789">
        <v>8890</v>
      </c>
      <c r="AW789" t="s">
        <v>74</v>
      </c>
      <c r="AX789" t="s">
        <v>74</v>
      </c>
      <c r="AY789" t="s">
        <v>74</v>
      </c>
      <c r="AZ789" t="s">
        <v>74</v>
      </c>
      <c r="BA789" t="s">
        <v>74</v>
      </c>
      <c r="BB789" t="s">
        <v>74</v>
      </c>
      <c r="BC789" t="s">
        <v>74</v>
      </c>
      <c r="BD789">
        <v>889005</v>
      </c>
      <c r="BE789" t="s">
        <v>14392</v>
      </c>
      <c r="BF789" t="str">
        <f>HYPERLINK("http://dx.doi.org/10.1117/12.2029277","http://dx.doi.org/10.1117/12.2029277")</f>
        <v>http://dx.doi.org/10.1117/12.2029277</v>
      </c>
      <c r="BG789" t="s">
        <v>74</v>
      </c>
      <c r="BH789" t="s">
        <v>74</v>
      </c>
      <c r="BI789">
        <v>11</v>
      </c>
      <c r="BJ789" t="s">
        <v>5365</v>
      </c>
      <c r="BK789" t="s">
        <v>3247</v>
      </c>
      <c r="BL789" t="s">
        <v>5365</v>
      </c>
      <c r="BM789" t="s">
        <v>5366</v>
      </c>
      <c r="BN789" t="s">
        <v>74</v>
      </c>
      <c r="BO789" t="s">
        <v>74</v>
      </c>
      <c r="BP789" t="s">
        <v>74</v>
      </c>
      <c r="BQ789" t="s">
        <v>74</v>
      </c>
      <c r="BR789" t="s">
        <v>105</v>
      </c>
      <c r="BS789" t="s">
        <v>14393</v>
      </c>
      <c r="BT789" t="str">
        <f>HYPERLINK("https%3A%2F%2Fwww.webofscience.com%2Fwos%2Fwoscc%2Ffull-record%2FWOS:000327077500003","View Full Record in Web of Science")</f>
        <v>View Full Record in Web of Science</v>
      </c>
    </row>
    <row r="790" spans="1:72" x14ac:dyDescent="0.15">
      <c r="A790" t="s">
        <v>72</v>
      </c>
      <c r="B790" t="s">
        <v>14394</v>
      </c>
      <c r="C790" t="s">
        <v>74</v>
      </c>
      <c r="D790" t="s">
        <v>74</v>
      </c>
      <c r="E790" t="s">
        <v>74</v>
      </c>
      <c r="F790" t="s">
        <v>14395</v>
      </c>
      <c r="G790" t="s">
        <v>74</v>
      </c>
      <c r="H790" t="s">
        <v>74</v>
      </c>
      <c r="I790" t="s">
        <v>14396</v>
      </c>
      <c r="J790" t="s">
        <v>14397</v>
      </c>
      <c r="K790" t="s">
        <v>74</v>
      </c>
      <c r="L790" t="s">
        <v>74</v>
      </c>
      <c r="M790" t="s">
        <v>78</v>
      </c>
      <c r="N790" t="s">
        <v>79</v>
      </c>
      <c r="O790" t="s">
        <v>74</v>
      </c>
      <c r="P790" t="s">
        <v>74</v>
      </c>
      <c r="Q790" t="s">
        <v>74</v>
      </c>
      <c r="R790" t="s">
        <v>74</v>
      </c>
      <c r="S790" t="s">
        <v>74</v>
      </c>
      <c r="T790" t="s">
        <v>14398</v>
      </c>
      <c r="U790" t="s">
        <v>14399</v>
      </c>
      <c r="V790" t="s">
        <v>14400</v>
      </c>
      <c r="W790" t="s">
        <v>14401</v>
      </c>
      <c r="X790" t="s">
        <v>14402</v>
      </c>
      <c r="Y790" t="s">
        <v>14403</v>
      </c>
      <c r="Z790" t="s">
        <v>14404</v>
      </c>
      <c r="AA790" t="s">
        <v>14405</v>
      </c>
      <c r="AB790" t="s">
        <v>14406</v>
      </c>
      <c r="AC790" t="s">
        <v>14407</v>
      </c>
      <c r="AD790" t="s">
        <v>14408</v>
      </c>
      <c r="AE790" t="s">
        <v>14409</v>
      </c>
      <c r="AF790" t="s">
        <v>74</v>
      </c>
      <c r="AG790">
        <v>49</v>
      </c>
      <c r="AH790">
        <v>27</v>
      </c>
      <c r="AI790">
        <v>31</v>
      </c>
      <c r="AJ790">
        <v>1</v>
      </c>
      <c r="AK790">
        <v>51</v>
      </c>
      <c r="AL790" t="s">
        <v>9724</v>
      </c>
      <c r="AM790" t="s">
        <v>296</v>
      </c>
      <c r="AN790" t="s">
        <v>14410</v>
      </c>
      <c r="AO790" t="s">
        <v>14411</v>
      </c>
      <c r="AP790" t="s">
        <v>14412</v>
      </c>
      <c r="AQ790" t="s">
        <v>74</v>
      </c>
      <c r="AR790" t="s">
        <v>14413</v>
      </c>
      <c r="AS790" t="s">
        <v>14414</v>
      </c>
      <c r="AT790" t="s">
        <v>5170</v>
      </c>
      <c r="AU790">
        <v>2013</v>
      </c>
      <c r="AV790">
        <v>128</v>
      </c>
      <c r="AW790" t="s">
        <v>74</v>
      </c>
      <c r="AX790" t="s">
        <v>74</v>
      </c>
      <c r="AY790" t="s">
        <v>74</v>
      </c>
      <c r="AZ790" t="s">
        <v>74</v>
      </c>
      <c r="BA790" t="s">
        <v>74</v>
      </c>
      <c r="BB790">
        <v>11</v>
      </c>
      <c r="BC790">
        <v>20</v>
      </c>
      <c r="BD790" t="s">
        <v>74</v>
      </c>
      <c r="BE790" t="s">
        <v>14415</v>
      </c>
      <c r="BF790" t="str">
        <f>HYPERLINK("http://dx.doi.org/10.1016/j.rse.2012.09.007","http://dx.doi.org/10.1016/j.rse.2012.09.007")</f>
        <v>http://dx.doi.org/10.1016/j.rse.2012.09.007</v>
      </c>
      <c r="BG790" t="s">
        <v>74</v>
      </c>
      <c r="BH790" t="s">
        <v>74</v>
      </c>
      <c r="BI790">
        <v>10</v>
      </c>
      <c r="BJ790" t="s">
        <v>14416</v>
      </c>
      <c r="BK790" t="s">
        <v>102</v>
      </c>
      <c r="BL790" t="s">
        <v>14417</v>
      </c>
      <c r="BM790" t="s">
        <v>14418</v>
      </c>
      <c r="BN790" t="s">
        <v>74</v>
      </c>
      <c r="BO790" t="s">
        <v>74</v>
      </c>
      <c r="BP790" t="s">
        <v>74</v>
      </c>
      <c r="BQ790" t="s">
        <v>74</v>
      </c>
      <c r="BR790" t="s">
        <v>105</v>
      </c>
      <c r="BS790" t="s">
        <v>14419</v>
      </c>
      <c r="BT790" t="str">
        <f>HYPERLINK("https%3A%2F%2Fwww.webofscience.com%2Fwos%2Fwoscc%2Ffull-record%2FWOS:000312757600002","View Full Record in Web of Science")</f>
        <v>View Full Record in Web of Science</v>
      </c>
    </row>
    <row r="791" spans="1:72" x14ac:dyDescent="0.15">
      <c r="A791" t="s">
        <v>72</v>
      </c>
      <c r="B791" t="s">
        <v>14420</v>
      </c>
      <c r="C791" t="s">
        <v>74</v>
      </c>
      <c r="D791" t="s">
        <v>74</v>
      </c>
      <c r="E791" t="s">
        <v>74</v>
      </c>
      <c r="F791" t="s">
        <v>14421</v>
      </c>
      <c r="G791" t="s">
        <v>74</v>
      </c>
      <c r="H791" t="s">
        <v>74</v>
      </c>
      <c r="I791" t="s">
        <v>14422</v>
      </c>
      <c r="J791" t="s">
        <v>14423</v>
      </c>
      <c r="K791" t="s">
        <v>74</v>
      </c>
      <c r="L791" t="s">
        <v>74</v>
      </c>
      <c r="M791" t="s">
        <v>4282</v>
      </c>
      <c r="N791" t="s">
        <v>79</v>
      </c>
      <c r="O791" t="s">
        <v>74</v>
      </c>
      <c r="P791" t="s">
        <v>74</v>
      </c>
      <c r="Q791" t="s">
        <v>74</v>
      </c>
      <c r="R791" t="s">
        <v>74</v>
      </c>
      <c r="S791" t="s">
        <v>74</v>
      </c>
      <c r="T791" t="s">
        <v>14424</v>
      </c>
      <c r="U791" t="s">
        <v>74</v>
      </c>
      <c r="V791" t="s">
        <v>14425</v>
      </c>
      <c r="W791" t="s">
        <v>14426</v>
      </c>
      <c r="X791" t="s">
        <v>14427</v>
      </c>
      <c r="Y791" t="s">
        <v>14428</v>
      </c>
      <c r="Z791" t="s">
        <v>14429</v>
      </c>
      <c r="AA791" t="s">
        <v>74</v>
      </c>
      <c r="AB791" t="s">
        <v>74</v>
      </c>
      <c r="AC791" t="s">
        <v>74</v>
      </c>
      <c r="AD791" t="s">
        <v>74</v>
      </c>
      <c r="AE791" t="s">
        <v>74</v>
      </c>
      <c r="AF791" t="s">
        <v>74</v>
      </c>
      <c r="AG791">
        <v>55</v>
      </c>
      <c r="AH791">
        <v>0</v>
      </c>
      <c r="AI791">
        <v>0</v>
      </c>
      <c r="AJ791">
        <v>0</v>
      </c>
      <c r="AK791">
        <v>0</v>
      </c>
      <c r="AL791" t="s">
        <v>14430</v>
      </c>
      <c r="AM791" t="s">
        <v>4340</v>
      </c>
      <c r="AN791" t="s">
        <v>14431</v>
      </c>
      <c r="AO791" t="s">
        <v>14432</v>
      </c>
      <c r="AP791" t="s">
        <v>74</v>
      </c>
      <c r="AQ791" t="s">
        <v>74</v>
      </c>
      <c r="AR791" t="s">
        <v>14433</v>
      </c>
      <c r="AS791" t="s">
        <v>14434</v>
      </c>
      <c r="AT791" t="s">
        <v>74</v>
      </c>
      <c r="AU791">
        <v>2013</v>
      </c>
      <c r="AV791" t="s">
        <v>74</v>
      </c>
      <c r="AW791">
        <v>9</v>
      </c>
      <c r="AX791" t="s">
        <v>74</v>
      </c>
      <c r="AY791" t="s">
        <v>74</v>
      </c>
      <c r="AZ791" t="s">
        <v>74</v>
      </c>
      <c r="BA791" t="s">
        <v>74</v>
      </c>
      <c r="BB791">
        <v>11</v>
      </c>
      <c r="BC791">
        <v>37</v>
      </c>
      <c r="BD791" t="s">
        <v>74</v>
      </c>
      <c r="BE791" t="s">
        <v>74</v>
      </c>
      <c r="BF791" t="s">
        <v>74</v>
      </c>
      <c r="BG791" t="s">
        <v>74</v>
      </c>
      <c r="BH791" t="s">
        <v>74</v>
      </c>
      <c r="BI791">
        <v>27</v>
      </c>
      <c r="BJ791" t="s">
        <v>14435</v>
      </c>
      <c r="BK791" t="s">
        <v>1717</v>
      </c>
      <c r="BL791" t="s">
        <v>14435</v>
      </c>
      <c r="BM791" t="s">
        <v>14436</v>
      </c>
      <c r="BN791" t="s">
        <v>74</v>
      </c>
      <c r="BO791" t="s">
        <v>74</v>
      </c>
      <c r="BP791" t="s">
        <v>74</v>
      </c>
      <c r="BQ791" t="s">
        <v>74</v>
      </c>
      <c r="BR791" t="s">
        <v>105</v>
      </c>
      <c r="BS791" t="s">
        <v>14437</v>
      </c>
      <c r="BT791" t="str">
        <f>HYPERLINK("https%3A%2F%2Fwww.webofscience.com%2Fwos%2Fwoscc%2Ffull-record%2FWOS:000420803100002","View Full Record in Web of Science")</f>
        <v>View Full Record in Web of Science</v>
      </c>
    </row>
    <row r="792" spans="1:72" x14ac:dyDescent="0.15">
      <c r="A792" t="s">
        <v>72</v>
      </c>
      <c r="B792" t="s">
        <v>14438</v>
      </c>
      <c r="C792" t="s">
        <v>74</v>
      </c>
      <c r="D792" t="s">
        <v>74</v>
      </c>
      <c r="E792" t="s">
        <v>74</v>
      </c>
      <c r="F792" t="s">
        <v>14439</v>
      </c>
      <c r="G792" t="s">
        <v>74</v>
      </c>
      <c r="H792" t="s">
        <v>74</v>
      </c>
      <c r="I792" t="s">
        <v>14440</v>
      </c>
      <c r="J792" t="s">
        <v>14441</v>
      </c>
      <c r="K792" t="s">
        <v>74</v>
      </c>
      <c r="L792" t="s">
        <v>74</v>
      </c>
      <c r="M792" t="s">
        <v>78</v>
      </c>
      <c r="N792" t="s">
        <v>79</v>
      </c>
      <c r="O792" t="s">
        <v>74</v>
      </c>
      <c r="P792" t="s">
        <v>74</v>
      </c>
      <c r="Q792" t="s">
        <v>74</v>
      </c>
      <c r="R792" t="s">
        <v>74</v>
      </c>
      <c r="S792" t="s">
        <v>74</v>
      </c>
      <c r="T792" t="s">
        <v>14442</v>
      </c>
      <c r="U792" t="s">
        <v>74</v>
      </c>
      <c r="V792" t="s">
        <v>14443</v>
      </c>
      <c r="W792" t="s">
        <v>14444</v>
      </c>
      <c r="X792" t="s">
        <v>14445</v>
      </c>
      <c r="Y792" t="s">
        <v>14446</v>
      </c>
      <c r="Z792" t="s">
        <v>14447</v>
      </c>
      <c r="AA792" t="s">
        <v>14448</v>
      </c>
      <c r="AB792" t="s">
        <v>74</v>
      </c>
      <c r="AC792" t="s">
        <v>14449</v>
      </c>
      <c r="AD792" t="s">
        <v>14450</v>
      </c>
      <c r="AE792" t="s">
        <v>74</v>
      </c>
      <c r="AF792" t="s">
        <v>74</v>
      </c>
      <c r="AG792">
        <v>8</v>
      </c>
      <c r="AH792">
        <v>2</v>
      </c>
      <c r="AI792">
        <v>2</v>
      </c>
      <c r="AJ792">
        <v>0</v>
      </c>
      <c r="AK792">
        <v>0</v>
      </c>
      <c r="AL792" t="s">
        <v>13744</v>
      </c>
      <c r="AM792" t="s">
        <v>1344</v>
      </c>
      <c r="AN792" t="s">
        <v>13745</v>
      </c>
      <c r="AO792" t="s">
        <v>14451</v>
      </c>
      <c r="AP792" t="s">
        <v>14452</v>
      </c>
      <c r="AQ792" t="s">
        <v>74</v>
      </c>
      <c r="AR792" t="s">
        <v>14453</v>
      </c>
      <c r="AS792" t="s">
        <v>14454</v>
      </c>
      <c r="AT792" t="s">
        <v>74</v>
      </c>
      <c r="AU792">
        <v>2013</v>
      </c>
      <c r="AV792">
        <v>50</v>
      </c>
      <c r="AW792">
        <v>2</v>
      </c>
      <c r="AX792" t="s">
        <v>74</v>
      </c>
      <c r="AY792" t="s">
        <v>74</v>
      </c>
      <c r="AZ792" t="s">
        <v>74</v>
      </c>
      <c r="BA792" t="s">
        <v>74</v>
      </c>
      <c r="BB792">
        <v>62</v>
      </c>
      <c r="BC792">
        <v>71</v>
      </c>
      <c r="BD792" t="s">
        <v>74</v>
      </c>
      <c r="BE792" t="s">
        <v>14455</v>
      </c>
      <c r="BF792" t="str">
        <f>HYPERLINK("http://dx.doi.org/10.1080/00368121.2013.792763","http://dx.doi.org/10.1080/00368121.2013.792763")</f>
        <v>http://dx.doi.org/10.1080/00368121.2013.792763</v>
      </c>
      <c r="BG792" t="s">
        <v>74</v>
      </c>
      <c r="BH792" t="s">
        <v>74</v>
      </c>
      <c r="BI792">
        <v>10</v>
      </c>
      <c r="BJ792" t="s">
        <v>10081</v>
      </c>
      <c r="BK792" t="s">
        <v>1717</v>
      </c>
      <c r="BL792" t="s">
        <v>10081</v>
      </c>
      <c r="BM792" t="s">
        <v>14456</v>
      </c>
      <c r="BN792" t="s">
        <v>74</v>
      </c>
      <c r="BO792" t="s">
        <v>74</v>
      </c>
      <c r="BP792" t="s">
        <v>74</v>
      </c>
      <c r="BQ792" t="s">
        <v>74</v>
      </c>
      <c r="BR792" t="s">
        <v>105</v>
      </c>
      <c r="BS792" t="s">
        <v>14457</v>
      </c>
      <c r="BT792" t="str">
        <f>HYPERLINK("https%3A%2F%2Fwww.webofscience.com%2Fwos%2Fwoscc%2Ffull-record%2FWOS:000218394200004","View Full Record in Web of Science")</f>
        <v>View Full Record in Web of Science</v>
      </c>
    </row>
    <row r="793" spans="1:72" x14ac:dyDescent="0.15">
      <c r="A793" t="s">
        <v>72</v>
      </c>
      <c r="B793" t="s">
        <v>14458</v>
      </c>
      <c r="C793" t="s">
        <v>74</v>
      </c>
      <c r="D793" t="s">
        <v>74</v>
      </c>
      <c r="E793" t="s">
        <v>74</v>
      </c>
      <c r="F793" t="s">
        <v>14459</v>
      </c>
      <c r="G793" t="s">
        <v>74</v>
      </c>
      <c r="H793" t="s">
        <v>74</v>
      </c>
      <c r="I793" t="s">
        <v>14460</v>
      </c>
      <c r="J793" t="s">
        <v>14461</v>
      </c>
      <c r="K793" t="s">
        <v>74</v>
      </c>
      <c r="L793" t="s">
        <v>74</v>
      </c>
      <c r="M793" t="s">
        <v>78</v>
      </c>
      <c r="N793" t="s">
        <v>79</v>
      </c>
      <c r="O793" t="s">
        <v>74</v>
      </c>
      <c r="P793" t="s">
        <v>74</v>
      </c>
      <c r="Q793" t="s">
        <v>74</v>
      </c>
      <c r="R793" t="s">
        <v>74</v>
      </c>
      <c r="S793" t="s">
        <v>74</v>
      </c>
      <c r="T793" t="s">
        <v>74</v>
      </c>
      <c r="U793" t="s">
        <v>14462</v>
      </c>
      <c r="V793" t="s">
        <v>14463</v>
      </c>
      <c r="W793" t="s">
        <v>14464</v>
      </c>
      <c r="X793" t="s">
        <v>14465</v>
      </c>
      <c r="Y793" t="s">
        <v>14466</v>
      </c>
      <c r="Z793" t="s">
        <v>14467</v>
      </c>
      <c r="AA793" t="s">
        <v>74</v>
      </c>
      <c r="AB793" t="s">
        <v>14468</v>
      </c>
      <c r="AC793" t="s">
        <v>14469</v>
      </c>
      <c r="AD793" t="s">
        <v>10537</v>
      </c>
      <c r="AE793" t="s">
        <v>74</v>
      </c>
      <c r="AF793" t="s">
        <v>74</v>
      </c>
      <c r="AG793">
        <v>47</v>
      </c>
      <c r="AH793">
        <v>5</v>
      </c>
      <c r="AI793">
        <v>5</v>
      </c>
      <c r="AJ793">
        <v>0</v>
      </c>
      <c r="AK793">
        <v>11</v>
      </c>
      <c r="AL793" t="s">
        <v>9100</v>
      </c>
      <c r="AM793" t="s">
        <v>3353</v>
      </c>
      <c r="AN793" t="s">
        <v>9101</v>
      </c>
      <c r="AO793" t="s">
        <v>14470</v>
      </c>
      <c r="AP793" t="s">
        <v>74</v>
      </c>
      <c r="AQ793" t="s">
        <v>74</v>
      </c>
      <c r="AR793" t="s">
        <v>14471</v>
      </c>
      <c r="AS793" t="s">
        <v>14472</v>
      </c>
      <c r="AT793" t="s">
        <v>74</v>
      </c>
      <c r="AU793">
        <v>2013</v>
      </c>
      <c r="AV793">
        <v>49</v>
      </c>
      <c r="AW793" t="s">
        <v>74</v>
      </c>
      <c r="AX793">
        <v>1</v>
      </c>
      <c r="AY793" t="s">
        <v>74</v>
      </c>
      <c r="AZ793" t="s">
        <v>74</v>
      </c>
      <c r="BA793" t="s">
        <v>74</v>
      </c>
      <c r="BB793">
        <v>59</v>
      </c>
      <c r="BC793">
        <v>77</v>
      </c>
      <c r="BD793" t="s">
        <v>74</v>
      </c>
      <c r="BE793" t="s">
        <v>14473</v>
      </c>
      <c r="BF793" t="str">
        <f>HYPERLINK("http://dx.doi.org/10.1144/sjg2013-004","http://dx.doi.org/10.1144/sjg2013-004")</f>
        <v>http://dx.doi.org/10.1144/sjg2013-004</v>
      </c>
      <c r="BG793" t="s">
        <v>74</v>
      </c>
      <c r="BH793" t="s">
        <v>74</v>
      </c>
      <c r="BI793">
        <v>19</v>
      </c>
      <c r="BJ793" t="s">
        <v>1605</v>
      </c>
      <c r="BK793" t="s">
        <v>102</v>
      </c>
      <c r="BL793" t="s">
        <v>1605</v>
      </c>
      <c r="BM793" t="s">
        <v>14474</v>
      </c>
      <c r="BN793" t="s">
        <v>74</v>
      </c>
      <c r="BO793" t="s">
        <v>1207</v>
      </c>
      <c r="BP793" t="s">
        <v>74</v>
      </c>
      <c r="BQ793" t="s">
        <v>74</v>
      </c>
      <c r="BR793" t="s">
        <v>105</v>
      </c>
      <c r="BS793" t="s">
        <v>14475</v>
      </c>
      <c r="BT793" t="str">
        <f>HYPERLINK("https%3A%2F%2Fwww.webofscience.com%2Fwos%2Fwoscc%2Ffull-record%2FWOS:000321825900006","View Full Record in Web of Science")</f>
        <v>View Full Record in Web of Science</v>
      </c>
    </row>
    <row r="794" spans="1:72" x14ac:dyDescent="0.15">
      <c r="A794" t="s">
        <v>72</v>
      </c>
      <c r="B794" t="s">
        <v>14476</v>
      </c>
      <c r="C794" t="s">
        <v>74</v>
      </c>
      <c r="D794" t="s">
        <v>74</v>
      </c>
      <c r="E794" t="s">
        <v>74</v>
      </c>
      <c r="F794" t="s">
        <v>14477</v>
      </c>
      <c r="G794" t="s">
        <v>74</v>
      </c>
      <c r="H794" t="s">
        <v>74</v>
      </c>
      <c r="I794" t="s">
        <v>14478</v>
      </c>
      <c r="J794" t="s">
        <v>14479</v>
      </c>
      <c r="K794" t="s">
        <v>74</v>
      </c>
      <c r="L794" t="s">
        <v>74</v>
      </c>
      <c r="M794" t="s">
        <v>78</v>
      </c>
      <c r="N794" t="s">
        <v>1120</v>
      </c>
      <c r="O794" t="s">
        <v>74</v>
      </c>
      <c r="P794" t="s">
        <v>74</v>
      </c>
      <c r="Q794" t="s">
        <v>74</v>
      </c>
      <c r="R794" t="s">
        <v>74</v>
      </c>
      <c r="S794" t="s">
        <v>74</v>
      </c>
      <c r="T794" t="s">
        <v>14480</v>
      </c>
      <c r="U794" t="s">
        <v>14481</v>
      </c>
      <c r="V794" t="s">
        <v>14482</v>
      </c>
      <c r="W794" t="s">
        <v>14483</v>
      </c>
      <c r="X794" t="s">
        <v>14484</v>
      </c>
      <c r="Y794" t="s">
        <v>14485</v>
      </c>
      <c r="Z794" t="s">
        <v>14486</v>
      </c>
      <c r="AA794" t="s">
        <v>14487</v>
      </c>
      <c r="AB794" t="s">
        <v>14488</v>
      </c>
      <c r="AC794" t="s">
        <v>14489</v>
      </c>
      <c r="AD794" t="s">
        <v>14490</v>
      </c>
      <c r="AE794" t="s">
        <v>14491</v>
      </c>
      <c r="AF794" t="s">
        <v>74</v>
      </c>
      <c r="AG794">
        <v>186</v>
      </c>
      <c r="AH794">
        <v>20</v>
      </c>
      <c r="AI794">
        <v>21</v>
      </c>
      <c r="AJ794">
        <v>0</v>
      </c>
      <c r="AK794">
        <v>54</v>
      </c>
      <c r="AL794" t="s">
        <v>500</v>
      </c>
      <c r="AM794" t="s">
        <v>950</v>
      </c>
      <c r="AN794" t="s">
        <v>951</v>
      </c>
      <c r="AO794" t="s">
        <v>14492</v>
      </c>
      <c r="AP794" t="s">
        <v>14493</v>
      </c>
      <c r="AQ794" t="s">
        <v>74</v>
      </c>
      <c r="AR794" t="s">
        <v>14494</v>
      </c>
      <c r="AS794" t="s">
        <v>14495</v>
      </c>
      <c r="AT794" t="s">
        <v>5170</v>
      </c>
      <c r="AU794">
        <v>2013</v>
      </c>
      <c r="AV794">
        <v>34</v>
      </c>
      <c r="AW794">
        <v>1</v>
      </c>
      <c r="AX794" t="s">
        <v>74</v>
      </c>
      <c r="AY794" t="s">
        <v>74</v>
      </c>
      <c r="AZ794" t="s">
        <v>74</v>
      </c>
      <c r="BA794" t="s">
        <v>74</v>
      </c>
      <c r="BB794">
        <v>1</v>
      </c>
      <c r="BC794">
        <v>41</v>
      </c>
      <c r="BD794" t="s">
        <v>74</v>
      </c>
      <c r="BE794" t="s">
        <v>14496</v>
      </c>
      <c r="BF794" t="str">
        <f>HYPERLINK("http://dx.doi.org/10.1007/s10712-012-9205-z","http://dx.doi.org/10.1007/s10712-012-9205-z")</f>
        <v>http://dx.doi.org/10.1007/s10712-012-9205-z</v>
      </c>
      <c r="BG794" t="s">
        <v>74</v>
      </c>
      <c r="BH794" t="s">
        <v>74</v>
      </c>
      <c r="BI794">
        <v>41</v>
      </c>
      <c r="BJ794" t="s">
        <v>263</v>
      </c>
      <c r="BK794" t="s">
        <v>102</v>
      </c>
      <c r="BL794" t="s">
        <v>263</v>
      </c>
      <c r="BM794" t="s">
        <v>14497</v>
      </c>
      <c r="BN794" t="s">
        <v>74</v>
      </c>
      <c r="BO794" t="s">
        <v>14498</v>
      </c>
      <c r="BP794" t="s">
        <v>74</v>
      </c>
      <c r="BQ794" t="s">
        <v>74</v>
      </c>
      <c r="BR794" t="s">
        <v>105</v>
      </c>
      <c r="BS794" t="s">
        <v>14499</v>
      </c>
      <c r="BT794" t="str">
        <f>HYPERLINK("https%3A%2F%2Fwww.webofscience.com%2Fwos%2Fwoscc%2Ffull-record%2FWOS:000312731000001","View Full Record in Web of Science")</f>
        <v>View Full Record in Web of Science</v>
      </c>
    </row>
    <row r="795" spans="1:72" x14ac:dyDescent="0.15">
      <c r="A795" t="s">
        <v>72</v>
      </c>
      <c r="B795" t="s">
        <v>14500</v>
      </c>
      <c r="C795" t="s">
        <v>74</v>
      </c>
      <c r="D795" t="s">
        <v>74</v>
      </c>
      <c r="E795" t="s">
        <v>74</v>
      </c>
      <c r="F795" t="s">
        <v>14501</v>
      </c>
      <c r="G795" t="s">
        <v>74</v>
      </c>
      <c r="H795" t="s">
        <v>74</v>
      </c>
      <c r="I795" t="s">
        <v>14502</v>
      </c>
      <c r="J795" t="s">
        <v>8520</v>
      </c>
      <c r="K795" t="s">
        <v>74</v>
      </c>
      <c r="L795" t="s">
        <v>74</v>
      </c>
      <c r="M795" t="s">
        <v>78</v>
      </c>
      <c r="N795" t="s">
        <v>79</v>
      </c>
      <c r="O795" t="s">
        <v>74</v>
      </c>
      <c r="P795" t="s">
        <v>74</v>
      </c>
      <c r="Q795" t="s">
        <v>74</v>
      </c>
      <c r="R795" t="s">
        <v>74</v>
      </c>
      <c r="S795" t="s">
        <v>74</v>
      </c>
      <c r="T795" t="s">
        <v>14503</v>
      </c>
      <c r="U795" t="s">
        <v>14504</v>
      </c>
      <c r="V795" t="s">
        <v>14505</v>
      </c>
      <c r="W795" t="s">
        <v>14506</v>
      </c>
      <c r="X795" t="s">
        <v>14507</v>
      </c>
      <c r="Y795" t="s">
        <v>14508</v>
      </c>
      <c r="Z795" t="s">
        <v>14509</v>
      </c>
      <c r="AA795" t="s">
        <v>14510</v>
      </c>
      <c r="AB795" t="s">
        <v>14511</v>
      </c>
      <c r="AC795" t="s">
        <v>14512</v>
      </c>
      <c r="AD795" t="s">
        <v>14513</v>
      </c>
      <c r="AE795" t="s">
        <v>14514</v>
      </c>
      <c r="AF795" t="s">
        <v>74</v>
      </c>
      <c r="AG795">
        <v>51</v>
      </c>
      <c r="AH795">
        <v>9</v>
      </c>
      <c r="AI795">
        <v>9</v>
      </c>
      <c r="AJ795">
        <v>1</v>
      </c>
      <c r="AK795">
        <v>14</v>
      </c>
      <c r="AL795" t="s">
        <v>1343</v>
      </c>
      <c r="AM795" t="s">
        <v>1344</v>
      </c>
      <c r="AN795" t="s">
        <v>1345</v>
      </c>
      <c r="AO795" t="s">
        <v>74</v>
      </c>
      <c r="AP795" t="s">
        <v>8532</v>
      </c>
      <c r="AQ795" t="s">
        <v>74</v>
      </c>
      <c r="AR795" t="s">
        <v>8533</v>
      </c>
      <c r="AS795" t="s">
        <v>8534</v>
      </c>
      <c r="AT795" t="s">
        <v>74</v>
      </c>
      <c r="AU795">
        <v>2013</v>
      </c>
      <c r="AV795">
        <v>65</v>
      </c>
      <c r="AW795" t="s">
        <v>74</v>
      </c>
      <c r="AX795" t="s">
        <v>74</v>
      </c>
      <c r="AY795" t="s">
        <v>74</v>
      </c>
      <c r="AZ795" t="s">
        <v>74</v>
      </c>
      <c r="BA795" t="s">
        <v>74</v>
      </c>
      <c r="BB795" t="s">
        <v>74</v>
      </c>
      <c r="BC795" t="s">
        <v>74</v>
      </c>
      <c r="BD795">
        <v>17468</v>
      </c>
      <c r="BE795" t="s">
        <v>14515</v>
      </c>
      <c r="BF795" t="str">
        <f>HYPERLINK("http://dx.doi.org/10.3402/tellusa.v65i0.17468","http://dx.doi.org/10.3402/tellusa.v65i0.17468")</f>
        <v>http://dx.doi.org/10.3402/tellusa.v65i0.17468</v>
      </c>
      <c r="BG795" t="s">
        <v>74</v>
      </c>
      <c r="BH795" t="s">
        <v>74</v>
      </c>
      <c r="BI795">
        <v>16</v>
      </c>
      <c r="BJ795" t="s">
        <v>617</v>
      </c>
      <c r="BK795" t="s">
        <v>102</v>
      </c>
      <c r="BL795" t="s">
        <v>617</v>
      </c>
      <c r="BM795" t="s">
        <v>14516</v>
      </c>
      <c r="BN795" t="s">
        <v>74</v>
      </c>
      <c r="BO795" t="s">
        <v>1719</v>
      </c>
      <c r="BP795" t="s">
        <v>74</v>
      </c>
      <c r="BQ795" t="s">
        <v>74</v>
      </c>
      <c r="BR795" t="s">
        <v>105</v>
      </c>
      <c r="BS795" t="s">
        <v>14517</v>
      </c>
      <c r="BT795" t="str">
        <f>HYPERLINK("https%3A%2F%2Fwww.webofscience.com%2Fwos%2Fwoscc%2Ffull-record%2FWOS:000322763900001","View Full Record in Web of Science")</f>
        <v>View Full Record in Web of Science</v>
      </c>
    </row>
    <row r="796" spans="1:72" x14ac:dyDescent="0.15">
      <c r="A796" t="s">
        <v>72</v>
      </c>
      <c r="B796" t="s">
        <v>14518</v>
      </c>
      <c r="C796" t="s">
        <v>74</v>
      </c>
      <c r="D796" t="s">
        <v>74</v>
      </c>
      <c r="E796" t="s">
        <v>74</v>
      </c>
      <c r="F796" t="s">
        <v>14519</v>
      </c>
      <c r="G796" t="s">
        <v>74</v>
      </c>
      <c r="H796" t="s">
        <v>74</v>
      </c>
      <c r="I796" t="s">
        <v>14520</v>
      </c>
      <c r="J796" t="s">
        <v>8520</v>
      </c>
      <c r="K796" t="s">
        <v>74</v>
      </c>
      <c r="L796" t="s">
        <v>74</v>
      </c>
      <c r="M796" t="s">
        <v>78</v>
      </c>
      <c r="N796" t="s">
        <v>79</v>
      </c>
      <c r="O796" t="s">
        <v>74</v>
      </c>
      <c r="P796" t="s">
        <v>74</v>
      </c>
      <c r="Q796" t="s">
        <v>74</v>
      </c>
      <c r="R796" t="s">
        <v>74</v>
      </c>
      <c r="S796" t="s">
        <v>74</v>
      </c>
      <c r="T796" t="s">
        <v>14521</v>
      </c>
      <c r="U796" t="s">
        <v>14522</v>
      </c>
      <c r="V796" t="s">
        <v>14523</v>
      </c>
      <c r="W796" t="s">
        <v>14524</v>
      </c>
      <c r="X796" t="s">
        <v>14525</v>
      </c>
      <c r="Y796" t="s">
        <v>14526</v>
      </c>
      <c r="Z796" t="s">
        <v>14527</v>
      </c>
      <c r="AA796" t="s">
        <v>14528</v>
      </c>
      <c r="AB796" t="s">
        <v>14529</v>
      </c>
      <c r="AC796" t="s">
        <v>14530</v>
      </c>
      <c r="AD796" t="s">
        <v>14531</v>
      </c>
      <c r="AE796" t="s">
        <v>14532</v>
      </c>
      <c r="AF796" t="s">
        <v>74</v>
      </c>
      <c r="AG796">
        <v>58</v>
      </c>
      <c r="AH796">
        <v>80</v>
      </c>
      <c r="AI796">
        <v>90</v>
      </c>
      <c r="AJ796">
        <v>0</v>
      </c>
      <c r="AK796">
        <v>26</v>
      </c>
      <c r="AL796" t="s">
        <v>1343</v>
      </c>
      <c r="AM796" t="s">
        <v>1344</v>
      </c>
      <c r="AN796" t="s">
        <v>1345</v>
      </c>
      <c r="AO796" t="s">
        <v>74</v>
      </c>
      <c r="AP796" t="s">
        <v>8532</v>
      </c>
      <c r="AQ796" t="s">
        <v>74</v>
      </c>
      <c r="AR796" t="s">
        <v>8533</v>
      </c>
      <c r="AS796" t="s">
        <v>8534</v>
      </c>
      <c r="AT796" t="s">
        <v>74</v>
      </c>
      <c r="AU796">
        <v>2013</v>
      </c>
      <c r="AV796">
        <v>65</v>
      </c>
      <c r="AW796" t="s">
        <v>74</v>
      </c>
      <c r="AX796" t="s">
        <v>74</v>
      </c>
      <c r="AY796" t="s">
        <v>74</v>
      </c>
      <c r="AZ796" t="s">
        <v>74</v>
      </c>
      <c r="BA796" t="s">
        <v>74</v>
      </c>
      <c r="BB796" t="s">
        <v>74</v>
      </c>
      <c r="BC796" t="s">
        <v>74</v>
      </c>
      <c r="BD796">
        <v>20412</v>
      </c>
      <c r="BE796" t="s">
        <v>14533</v>
      </c>
      <c r="BF796" t="str">
        <f>HYPERLINK("http://dx.doi.org/10.3402/tellusa.v65i0.20412","http://dx.doi.org/10.3402/tellusa.v65i0.20412")</f>
        <v>http://dx.doi.org/10.3402/tellusa.v65i0.20412</v>
      </c>
      <c r="BG796" t="s">
        <v>74</v>
      </c>
      <c r="BH796" t="s">
        <v>74</v>
      </c>
      <c r="BI796">
        <v>21</v>
      </c>
      <c r="BJ796" t="s">
        <v>617</v>
      </c>
      <c r="BK796" t="s">
        <v>102</v>
      </c>
      <c r="BL796" t="s">
        <v>617</v>
      </c>
      <c r="BM796" t="s">
        <v>14534</v>
      </c>
      <c r="BN796" t="s">
        <v>74</v>
      </c>
      <c r="BO796" t="s">
        <v>2629</v>
      </c>
      <c r="BP796" t="s">
        <v>74</v>
      </c>
      <c r="BQ796" t="s">
        <v>74</v>
      </c>
      <c r="BR796" t="s">
        <v>105</v>
      </c>
      <c r="BS796" t="s">
        <v>14535</v>
      </c>
      <c r="BT796" t="str">
        <f>HYPERLINK("https%3A%2F%2Fwww.webofscience.com%2Fwos%2Fwoscc%2Ffull-record%2FWOS:000322764200001","View Full Record in Web of Science")</f>
        <v>View Full Record in Web of Science</v>
      </c>
    </row>
    <row r="797" spans="1:72" x14ac:dyDescent="0.15">
      <c r="A797" t="s">
        <v>72</v>
      </c>
      <c r="B797" t="s">
        <v>14536</v>
      </c>
      <c r="C797" t="s">
        <v>74</v>
      </c>
      <c r="D797" t="s">
        <v>74</v>
      </c>
      <c r="E797" t="s">
        <v>74</v>
      </c>
      <c r="F797" t="s">
        <v>14537</v>
      </c>
      <c r="G797" t="s">
        <v>74</v>
      </c>
      <c r="H797" t="s">
        <v>74</v>
      </c>
      <c r="I797" t="s">
        <v>14538</v>
      </c>
      <c r="J797" t="s">
        <v>8541</v>
      </c>
      <c r="K797" t="s">
        <v>74</v>
      </c>
      <c r="L797" t="s">
        <v>74</v>
      </c>
      <c r="M797" t="s">
        <v>78</v>
      </c>
      <c r="N797" t="s">
        <v>79</v>
      </c>
      <c r="O797" t="s">
        <v>74</v>
      </c>
      <c r="P797" t="s">
        <v>74</v>
      </c>
      <c r="Q797" t="s">
        <v>74</v>
      </c>
      <c r="R797" t="s">
        <v>74</v>
      </c>
      <c r="S797" t="s">
        <v>74</v>
      </c>
      <c r="T797" t="s">
        <v>14539</v>
      </c>
      <c r="U797" t="s">
        <v>14540</v>
      </c>
      <c r="V797" t="s">
        <v>14541</v>
      </c>
      <c r="W797" t="s">
        <v>14542</v>
      </c>
      <c r="X797" t="s">
        <v>14543</v>
      </c>
      <c r="Y797" t="s">
        <v>14544</v>
      </c>
      <c r="Z797" t="s">
        <v>14545</v>
      </c>
      <c r="AA797" t="s">
        <v>14546</v>
      </c>
      <c r="AB797" t="s">
        <v>14547</v>
      </c>
      <c r="AC797" t="s">
        <v>14548</v>
      </c>
      <c r="AD797" t="s">
        <v>14549</v>
      </c>
      <c r="AE797" t="s">
        <v>14550</v>
      </c>
      <c r="AF797" t="s">
        <v>74</v>
      </c>
      <c r="AG797">
        <v>33</v>
      </c>
      <c r="AH797">
        <v>11</v>
      </c>
      <c r="AI797">
        <v>11</v>
      </c>
      <c r="AJ797">
        <v>2</v>
      </c>
      <c r="AK797">
        <v>39</v>
      </c>
      <c r="AL797" t="s">
        <v>7469</v>
      </c>
      <c r="AM797" t="s">
        <v>7470</v>
      </c>
      <c r="AN797" t="s">
        <v>7471</v>
      </c>
      <c r="AO797" t="s">
        <v>14551</v>
      </c>
      <c r="AP797" t="s">
        <v>8552</v>
      </c>
      <c r="AQ797" t="s">
        <v>74</v>
      </c>
      <c r="AR797" t="s">
        <v>8553</v>
      </c>
      <c r="AS797" t="s">
        <v>8554</v>
      </c>
      <c r="AT797" t="s">
        <v>74</v>
      </c>
      <c r="AU797">
        <v>2013</v>
      </c>
      <c r="AV797">
        <v>65</v>
      </c>
      <c r="AW797" t="s">
        <v>74</v>
      </c>
      <c r="AX797" t="s">
        <v>74</v>
      </c>
      <c r="AY797" t="s">
        <v>74</v>
      </c>
      <c r="AZ797" t="s">
        <v>74</v>
      </c>
      <c r="BA797" t="s">
        <v>74</v>
      </c>
      <c r="BB797" t="s">
        <v>74</v>
      </c>
      <c r="BC797" t="s">
        <v>74</v>
      </c>
      <c r="BD797">
        <v>20197</v>
      </c>
      <c r="BE797" t="s">
        <v>14552</v>
      </c>
      <c r="BF797" t="str">
        <f>HYPERLINK("http://dx.doi.org/10.3402/tellusb.v65i0.20197","http://dx.doi.org/10.3402/tellusb.v65i0.20197")</f>
        <v>http://dx.doi.org/10.3402/tellusb.v65i0.20197</v>
      </c>
      <c r="BG797" t="s">
        <v>74</v>
      </c>
      <c r="BH797" t="s">
        <v>74</v>
      </c>
      <c r="BI797">
        <v>9</v>
      </c>
      <c r="BJ797" t="s">
        <v>101</v>
      </c>
      <c r="BK797" t="s">
        <v>102</v>
      </c>
      <c r="BL797" t="s">
        <v>101</v>
      </c>
      <c r="BM797" t="s">
        <v>14553</v>
      </c>
      <c r="BN797" t="s">
        <v>74</v>
      </c>
      <c r="BO797" t="s">
        <v>2815</v>
      </c>
      <c r="BP797" t="s">
        <v>74</v>
      </c>
      <c r="BQ797" t="s">
        <v>74</v>
      </c>
      <c r="BR797" t="s">
        <v>105</v>
      </c>
      <c r="BS797" t="s">
        <v>14554</v>
      </c>
      <c r="BT797" t="str">
        <f>HYPERLINK("https%3A%2F%2Fwww.webofscience.com%2Fwos%2Fwoscc%2Ffull-record%2FWOS:000318484100001","View Full Record in Web of Science")</f>
        <v>View Full Record in Web of Science</v>
      </c>
    </row>
    <row r="798" spans="1:72" x14ac:dyDescent="0.15">
      <c r="A798" t="s">
        <v>72</v>
      </c>
      <c r="B798" t="s">
        <v>14555</v>
      </c>
      <c r="C798" t="s">
        <v>74</v>
      </c>
      <c r="D798" t="s">
        <v>74</v>
      </c>
      <c r="E798" t="s">
        <v>74</v>
      </c>
      <c r="F798" t="s">
        <v>14556</v>
      </c>
      <c r="G798" t="s">
        <v>74</v>
      </c>
      <c r="H798" t="s">
        <v>74</v>
      </c>
      <c r="I798" t="s">
        <v>14557</v>
      </c>
      <c r="J798" t="s">
        <v>14558</v>
      </c>
      <c r="K798" t="s">
        <v>74</v>
      </c>
      <c r="L798" t="s">
        <v>74</v>
      </c>
      <c r="M798" t="s">
        <v>78</v>
      </c>
      <c r="N798" t="s">
        <v>14559</v>
      </c>
      <c r="O798" t="s">
        <v>74</v>
      </c>
      <c r="P798" t="s">
        <v>74</v>
      </c>
      <c r="Q798" t="s">
        <v>74</v>
      </c>
      <c r="R798" t="s">
        <v>74</v>
      </c>
      <c r="S798" t="s">
        <v>74</v>
      </c>
      <c r="T798" t="s">
        <v>74</v>
      </c>
      <c r="U798" t="s">
        <v>74</v>
      </c>
      <c r="V798" t="s">
        <v>74</v>
      </c>
      <c r="W798" t="s">
        <v>74</v>
      </c>
      <c r="X798" t="s">
        <v>74</v>
      </c>
      <c r="Y798" t="s">
        <v>74</v>
      </c>
      <c r="Z798" t="s">
        <v>74</v>
      </c>
      <c r="AA798" t="s">
        <v>74</v>
      </c>
      <c r="AB798" t="s">
        <v>74</v>
      </c>
      <c r="AC798" t="s">
        <v>74</v>
      </c>
      <c r="AD798" t="s">
        <v>74</v>
      </c>
      <c r="AE798" t="s">
        <v>74</v>
      </c>
      <c r="AF798" t="s">
        <v>74</v>
      </c>
      <c r="AG798">
        <v>1</v>
      </c>
      <c r="AH798">
        <v>0</v>
      </c>
      <c r="AI798">
        <v>0</v>
      </c>
      <c r="AJ798">
        <v>0</v>
      </c>
      <c r="AK798">
        <v>0</v>
      </c>
      <c r="AL798" t="s">
        <v>13744</v>
      </c>
      <c r="AM798" t="s">
        <v>1344</v>
      </c>
      <c r="AN798" t="s">
        <v>13745</v>
      </c>
      <c r="AO798" t="s">
        <v>14560</v>
      </c>
      <c r="AP798" t="s">
        <v>14561</v>
      </c>
      <c r="AQ798" t="s">
        <v>74</v>
      </c>
      <c r="AR798" t="s">
        <v>14562</v>
      </c>
      <c r="AS798" t="s">
        <v>14563</v>
      </c>
      <c r="AT798" t="s">
        <v>74</v>
      </c>
      <c r="AU798">
        <v>2013</v>
      </c>
      <c r="AV798">
        <v>45</v>
      </c>
      <c r="AW798">
        <v>1</v>
      </c>
      <c r="AX798" t="s">
        <v>74</v>
      </c>
      <c r="AY798" t="s">
        <v>74</v>
      </c>
      <c r="AZ798" t="s">
        <v>74</v>
      </c>
      <c r="BA798" t="s">
        <v>74</v>
      </c>
      <c r="BB798">
        <v>66</v>
      </c>
      <c r="BC798">
        <v>67</v>
      </c>
      <c r="BD798" t="s">
        <v>74</v>
      </c>
      <c r="BE798" t="s">
        <v>14564</v>
      </c>
      <c r="BF798" t="str">
        <f>HYPERLINK("http://dx.doi.org/10.1179/0082288413Z.00000000017","http://dx.doi.org/10.1179/0082288413Z.00000000017")</f>
        <v>http://dx.doi.org/10.1179/0082288413Z.00000000017</v>
      </c>
      <c r="BG798" t="s">
        <v>74</v>
      </c>
      <c r="BH798" t="s">
        <v>74</v>
      </c>
      <c r="BI798">
        <v>2</v>
      </c>
      <c r="BJ798" t="s">
        <v>13751</v>
      </c>
      <c r="BK798" t="s">
        <v>1717</v>
      </c>
      <c r="BL798" t="s">
        <v>13751</v>
      </c>
      <c r="BM798" t="s">
        <v>14565</v>
      </c>
      <c r="BN798" t="s">
        <v>74</v>
      </c>
      <c r="BO798" t="s">
        <v>74</v>
      </c>
      <c r="BP798" t="s">
        <v>74</v>
      </c>
      <c r="BQ798" t="s">
        <v>74</v>
      </c>
      <c r="BR798" t="s">
        <v>105</v>
      </c>
      <c r="BS798" t="s">
        <v>14566</v>
      </c>
      <c r="BT798" t="str">
        <f>HYPERLINK("https%3A%2F%2Fwww.webofscience.com%2Fwos%2Fwoscc%2Ffull-record%2FWOS:000218246100005","View Full Record in Web of Science")</f>
        <v>View Full Record in Web of Science</v>
      </c>
    </row>
    <row r="799" spans="1:72" x14ac:dyDescent="0.15">
      <c r="A799" t="s">
        <v>72</v>
      </c>
      <c r="B799" t="s">
        <v>14567</v>
      </c>
      <c r="C799" t="s">
        <v>74</v>
      </c>
      <c r="D799" t="s">
        <v>74</v>
      </c>
      <c r="E799" t="s">
        <v>74</v>
      </c>
      <c r="F799" t="s">
        <v>14568</v>
      </c>
      <c r="G799" t="s">
        <v>74</v>
      </c>
      <c r="H799" t="s">
        <v>74</v>
      </c>
      <c r="I799" t="s">
        <v>14569</v>
      </c>
      <c r="J799" t="s">
        <v>14558</v>
      </c>
      <c r="K799" t="s">
        <v>74</v>
      </c>
      <c r="L799" t="s">
        <v>74</v>
      </c>
      <c r="M799" t="s">
        <v>78</v>
      </c>
      <c r="N799" t="s">
        <v>14559</v>
      </c>
      <c r="O799" t="s">
        <v>74</v>
      </c>
      <c r="P799" t="s">
        <v>74</v>
      </c>
      <c r="Q799" t="s">
        <v>74</v>
      </c>
      <c r="R799" t="s">
        <v>74</v>
      </c>
      <c r="S799" t="s">
        <v>74</v>
      </c>
      <c r="T799" t="s">
        <v>74</v>
      </c>
      <c r="U799" t="s">
        <v>74</v>
      </c>
      <c r="V799" t="s">
        <v>74</v>
      </c>
      <c r="W799" t="s">
        <v>14570</v>
      </c>
      <c r="X799" t="s">
        <v>74</v>
      </c>
      <c r="Y799" t="s">
        <v>14571</v>
      </c>
      <c r="Z799" t="s">
        <v>74</v>
      </c>
      <c r="AA799" t="s">
        <v>74</v>
      </c>
      <c r="AB799" t="s">
        <v>74</v>
      </c>
      <c r="AC799" t="s">
        <v>74</v>
      </c>
      <c r="AD799" t="s">
        <v>74</v>
      </c>
      <c r="AE799" t="s">
        <v>74</v>
      </c>
      <c r="AF799" t="s">
        <v>74</v>
      </c>
      <c r="AG799">
        <v>1</v>
      </c>
      <c r="AH799">
        <v>0</v>
      </c>
      <c r="AI799">
        <v>0</v>
      </c>
      <c r="AJ799">
        <v>0</v>
      </c>
      <c r="AK799">
        <v>0</v>
      </c>
      <c r="AL799" t="s">
        <v>13744</v>
      </c>
      <c r="AM799" t="s">
        <v>1344</v>
      </c>
      <c r="AN799" t="s">
        <v>13745</v>
      </c>
      <c r="AO799" t="s">
        <v>14560</v>
      </c>
      <c r="AP799" t="s">
        <v>14561</v>
      </c>
      <c r="AQ799" t="s">
        <v>74</v>
      </c>
      <c r="AR799" t="s">
        <v>14562</v>
      </c>
      <c r="AS799" t="s">
        <v>14563</v>
      </c>
      <c r="AT799" t="s">
        <v>74</v>
      </c>
      <c r="AU799">
        <v>2013</v>
      </c>
      <c r="AV799">
        <v>45</v>
      </c>
      <c r="AW799">
        <v>1</v>
      </c>
      <c r="AX799" t="s">
        <v>74</v>
      </c>
      <c r="AY799" t="s">
        <v>74</v>
      </c>
      <c r="AZ799" t="s">
        <v>74</v>
      </c>
      <c r="BA799" t="s">
        <v>74</v>
      </c>
      <c r="BB799">
        <v>71</v>
      </c>
      <c r="BC799">
        <v>73</v>
      </c>
      <c r="BD799" t="s">
        <v>74</v>
      </c>
      <c r="BE799" t="s">
        <v>74</v>
      </c>
      <c r="BF799" t="s">
        <v>74</v>
      </c>
      <c r="BG799" t="s">
        <v>74</v>
      </c>
      <c r="BH799" t="s">
        <v>74</v>
      </c>
      <c r="BI799">
        <v>3</v>
      </c>
      <c r="BJ799" t="s">
        <v>13751</v>
      </c>
      <c r="BK799" t="s">
        <v>1717</v>
      </c>
      <c r="BL799" t="s">
        <v>13751</v>
      </c>
      <c r="BM799" t="s">
        <v>14565</v>
      </c>
      <c r="BN799" t="s">
        <v>74</v>
      </c>
      <c r="BO799" t="s">
        <v>74</v>
      </c>
      <c r="BP799" t="s">
        <v>74</v>
      </c>
      <c r="BQ799" t="s">
        <v>74</v>
      </c>
      <c r="BR799" t="s">
        <v>105</v>
      </c>
      <c r="BS799" t="s">
        <v>14572</v>
      </c>
      <c r="BT799" t="str">
        <f>HYPERLINK("https%3A%2F%2Fwww.webofscience.com%2Fwos%2Fwoscc%2Ffull-record%2FWOS:000218246100009","View Full Record in Web of Science")</f>
        <v>View Full Record in Web of Science</v>
      </c>
    </row>
    <row r="800" spans="1:72" x14ac:dyDescent="0.15">
      <c r="A800" t="s">
        <v>3251</v>
      </c>
      <c r="B800" t="s">
        <v>14573</v>
      </c>
      <c r="C800" t="s">
        <v>14573</v>
      </c>
      <c r="D800" t="s">
        <v>74</v>
      </c>
      <c r="E800" t="s">
        <v>74</v>
      </c>
      <c r="F800" t="s">
        <v>14574</v>
      </c>
      <c r="G800" t="s">
        <v>14573</v>
      </c>
      <c r="H800" t="s">
        <v>74</v>
      </c>
      <c r="I800" t="s">
        <v>14575</v>
      </c>
      <c r="J800" t="s">
        <v>14576</v>
      </c>
      <c r="K800" t="s">
        <v>74</v>
      </c>
      <c r="L800" t="s">
        <v>74</v>
      </c>
      <c r="M800" t="s">
        <v>78</v>
      </c>
      <c r="N800" t="s">
        <v>3258</v>
      </c>
      <c r="O800" t="s">
        <v>74</v>
      </c>
      <c r="P800" t="s">
        <v>74</v>
      </c>
      <c r="Q800" t="s">
        <v>74</v>
      </c>
      <c r="R800" t="s">
        <v>74</v>
      </c>
      <c r="S800" t="s">
        <v>74</v>
      </c>
      <c r="T800" t="s">
        <v>74</v>
      </c>
      <c r="U800" t="s">
        <v>74</v>
      </c>
      <c r="V800" t="s">
        <v>74</v>
      </c>
      <c r="W800" t="s">
        <v>14577</v>
      </c>
      <c r="X800" t="s">
        <v>14578</v>
      </c>
      <c r="Y800" t="s">
        <v>14579</v>
      </c>
      <c r="Z800" t="s">
        <v>74</v>
      </c>
      <c r="AA800" t="s">
        <v>74</v>
      </c>
      <c r="AB800" t="s">
        <v>74</v>
      </c>
      <c r="AC800" t="s">
        <v>74</v>
      </c>
      <c r="AD800" t="s">
        <v>74</v>
      </c>
      <c r="AE800" t="s">
        <v>74</v>
      </c>
      <c r="AF800" t="s">
        <v>74</v>
      </c>
      <c r="AG800">
        <v>0</v>
      </c>
      <c r="AH800">
        <v>0</v>
      </c>
      <c r="AI800">
        <v>0</v>
      </c>
      <c r="AJ800">
        <v>0</v>
      </c>
      <c r="AK800">
        <v>0</v>
      </c>
      <c r="AL800" t="s">
        <v>14580</v>
      </c>
      <c r="AM800" t="s">
        <v>1344</v>
      </c>
      <c r="AN800" t="s">
        <v>14581</v>
      </c>
      <c r="AO800" t="s">
        <v>74</v>
      </c>
      <c r="AP800" t="s">
        <v>74</v>
      </c>
      <c r="AQ800" t="s">
        <v>14582</v>
      </c>
      <c r="AR800" t="s">
        <v>74</v>
      </c>
      <c r="AS800" t="s">
        <v>74</v>
      </c>
      <c r="AT800" t="s">
        <v>74</v>
      </c>
      <c r="AU800">
        <v>2013</v>
      </c>
      <c r="AV800" t="s">
        <v>74</v>
      </c>
      <c r="AW800" t="s">
        <v>74</v>
      </c>
      <c r="AX800" t="s">
        <v>74</v>
      </c>
      <c r="AY800" t="s">
        <v>74</v>
      </c>
      <c r="AZ800" t="s">
        <v>74</v>
      </c>
      <c r="BA800" t="s">
        <v>74</v>
      </c>
      <c r="BB800">
        <v>98</v>
      </c>
      <c r="BC800">
        <v>105</v>
      </c>
      <c r="BD800" t="s">
        <v>74</v>
      </c>
      <c r="BE800" t="s">
        <v>74</v>
      </c>
      <c r="BF800" t="s">
        <v>74</v>
      </c>
      <c r="BG800" t="s">
        <v>74</v>
      </c>
      <c r="BH800" t="s">
        <v>74</v>
      </c>
      <c r="BI800">
        <v>8</v>
      </c>
      <c r="BJ800" t="s">
        <v>14583</v>
      </c>
      <c r="BK800" t="s">
        <v>3269</v>
      </c>
      <c r="BL800" t="s">
        <v>14584</v>
      </c>
      <c r="BM800" t="s">
        <v>14585</v>
      </c>
      <c r="BN800" t="s">
        <v>74</v>
      </c>
      <c r="BO800" t="s">
        <v>74</v>
      </c>
      <c r="BP800" t="s">
        <v>74</v>
      </c>
      <c r="BQ800" t="s">
        <v>74</v>
      </c>
      <c r="BR800" t="s">
        <v>105</v>
      </c>
      <c r="BS800" t="s">
        <v>14586</v>
      </c>
      <c r="BT800" t="str">
        <f>HYPERLINK("https%3A%2F%2Fwww.webofscience.com%2Fwos%2Fwoscc%2Ffull-record%2FWOS:000416313200011","View Full Record in Web of Science")</f>
        <v>View Full Record in Web of Science</v>
      </c>
    </row>
    <row r="801" spans="1:72" x14ac:dyDescent="0.15">
      <c r="A801" t="s">
        <v>72</v>
      </c>
      <c r="B801" t="s">
        <v>14587</v>
      </c>
      <c r="C801" t="s">
        <v>74</v>
      </c>
      <c r="D801" t="s">
        <v>74</v>
      </c>
      <c r="E801" t="s">
        <v>74</v>
      </c>
      <c r="F801" t="s">
        <v>14588</v>
      </c>
      <c r="G801" t="s">
        <v>74</v>
      </c>
      <c r="H801" t="s">
        <v>74</v>
      </c>
      <c r="I801" t="s">
        <v>14589</v>
      </c>
      <c r="J801" t="s">
        <v>14590</v>
      </c>
      <c r="K801" t="s">
        <v>74</v>
      </c>
      <c r="L801" t="s">
        <v>74</v>
      </c>
      <c r="M801" t="s">
        <v>78</v>
      </c>
      <c r="N801" t="s">
        <v>79</v>
      </c>
      <c r="O801" t="s">
        <v>74</v>
      </c>
      <c r="P801" t="s">
        <v>74</v>
      </c>
      <c r="Q801" t="s">
        <v>74</v>
      </c>
      <c r="R801" t="s">
        <v>74</v>
      </c>
      <c r="S801" t="s">
        <v>74</v>
      </c>
      <c r="T801" t="s">
        <v>74</v>
      </c>
      <c r="U801" t="s">
        <v>14591</v>
      </c>
      <c r="V801" t="s">
        <v>14592</v>
      </c>
      <c r="W801" t="s">
        <v>14593</v>
      </c>
      <c r="X801" t="s">
        <v>14594</v>
      </c>
      <c r="Y801" t="s">
        <v>14595</v>
      </c>
      <c r="Z801" t="s">
        <v>14596</v>
      </c>
      <c r="AA801" t="s">
        <v>14597</v>
      </c>
      <c r="AB801" t="s">
        <v>14598</v>
      </c>
      <c r="AC801" t="s">
        <v>14599</v>
      </c>
      <c r="AD801" t="s">
        <v>14600</v>
      </c>
      <c r="AE801" t="s">
        <v>14601</v>
      </c>
      <c r="AF801" t="s">
        <v>74</v>
      </c>
      <c r="AG801">
        <v>67</v>
      </c>
      <c r="AH801">
        <v>61</v>
      </c>
      <c r="AI801">
        <v>73</v>
      </c>
      <c r="AJ801">
        <v>3</v>
      </c>
      <c r="AK801">
        <v>189</v>
      </c>
      <c r="AL801" t="s">
        <v>14602</v>
      </c>
      <c r="AM801" t="s">
        <v>474</v>
      </c>
      <c r="AN801" t="s">
        <v>14603</v>
      </c>
      <c r="AO801" t="s">
        <v>14604</v>
      </c>
      <c r="AP801" t="s">
        <v>14605</v>
      </c>
      <c r="AQ801" t="s">
        <v>74</v>
      </c>
      <c r="AR801" t="s">
        <v>14606</v>
      </c>
      <c r="AS801" t="s">
        <v>14607</v>
      </c>
      <c r="AT801" t="s">
        <v>5170</v>
      </c>
      <c r="AU801">
        <v>2013</v>
      </c>
      <c r="AV801">
        <v>28</v>
      </c>
      <c r="AW801">
        <v>1</v>
      </c>
      <c r="AX801" t="s">
        <v>74</v>
      </c>
      <c r="AY801" t="s">
        <v>74</v>
      </c>
      <c r="AZ801" t="s">
        <v>74</v>
      </c>
      <c r="BA801" t="s">
        <v>74</v>
      </c>
      <c r="BB801">
        <v>16</v>
      </c>
      <c r="BC801">
        <v>22</v>
      </c>
      <c r="BD801" t="s">
        <v>74</v>
      </c>
      <c r="BE801" t="s">
        <v>14608</v>
      </c>
      <c r="BF801" t="str">
        <f>HYPERLINK("http://dx.doi.org/10.1016/j.tree.2012.10.022","http://dx.doi.org/10.1016/j.tree.2012.10.022")</f>
        <v>http://dx.doi.org/10.1016/j.tree.2012.10.022</v>
      </c>
      <c r="BG801" t="s">
        <v>74</v>
      </c>
      <c r="BH801" t="s">
        <v>74</v>
      </c>
      <c r="BI801">
        <v>7</v>
      </c>
      <c r="BJ801" t="s">
        <v>14609</v>
      </c>
      <c r="BK801" t="s">
        <v>102</v>
      </c>
      <c r="BL801" t="s">
        <v>14610</v>
      </c>
      <c r="BM801" t="s">
        <v>14611</v>
      </c>
      <c r="BN801">
        <v>23219597</v>
      </c>
      <c r="BO801" t="s">
        <v>7530</v>
      </c>
      <c r="BP801" t="s">
        <v>74</v>
      </c>
      <c r="BQ801" t="s">
        <v>74</v>
      </c>
      <c r="BR801" t="s">
        <v>105</v>
      </c>
      <c r="BS801" t="s">
        <v>14612</v>
      </c>
      <c r="BT801" t="str">
        <f>HYPERLINK("https%3A%2F%2Fwww.webofscience.com%2Fwos%2Fwoscc%2Ffull-record%2FWOS:000314142100007","View Full Record in Web of Science")</f>
        <v>View Full Record in Web of Science</v>
      </c>
    </row>
    <row r="802" spans="1:72" x14ac:dyDescent="0.15">
      <c r="A802" t="s">
        <v>72</v>
      </c>
      <c r="B802" t="s">
        <v>14613</v>
      </c>
      <c r="C802" t="s">
        <v>74</v>
      </c>
      <c r="D802" t="s">
        <v>74</v>
      </c>
      <c r="E802" t="s">
        <v>74</v>
      </c>
      <c r="F802" t="s">
        <v>14614</v>
      </c>
      <c r="G802" t="s">
        <v>74</v>
      </c>
      <c r="H802" t="s">
        <v>74</v>
      </c>
      <c r="I802" t="s">
        <v>14615</v>
      </c>
      <c r="J802" t="s">
        <v>14616</v>
      </c>
      <c r="K802" t="s">
        <v>74</v>
      </c>
      <c r="L802" t="s">
        <v>74</v>
      </c>
      <c r="M802" t="s">
        <v>78</v>
      </c>
      <c r="N802" t="s">
        <v>79</v>
      </c>
      <c r="O802" t="s">
        <v>74</v>
      </c>
      <c r="P802" t="s">
        <v>74</v>
      </c>
      <c r="Q802" t="s">
        <v>74</v>
      </c>
      <c r="R802" t="s">
        <v>74</v>
      </c>
      <c r="S802" t="s">
        <v>74</v>
      </c>
      <c r="T802" t="s">
        <v>14617</v>
      </c>
      <c r="U802" t="s">
        <v>14618</v>
      </c>
      <c r="V802" t="s">
        <v>14619</v>
      </c>
      <c r="W802" t="s">
        <v>14620</v>
      </c>
      <c r="X802" t="s">
        <v>14621</v>
      </c>
      <c r="Y802" t="s">
        <v>14622</v>
      </c>
      <c r="Z802" t="s">
        <v>14623</v>
      </c>
      <c r="AA802" t="s">
        <v>14624</v>
      </c>
      <c r="AB802" t="s">
        <v>14625</v>
      </c>
      <c r="AC802" t="s">
        <v>14626</v>
      </c>
      <c r="AD802" t="s">
        <v>14627</v>
      </c>
      <c r="AE802" t="s">
        <v>14628</v>
      </c>
      <c r="AF802" t="s">
        <v>74</v>
      </c>
      <c r="AG802">
        <v>46</v>
      </c>
      <c r="AH802">
        <v>6</v>
      </c>
      <c r="AI802">
        <v>6</v>
      </c>
      <c r="AJ802">
        <v>0</v>
      </c>
      <c r="AK802">
        <v>2</v>
      </c>
      <c r="AL802" t="s">
        <v>14629</v>
      </c>
      <c r="AM802" t="s">
        <v>14630</v>
      </c>
      <c r="AN802" t="s">
        <v>14631</v>
      </c>
      <c r="AO802" t="s">
        <v>14632</v>
      </c>
      <c r="AP802" t="s">
        <v>74</v>
      </c>
      <c r="AQ802" t="s">
        <v>74</v>
      </c>
      <c r="AR802" t="s">
        <v>14633</v>
      </c>
      <c r="AS802" t="s">
        <v>14634</v>
      </c>
      <c r="AT802" t="s">
        <v>74</v>
      </c>
      <c r="AU802">
        <v>2013</v>
      </c>
      <c r="AV802">
        <v>33</v>
      </c>
      <c r="AW802" t="s">
        <v>74</v>
      </c>
      <c r="AX802" t="s">
        <v>74</v>
      </c>
      <c r="AY802" t="s">
        <v>74</v>
      </c>
      <c r="AZ802" t="s">
        <v>74</v>
      </c>
      <c r="BA802" t="s">
        <v>74</v>
      </c>
      <c r="BB802">
        <v>2</v>
      </c>
      <c r="BC802">
        <v>22</v>
      </c>
      <c r="BD802" t="s">
        <v>74</v>
      </c>
      <c r="BE802" t="s">
        <v>74</v>
      </c>
      <c r="BF802" t="s">
        <v>74</v>
      </c>
      <c r="BG802" t="s">
        <v>74</v>
      </c>
      <c r="BH802" t="s">
        <v>74</v>
      </c>
      <c r="BI802">
        <v>21</v>
      </c>
      <c r="BJ802" t="s">
        <v>101</v>
      </c>
      <c r="BK802" t="s">
        <v>1717</v>
      </c>
      <c r="BL802" t="s">
        <v>101</v>
      </c>
      <c r="BM802" t="s">
        <v>14635</v>
      </c>
      <c r="BN802" t="s">
        <v>74</v>
      </c>
      <c r="BO802" t="s">
        <v>74</v>
      </c>
      <c r="BP802" t="s">
        <v>74</v>
      </c>
      <c r="BQ802" t="s">
        <v>74</v>
      </c>
      <c r="BR802" t="s">
        <v>105</v>
      </c>
      <c r="BS802" t="s">
        <v>14636</v>
      </c>
      <c r="BT802" t="str">
        <f>HYPERLINK("https%3A%2F%2Fwww.webofscience.com%2Fwos%2Fwoscc%2Ffull-record%2FWOS:000214645500001","View Full Record in Web of Science")</f>
        <v>View Full Record in Web of Science</v>
      </c>
    </row>
    <row r="803" spans="1:72" x14ac:dyDescent="0.15">
      <c r="A803" t="s">
        <v>72</v>
      </c>
      <c r="B803" t="s">
        <v>14637</v>
      </c>
      <c r="C803" t="s">
        <v>74</v>
      </c>
      <c r="D803" t="s">
        <v>74</v>
      </c>
      <c r="E803" t="s">
        <v>74</v>
      </c>
      <c r="F803" t="s">
        <v>14638</v>
      </c>
      <c r="G803" t="s">
        <v>74</v>
      </c>
      <c r="H803" t="s">
        <v>74</v>
      </c>
      <c r="I803" t="s">
        <v>14639</v>
      </c>
      <c r="J803" t="s">
        <v>14640</v>
      </c>
      <c r="K803" t="s">
        <v>74</v>
      </c>
      <c r="L803" t="s">
        <v>74</v>
      </c>
      <c r="M803" t="s">
        <v>78</v>
      </c>
      <c r="N803" t="s">
        <v>79</v>
      </c>
      <c r="O803" t="s">
        <v>74</v>
      </c>
      <c r="P803" t="s">
        <v>74</v>
      </c>
      <c r="Q803" t="s">
        <v>74</v>
      </c>
      <c r="R803" t="s">
        <v>74</v>
      </c>
      <c r="S803" t="s">
        <v>74</v>
      </c>
      <c r="T803" t="s">
        <v>14641</v>
      </c>
      <c r="U803" t="s">
        <v>74</v>
      </c>
      <c r="V803" t="s">
        <v>14642</v>
      </c>
      <c r="W803" t="s">
        <v>14643</v>
      </c>
      <c r="X803" t="s">
        <v>14644</v>
      </c>
      <c r="Y803" t="s">
        <v>14645</v>
      </c>
      <c r="Z803" t="s">
        <v>14646</v>
      </c>
      <c r="AA803" t="s">
        <v>74</v>
      </c>
      <c r="AB803" t="s">
        <v>74</v>
      </c>
      <c r="AC803" t="s">
        <v>74</v>
      </c>
      <c r="AD803" t="s">
        <v>74</v>
      </c>
      <c r="AE803" t="s">
        <v>74</v>
      </c>
      <c r="AF803" t="s">
        <v>74</v>
      </c>
      <c r="AG803">
        <v>12</v>
      </c>
      <c r="AH803">
        <v>0</v>
      </c>
      <c r="AI803">
        <v>0</v>
      </c>
      <c r="AJ803">
        <v>0</v>
      </c>
      <c r="AK803">
        <v>0</v>
      </c>
      <c r="AL803" t="s">
        <v>14647</v>
      </c>
      <c r="AM803" t="s">
        <v>14648</v>
      </c>
      <c r="AN803" t="s">
        <v>14649</v>
      </c>
      <c r="AO803" t="s">
        <v>14650</v>
      </c>
      <c r="AP803" t="s">
        <v>14651</v>
      </c>
      <c r="AQ803" t="s">
        <v>74</v>
      </c>
      <c r="AR803" t="s">
        <v>14652</v>
      </c>
      <c r="AS803" t="s">
        <v>14653</v>
      </c>
      <c r="AT803" t="s">
        <v>74</v>
      </c>
      <c r="AU803">
        <v>2013</v>
      </c>
      <c r="AV803" t="s">
        <v>74</v>
      </c>
      <c r="AW803">
        <v>2</v>
      </c>
      <c r="AX803" t="s">
        <v>74</v>
      </c>
      <c r="AY803" t="s">
        <v>74</v>
      </c>
      <c r="AZ803" t="s">
        <v>74</v>
      </c>
      <c r="BA803" t="s">
        <v>74</v>
      </c>
      <c r="BB803">
        <v>96</v>
      </c>
      <c r="BC803">
        <v>101</v>
      </c>
      <c r="BD803" t="s">
        <v>74</v>
      </c>
      <c r="BE803" t="s">
        <v>74</v>
      </c>
      <c r="BF803" t="s">
        <v>74</v>
      </c>
      <c r="BG803" t="s">
        <v>74</v>
      </c>
      <c r="BH803" t="s">
        <v>74</v>
      </c>
      <c r="BI803">
        <v>6</v>
      </c>
      <c r="BJ803" t="s">
        <v>14654</v>
      </c>
      <c r="BK803" t="s">
        <v>1717</v>
      </c>
      <c r="BL803" t="s">
        <v>14655</v>
      </c>
      <c r="BM803" t="s">
        <v>14656</v>
      </c>
      <c r="BN803" t="s">
        <v>74</v>
      </c>
      <c r="BO803" t="s">
        <v>74</v>
      </c>
      <c r="BP803" t="s">
        <v>74</v>
      </c>
      <c r="BQ803" t="s">
        <v>74</v>
      </c>
      <c r="BR803" t="s">
        <v>105</v>
      </c>
      <c r="BS803" t="s">
        <v>14657</v>
      </c>
      <c r="BT803" t="str">
        <f>HYPERLINK("https%3A%2F%2Fwww.webofscience.com%2Fwos%2Fwoscc%2Ffull-record%2FWOS:000443745000016","View Full Record in Web of Science")</f>
        <v>View Full Record in Web of Science</v>
      </c>
    </row>
    <row r="804" spans="1:72" x14ac:dyDescent="0.15">
      <c r="A804" t="s">
        <v>72</v>
      </c>
      <c r="B804" t="s">
        <v>14658</v>
      </c>
      <c r="C804" t="s">
        <v>74</v>
      </c>
      <c r="D804" t="s">
        <v>74</v>
      </c>
      <c r="E804" t="s">
        <v>74</v>
      </c>
      <c r="F804" t="s">
        <v>14659</v>
      </c>
      <c r="G804" t="s">
        <v>74</v>
      </c>
      <c r="H804" t="s">
        <v>74</v>
      </c>
      <c r="I804" t="s">
        <v>14660</v>
      </c>
      <c r="J804" t="s">
        <v>6427</v>
      </c>
      <c r="K804" t="s">
        <v>74</v>
      </c>
      <c r="L804" t="s">
        <v>74</v>
      </c>
      <c r="M804" t="s">
        <v>78</v>
      </c>
      <c r="N804" t="s">
        <v>79</v>
      </c>
      <c r="O804" t="s">
        <v>74</v>
      </c>
      <c r="P804" t="s">
        <v>74</v>
      </c>
      <c r="Q804" t="s">
        <v>74</v>
      </c>
      <c r="R804" t="s">
        <v>74</v>
      </c>
      <c r="S804" t="s">
        <v>74</v>
      </c>
      <c r="T804" t="s">
        <v>14661</v>
      </c>
      <c r="U804" t="s">
        <v>14662</v>
      </c>
      <c r="V804" t="s">
        <v>14663</v>
      </c>
      <c r="W804" t="s">
        <v>14664</v>
      </c>
      <c r="X804" t="s">
        <v>14665</v>
      </c>
      <c r="Y804" t="s">
        <v>14666</v>
      </c>
      <c r="Z804" t="s">
        <v>14667</v>
      </c>
      <c r="AA804" t="s">
        <v>14668</v>
      </c>
      <c r="AB804" t="s">
        <v>14669</v>
      </c>
      <c r="AC804" t="s">
        <v>14670</v>
      </c>
      <c r="AD804" t="s">
        <v>10537</v>
      </c>
      <c r="AE804" t="s">
        <v>74</v>
      </c>
      <c r="AF804" t="s">
        <v>74</v>
      </c>
      <c r="AG804">
        <v>11</v>
      </c>
      <c r="AH804">
        <v>6</v>
      </c>
      <c r="AI804">
        <v>7</v>
      </c>
      <c r="AJ804">
        <v>0</v>
      </c>
      <c r="AK804">
        <v>17</v>
      </c>
      <c r="AL804" t="s">
        <v>6439</v>
      </c>
      <c r="AM804" t="s">
        <v>4076</v>
      </c>
      <c r="AN804" t="s">
        <v>6440</v>
      </c>
      <c r="AO804" t="s">
        <v>6441</v>
      </c>
      <c r="AP804" t="s">
        <v>6442</v>
      </c>
      <c r="AQ804" t="s">
        <v>74</v>
      </c>
      <c r="AR804" t="s">
        <v>6427</v>
      </c>
      <c r="AS804" t="s">
        <v>6443</v>
      </c>
      <c r="AT804" t="s">
        <v>74</v>
      </c>
      <c r="AU804">
        <v>2013</v>
      </c>
      <c r="AV804" t="s">
        <v>74</v>
      </c>
      <c r="AW804">
        <v>294</v>
      </c>
      <c r="AX804" t="s">
        <v>74</v>
      </c>
      <c r="AY804" t="s">
        <v>74</v>
      </c>
      <c r="AZ804" t="s">
        <v>74</v>
      </c>
      <c r="BA804" t="s">
        <v>74</v>
      </c>
      <c r="BB804">
        <v>1</v>
      </c>
      <c r="BC804">
        <v>8</v>
      </c>
      <c r="BD804" t="s">
        <v>74</v>
      </c>
      <c r="BE804" t="s">
        <v>14671</v>
      </c>
      <c r="BF804" t="str">
        <f>HYPERLINK("http://dx.doi.org/10.3897/zookeys.294.4796","http://dx.doi.org/10.3897/zookeys.294.4796")</f>
        <v>http://dx.doi.org/10.3897/zookeys.294.4796</v>
      </c>
      <c r="BG804" t="s">
        <v>74</v>
      </c>
      <c r="BH804" t="s">
        <v>74</v>
      </c>
      <c r="BI804">
        <v>8</v>
      </c>
      <c r="BJ804" t="s">
        <v>3023</v>
      </c>
      <c r="BK804" t="s">
        <v>102</v>
      </c>
      <c r="BL804" t="s">
        <v>3023</v>
      </c>
      <c r="BM804" t="s">
        <v>14672</v>
      </c>
      <c r="BN804">
        <v>23794869</v>
      </c>
      <c r="BO804" t="s">
        <v>2766</v>
      </c>
      <c r="BP804" t="s">
        <v>74</v>
      </c>
      <c r="BQ804" t="s">
        <v>74</v>
      </c>
      <c r="BR804" t="s">
        <v>105</v>
      </c>
      <c r="BS804" t="s">
        <v>14673</v>
      </c>
      <c r="BT804" t="str">
        <f>HYPERLINK("https%3A%2F%2Fwww.webofscience.com%2Fwos%2Fwoscc%2Ffull-record%2FWOS:000317816300001","View Full Record in Web of Science")</f>
        <v>View Full Record in Web of Science</v>
      </c>
    </row>
    <row r="805" spans="1:72" x14ac:dyDescent="0.15">
      <c r="A805" t="s">
        <v>72</v>
      </c>
      <c r="B805" t="s">
        <v>14674</v>
      </c>
      <c r="C805" t="s">
        <v>74</v>
      </c>
      <c r="D805" t="s">
        <v>74</v>
      </c>
      <c r="E805" t="s">
        <v>74</v>
      </c>
      <c r="F805" t="s">
        <v>14675</v>
      </c>
      <c r="G805" t="s">
        <v>74</v>
      </c>
      <c r="H805" t="s">
        <v>74</v>
      </c>
      <c r="I805" t="s">
        <v>14676</v>
      </c>
      <c r="J805" t="s">
        <v>6427</v>
      </c>
      <c r="K805" t="s">
        <v>74</v>
      </c>
      <c r="L805" t="s">
        <v>74</v>
      </c>
      <c r="M805" t="s">
        <v>78</v>
      </c>
      <c r="N805" t="s">
        <v>79</v>
      </c>
      <c r="O805" t="s">
        <v>74</v>
      </c>
      <c r="P805" t="s">
        <v>74</v>
      </c>
      <c r="Q805" t="s">
        <v>74</v>
      </c>
      <c r="R805" t="s">
        <v>74</v>
      </c>
      <c r="S805" t="s">
        <v>74</v>
      </c>
      <c r="T805" t="s">
        <v>14677</v>
      </c>
      <c r="U805" t="s">
        <v>14678</v>
      </c>
      <c r="V805" t="s">
        <v>14679</v>
      </c>
      <c r="W805" t="s">
        <v>14680</v>
      </c>
      <c r="X805" t="s">
        <v>14681</v>
      </c>
      <c r="Y805" t="s">
        <v>14682</v>
      </c>
      <c r="Z805" t="s">
        <v>14683</v>
      </c>
      <c r="AA805" t="s">
        <v>14684</v>
      </c>
      <c r="AB805" t="s">
        <v>14685</v>
      </c>
      <c r="AC805" t="s">
        <v>14686</v>
      </c>
      <c r="AD805" t="s">
        <v>14687</v>
      </c>
      <c r="AE805" t="s">
        <v>14688</v>
      </c>
      <c r="AF805" t="s">
        <v>74</v>
      </c>
      <c r="AG805">
        <v>4</v>
      </c>
      <c r="AH805">
        <v>15</v>
      </c>
      <c r="AI805">
        <v>15</v>
      </c>
      <c r="AJ805">
        <v>0</v>
      </c>
      <c r="AK805">
        <v>13</v>
      </c>
      <c r="AL805" t="s">
        <v>6459</v>
      </c>
      <c r="AM805" t="s">
        <v>4076</v>
      </c>
      <c r="AN805" t="s">
        <v>7362</v>
      </c>
      <c r="AO805" t="s">
        <v>6441</v>
      </c>
      <c r="AP805" t="s">
        <v>6442</v>
      </c>
      <c r="AQ805" t="s">
        <v>74</v>
      </c>
      <c r="AR805" t="s">
        <v>6427</v>
      </c>
      <c r="AS805" t="s">
        <v>6443</v>
      </c>
      <c r="AT805" t="s">
        <v>74</v>
      </c>
      <c r="AU805">
        <v>2013</v>
      </c>
      <c r="AV805" t="s">
        <v>74</v>
      </c>
      <c r="AW805">
        <v>341</v>
      </c>
      <c r="AX805" t="s">
        <v>74</v>
      </c>
      <c r="AY805" t="s">
        <v>74</v>
      </c>
      <c r="AZ805" t="s">
        <v>74</v>
      </c>
      <c r="BA805" t="s">
        <v>74</v>
      </c>
      <c r="BB805">
        <v>37</v>
      </c>
      <c r="BC805">
        <v>48</v>
      </c>
      <c r="BD805" t="s">
        <v>74</v>
      </c>
      <c r="BE805" t="s">
        <v>14689</v>
      </c>
      <c r="BF805" t="str">
        <f>HYPERLINK("http://dx.doi.org/10.3897/zookeys.341.6031","http://dx.doi.org/10.3897/zookeys.341.6031")</f>
        <v>http://dx.doi.org/10.3897/zookeys.341.6031</v>
      </c>
      <c r="BG805" t="s">
        <v>74</v>
      </c>
      <c r="BH805" t="s">
        <v>74</v>
      </c>
      <c r="BI805">
        <v>12</v>
      </c>
      <c r="BJ805" t="s">
        <v>3023</v>
      </c>
      <c r="BK805" t="s">
        <v>102</v>
      </c>
      <c r="BL805" t="s">
        <v>3023</v>
      </c>
      <c r="BM805" t="s">
        <v>14690</v>
      </c>
      <c r="BN805">
        <v>24146597</v>
      </c>
      <c r="BO805" t="s">
        <v>2652</v>
      </c>
      <c r="BP805" t="s">
        <v>74</v>
      </c>
      <c r="BQ805" t="s">
        <v>74</v>
      </c>
      <c r="BR805" t="s">
        <v>105</v>
      </c>
      <c r="BS805" t="s">
        <v>14691</v>
      </c>
      <c r="BT805" t="str">
        <f>HYPERLINK("https%3A%2F%2Fwww.webofscience.com%2Fwos%2Fwoscc%2Ffull-record%2FWOS:000325520400003","View Full Record in Web of Science")</f>
        <v>View Full Record in Web of Science</v>
      </c>
    </row>
    <row r="806" spans="1:72" x14ac:dyDescent="0.15">
      <c r="A806" t="s">
        <v>72</v>
      </c>
      <c r="B806" t="s">
        <v>14692</v>
      </c>
      <c r="C806" t="s">
        <v>74</v>
      </c>
      <c r="D806" t="s">
        <v>74</v>
      </c>
      <c r="E806" t="s">
        <v>74</v>
      </c>
      <c r="F806" t="s">
        <v>14693</v>
      </c>
      <c r="G806" t="s">
        <v>74</v>
      </c>
      <c r="H806" t="s">
        <v>74</v>
      </c>
      <c r="I806" t="s">
        <v>14694</v>
      </c>
      <c r="J806" t="s">
        <v>14695</v>
      </c>
      <c r="K806" t="s">
        <v>74</v>
      </c>
      <c r="L806" t="s">
        <v>74</v>
      </c>
      <c r="M806" t="s">
        <v>78</v>
      </c>
      <c r="N806" t="s">
        <v>79</v>
      </c>
      <c r="O806" t="s">
        <v>74</v>
      </c>
      <c r="P806" t="s">
        <v>74</v>
      </c>
      <c r="Q806" t="s">
        <v>74</v>
      </c>
      <c r="R806" t="s">
        <v>74</v>
      </c>
      <c r="S806" t="s">
        <v>74</v>
      </c>
      <c r="T806" t="s">
        <v>14696</v>
      </c>
      <c r="U806" t="s">
        <v>14697</v>
      </c>
      <c r="V806" t="s">
        <v>14698</v>
      </c>
      <c r="W806" t="s">
        <v>14699</v>
      </c>
      <c r="X806" t="s">
        <v>14700</v>
      </c>
      <c r="Y806" t="s">
        <v>14701</v>
      </c>
      <c r="Z806" t="s">
        <v>14702</v>
      </c>
      <c r="AA806" t="s">
        <v>13826</v>
      </c>
      <c r="AB806" t="s">
        <v>14703</v>
      </c>
      <c r="AC806" t="s">
        <v>14704</v>
      </c>
      <c r="AD806" t="s">
        <v>14705</v>
      </c>
      <c r="AE806" t="s">
        <v>14706</v>
      </c>
      <c r="AF806" t="s">
        <v>74</v>
      </c>
      <c r="AG806">
        <v>43</v>
      </c>
      <c r="AH806">
        <v>12</v>
      </c>
      <c r="AI806">
        <v>13</v>
      </c>
      <c r="AJ806">
        <v>2</v>
      </c>
      <c r="AK806">
        <v>24</v>
      </c>
      <c r="AL806" t="s">
        <v>1343</v>
      </c>
      <c r="AM806" t="s">
        <v>1344</v>
      </c>
      <c r="AN806" t="s">
        <v>1345</v>
      </c>
      <c r="AO806" t="s">
        <v>14707</v>
      </c>
      <c r="AP806" t="s">
        <v>14708</v>
      </c>
      <c r="AQ806" t="s">
        <v>74</v>
      </c>
      <c r="AR806" t="s">
        <v>14709</v>
      </c>
      <c r="AS806" t="s">
        <v>14710</v>
      </c>
      <c r="AT806" t="s">
        <v>74</v>
      </c>
      <c r="AU806">
        <v>2013</v>
      </c>
      <c r="AV806">
        <v>28</v>
      </c>
      <c r="AW806">
        <v>1</v>
      </c>
      <c r="AX806" t="s">
        <v>74</v>
      </c>
      <c r="AY806" t="s">
        <v>74</v>
      </c>
      <c r="AZ806" t="s">
        <v>74</v>
      </c>
      <c r="BA806" t="s">
        <v>74</v>
      </c>
      <c r="BB806">
        <v>93</v>
      </c>
      <c r="BC806">
        <v>108</v>
      </c>
      <c r="BD806" t="s">
        <v>74</v>
      </c>
      <c r="BE806" t="s">
        <v>14711</v>
      </c>
      <c r="BF806" t="str">
        <f>HYPERLINK("http://dx.doi.org/10.1080/0269249X.2012.739975","http://dx.doi.org/10.1080/0269249X.2012.739975")</f>
        <v>http://dx.doi.org/10.1080/0269249X.2012.739975</v>
      </c>
      <c r="BG806" t="s">
        <v>74</v>
      </c>
      <c r="BH806" t="s">
        <v>74</v>
      </c>
      <c r="BI806">
        <v>16</v>
      </c>
      <c r="BJ806" t="s">
        <v>223</v>
      </c>
      <c r="BK806" t="s">
        <v>102</v>
      </c>
      <c r="BL806" t="s">
        <v>223</v>
      </c>
      <c r="BM806" t="s">
        <v>14712</v>
      </c>
      <c r="BN806" t="s">
        <v>74</v>
      </c>
      <c r="BO806" t="s">
        <v>74</v>
      </c>
      <c r="BP806" t="s">
        <v>74</v>
      </c>
      <c r="BQ806" t="s">
        <v>74</v>
      </c>
      <c r="BR806" t="s">
        <v>105</v>
      </c>
      <c r="BS806" t="s">
        <v>14713</v>
      </c>
      <c r="BT806" t="str">
        <f>HYPERLINK("https%3A%2F%2Fwww.webofscience.com%2Fwos%2Fwoscc%2Ffull-record%2FWOS:000311784000007","View Full Record in Web of Science")</f>
        <v>View Full Record in Web of Science</v>
      </c>
    </row>
    <row r="807" spans="1:72" x14ac:dyDescent="0.15">
      <c r="A807" t="s">
        <v>72</v>
      </c>
      <c r="B807" t="s">
        <v>14714</v>
      </c>
      <c r="C807" t="s">
        <v>74</v>
      </c>
      <c r="D807" t="s">
        <v>74</v>
      </c>
      <c r="E807" t="s">
        <v>74</v>
      </c>
      <c r="F807" t="s">
        <v>14715</v>
      </c>
      <c r="G807" t="s">
        <v>74</v>
      </c>
      <c r="H807" t="s">
        <v>74</v>
      </c>
      <c r="I807" t="s">
        <v>14716</v>
      </c>
      <c r="J807" t="s">
        <v>14717</v>
      </c>
      <c r="K807" t="s">
        <v>74</v>
      </c>
      <c r="L807" t="s">
        <v>74</v>
      </c>
      <c r="M807" t="s">
        <v>78</v>
      </c>
      <c r="N807" t="s">
        <v>79</v>
      </c>
      <c r="O807" t="s">
        <v>74</v>
      </c>
      <c r="P807" t="s">
        <v>74</v>
      </c>
      <c r="Q807" t="s">
        <v>74</v>
      </c>
      <c r="R807" t="s">
        <v>74</v>
      </c>
      <c r="S807" t="s">
        <v>74</v>
      </c>
      <c r="T807" t="s">
        <v>74</v>
      </c>
      <c r="U807" t="s">
        <v>14718</v>
      </c>
      <c r="V807" t="s">
        <v>14719</v>
      </c>
      <c r="W807" t="s">
        <v>14720</v>
      </c>
      <c r="X807" t="s">
        <v>14721</v>
      </c>
      <c r="Y807" t="s">
        <v>14722</v>
      </c>
      <c r="Z807" t="s">
        <v>14723</v>
      </c>
      <c r="AA807" t="s">
        <v>14724</v>
      </c>
      <c r="AB807" t="s">
        <v>74</v>
      </c>
      <c r="AC807" t="s">
        <v>14725</v>
      </c>
      <c r="AD807" t="s">
        <v>14726</v>
      </c>
      <c r="AE807" t="s">
        <v>14727</v>
      </c>
      <c r="AF807" t="s">
        <v>74</v>
      </c>
      <c r="AG807">
        <v>38</v>
      </c>
      <c r="AH807">
        <v>35</v>
      </c>
      <c r="AI807">
        <v>37</v>
      </c>
      <c r="AJ807">
        <v>0</v>
      </c>
      <c r="AK807">
        <v>31</v>
      </c>
      <c r="AL807" t="s">
        <v>1343</v>
      </c>
      <c r="AM807" t="s">
        <v>1344</v>
      </c>
      <c r="AN807" t="s">
        <v>8305</v>
      </c>
      <c r="AO807" t="s">
        <v>14728</v>
      </c>
      <c r="AP807" t="s">
        <v>74</v>
      </c>
      <c r="AQ807" t="s">
        <v>74</v>
      </c>
      <c r="AR807" t="s">
        <v>14729</v>
      </c>
      <c r="AS807" t="s">
        <v>14730</v>
      </c>
      <c r="AT807" t="s">
        <v>74</v>
      </c>
      <c r="AU807">
        <v>2013</v>
      </c>
      <c r="AV807">
        <v>34</v>
      </c>
      <c r="AW807">
        <v>2</v>
      </c>
      <c r="AX807" t="s">
        <v>74</v>
      </c>
      <c r="AY807" t="s">
        <v>74</v>
      </c>
      <c r="AZ807" t="s">
        <v>74</v>
      </c>
      <c r="BA807" t="s">
        <v>74</v>
      </c>
      <c r="BB807">
        <v>468</v>
      </c>
      <c r="BC807">
        <v>489</v>
      </c>
      <c r="BD807" t="s">
        <v>74</v>
      </c>
      <c r="BE807" t="s">
        <v>14731</v>
      </c>
      <c r="BF807" t="str">
        <f>HYPERLINK("http://dx.doi.org/10.1080/01431161.2012.712229","http://dx.doi.org/10.1080/01431161.2012.712229")</f>
        <v>http://dx.doi.org/10.1080/01431161.2012.712229</v>
      </c>
      <c r="BG807" t="s">
        <v>74</v>
      </c>
      <c r="BH807" t="s">
        <v>74</v>
      </c>
      <c r="BI807">
        <v>22</v>
      </c>
      <c r="BJ807" t="s">
        <v>14732</v>
      </c>
      <c r="BK807" t="s">
        <v>102</v>
      </c>
      <c r="BL807" t="s">
        <v>14732</v>
      </c>
      <c r="BM807" t="s">
        <v>14733</v>
      </c>
      <c r="BN807" t="s">
        <v>74</v>
      </c>
      <c r="BO807" t="s">
        <v>74</v>
      </c>
      <c r="BP807" t="s">
        <v>74</v>
      </c>
      <c r="BQ807" t="s">
        <v>74</v>
      </c>
      <c r="BR807" t="s">
        <v>105</v>
      </c>
      <c r="BS807" t="s">
        <v>14734</v>
      </c>
      <c r="BT807" t="str">
        <f>HYPERLINK("https%3A%2F%2Fwww.webofscience.com%2Fwos%2Fwoscc%2Ffull-record%2FWOS:000308995800005","View Full Record in Web of Science")</f>
        <v>View Full Record in Web of Science</v>
      </c>
    </row>
    <row r="808" spans="1:72" x14ac:dyDescent="0.15">
      <c r="A808" t="s">
        <v>72</v>
      </c>
      <c r="B808" t="s">
        <v>14735</v>
      </c>
      <c r="C808" t="s">
        <v>74</v>
      </c>
      <c r="D808" t="s">
        <v>74</v>
      </c>
      <c r="E808" t="s">
        <v>74</v>
      </c>
      <c r="F808" t="s">
        <v>14736</v>
      </c>
      <c r="G808" t="s">
        <v>74</v>
      </c>
      <c r="H808" t="s">
        <v>74</v>
      </c>
      <c r="I808" t="s">
        <v>14737</v>
      </c>
      <c r="J808" t="s">
        <v>14738</v>
      </c>
      <c r="K808" t="s">
        <v>74</v>
      </c>
      <c r="L808" t="s">
        <v>74</v>
      </c>
      <c r="M808" t="s">
        <v>4282</v>
      </c>
      <c r="N808" t="s">
        <v>79</v>
      </c>
      <c r="O808" t="s">
        <v>74</v>
      </c>
      <c r="P808" t="s">
        <v>74</v>
      </c>
      <c r="Q808" t="s">
        <v>74</v>
      </c>
      <c r="R808" t="s">
        <v>74</v>
      </c>
      <c r="S808" t="s">
        <v>74</v>
      </c>
      <c r="T808" t="s">
        <v>14739</v>
      </c>
      <c r="U808" t="s">
        <v>14740</v>
      </c>
      <c r="V808" t="s">
        <v>14741</v>
      </c>
      <c r="W808" t="s">
        <v>14742</v>
      </c>
      <c r="X808" t="s">
        <v>14743</v>
      </c>
      <c r="Y808" t="s">
        <v>14744</v>
      </c>
      <c r="Z808" t="s">
        <v>14745</v>
      </c>
      <c r="AA808" t="s">
        <v>14746</v>
      </c>
      <c r="AB808" t="s">
        <v>14747</v>
      </c>
      <c r="AC808" t="s">
        <v>74</v>
      </c>
      <c r="AD808" t="s">
        <v>74</v>
      </c>
      <c r="AE808" t="s">
        <v>74</v>
      </c>
      <c r="AF808" t="s">
        <v>74</v>
      </c>
      <c r="AG808">
        <v>63</v>
      </c>
      <c r="AH808">
        <v>4</v>
      </c>
      <c r="AI808">
        <v>6</v>
      </c>
      <c r="AJ808">
        <v>0</v>
      </c>
      <c r="AK808">
        <v>18</v>
      </c>
      <c r="AL808" t="s">
        <v>14748</v>
      </c>
      <c r="AM808" t="s">
        <v>14749</v>
      </c>
      <c r="AN808" t="s">
        <v>14750</v>
      </c>
      <c r="AO808" t="s">
        <v>14751</v>
      </c>
      <c r="AP808" t="s">
        <v>14752</v>
      </c>
      <c r="AQ808" t="s">
        <v>74</v>
      </c>
      <c r="AR808" t="s">
        <v>14738</v>
      </c>
      <c r="AS808" t="s">
        <v>14753</v>
      </c>
      <c r="AT808" t="s">
        <v>14754</v>
      </c>
      <c r="AU808">
        <v>2012</v>
      </c>
      <c r="AV808">
        <v>34</v>
      </c>
      <c r="AW808">
        <v>2</v>
      </c>
      <c r="AX808" t="s">
        <v>74</v>
      </c>
      <c r="AY808" t="s">
        <v>74</v>
      </c>
      <c r="AZ808" t="s">
        <v>74</v>
      </c>
      <c r="BA808" t="s">
        <v>74</v>
      </c>
      <c r="BB808">
        <v>257</v>
      </c>
      <c r="BC808">
        <v>275</v>
      </c>
      <c r="BD808" t="s">
        <v>74</v>
      </c>
      <c r="BE808" t="s">
        <v>74</v>
      </c>
      <c r="BF808" t="s">
        <v>74</v>
      </c>
      <c r="BG808" t="s">
        <v>74</v>
      </c>
      <c r="BH808" t="s">
        <v>74</v>
      </c>
      <c r="BI808">
        <v>19</v>
      </c>
      <c r="BJ808" t="s">
        <v>14755</v>
      </c>
      <c r="BK808" t="s">
        <v>102</v>
      </c>
      <c r="BL808" t="s">
        <v>14756</v>
      </c>
      <c r="BM808" t="s">
        <v>14757</v>
      </c>
      <c r="BN808" t="s">
        <v>74</v>
      </c>
      <c r="BO808" t="s">
        <v>74</v>
      </c>
      <c r="BP808" t="s">
        <v>74</v>
      </c>
      <c r="BQ808" t="s">
        <v>74</v>
      </c>
      <c r="BR808" t="s">
        <v>105</v>
      </c>
      <c r="BS808" t="s">
        <v>14758</v>
      </c>
      <c r="BT808" t="str">
        <f>HYPERLINK("https%3A%2F%2Fwww.webofscience.com%2Fwos%2Fwoscc%2Ffull-record%2FWOS:000314907400001","View Full Record in Web of Science")</f>
        <v>View Full Record in Web of Science</v>
      </c>
    </row>
    <row r="809" spans="1:72" x14ac:dyDescent="0.15">
      <c r="A809" t="s">
        <v>72</v>
      </c>
      <c r="B809" t="s">
        <v>14759</v>
      </c>
      <c r="C809" t="s">
        <v>74</v>
      </c>
      <c r="D809" t="s">
        <v>74</v>
      </c>
      <c r="E809" t="s">
        <v>74</v>
      </c>
      <c r="F809" t="s">
        <v>14760</v>
      </c>
      <c r="G809" t="s">
        <v>74</v>
      </c>
      <c r="H809" t="s">
        <v>74</v>
      </c>
      <c r="I809" t="s">
        <v>14761</v>
      </c>
      <c r="J809" t="s">
        <v>14762</v>
      </c>
      <c r="K809" t="s">
        <v>74</v>
      </c>
      <c r="L809" t="s">
        <v>74</v>
      </c>
      <c r="M809" t="s">
        <v>78</v>
      </c>
      <c r="N809" t="s">
        <v>1120</v>
      </c>
      <c r="O809" t="s">
        <v>74</v>
      </c>
      <c r="P809" t="s">
        <v>74</v>
      </c>
      <c r="Q809" t="s">
        <v>74</v>
      </c>
      <c r="R809" t="s">
        <v>74</v>
      </c>
      <c r="S809" t="s">
        <v>74</v>
      </c>
      <c r="T809" t="s">
        <v>14763</v>
      </c>
      <c r="U809" t="s">
        <v>14764</v>
      </c>
      <c r="V809" t="s">
        <v>14765</v>
      </c>
      <c r="W809" t="s">
        <v>14766</v>
      </c>
      <c r="X809" t="s">
        <v>14767</v>
      </c>
      <c r="Y809" t="s">
        <v>14768</v>
      </c>
      <c r="Z809" t="s">
        <v>14769</v>
      </c>
      <c r="AA809" t="s">
        <v>14770</v>
      </c>
      <c r="AB809" t="s">
        <v>14771</v>
      </c>
      <c r="AC809" t="s">
        <v>14772</v>
      </c>
      <c r="AD809" t="s">
        <v>14773</v>
      </c>
      <c r="AE809" t="s">
        <v>14774</v>
      </c>
      <c r="AF809" t="s">
        <v>74</v>
      </c>
      <c r="AG809">
        <v>82</v>
      </c>
      <c r="AH809">
        <v>15</v>
      </c>
      <c r="AI809">
        <v>17</v>
      </c>
      <c r="AJ809">
        <v>0</v>
      </c>
      <c r="AK809">
        <v>26</v>
      </c>
      <c r="AL809" t="s">
        <v>541</v>
      </c>
      <c r="AM809" t="s">
        <v>542</v>
      </c>
      <c r="AN809" t="s">
        <v>543</v>
      </c>
      <c r="AO809" t="s">
        <v>14775</v>
      </c>
      <c r="AP809" t="s">
        <v>14776</v>
      </c>
      <c r="AQ809" t="s">
        <v>74</v>
      </c>
      <c r="AR809" t="s">
        <v>14777</v>
      </c>
      <c r="AS809" t="s">
        <v>14778</v>
      </c>
      <c r="AT809" t="s">
        <v>14754</v>
      </c>
      <c r="AU809">
        <v>2012</v>
      </c>
      <c r="AV809">
        <v>282</v>
      </c>
      <c r="AW809" t="s">
        <v>74</v>
      </c>
      <c r="AX809" t="s">
        <v>74</v>
      </c>
      <c r="AY809" t="s">
        <v>74</v>
      </c>
      <c r="AZ809" t="s">
        <v>74</v>
      </c>
      <c r="BA809" t="s">
        <v>74</v>
      </c>
      <c r="BB809">
        <v>241</v>
      </c>
      <c r="BC809">
        <v>255</v>
      </c>
      <c r="BD809" t="s">
        <v>74</v>
      </c>
      <c r="BE809" t="s">
        <v>14779</v>
      </c>
      <c r="BF809" t="str">
        <f>HYPERLINK("http://dx.doi.org/10.1016/j.sedgeo.2012.09.013","http://dx.doi.org/10.1016/j.sedgeo.2012.09.013")</f>
        <v>http://dx.doi.org/10.1016/j.sedgeo.2012.09.013</v>
      </c>
      <c r="BG809" t="s">
        <v>74</v>
      </c>
      <c r="BH809" t="s">
        <v>74</v>
      </c>
      <c r="BI809">
        <v>15</v>
      </c>
      <c r="BJ809" t="s">
        <v>1605</v>
      </c>
      <c r="BK809" t="s">
        <v>102</v>
      </c>
      <c r="BL809" t="s">
        <v>1605</v>
      </c>
      <c r="BM809" t="s">
        <v>14780</v>
      </c>
      <c r="BN809" t="s">
        <v>74</v>
      </c>
      <c r="BO809" t="s">
        <v>74</v>
      </c>
      <c r="BP809" t="s">
        <v>74</v>
      </c>
      <c r="BQ809" t="s">
        <v>74</v>
      </c>
      <c r="BR809" t="s">
        <v>105</v>
      </c>
      <c r="BS809" t="s">
        <v>14781</v>
      </c>
      <c r="BT809" t="str">
        <f>HYPERLINK("https%3A%2F%2Fwww.webofscience.com%2Fwos%2Fwoscc%2Ffull-record%2FWOS:000313473500018","View Full Record in Web of Science")</f>
        <v>View Full Record in Web of Science</v>
      </c>
    </row>
    <row r="810" spans="1:72" x14ac:dyDescent="0.15">
      <c r="A810" t="s">
        <v>72</v>
      </c>
      <c r="B810" t="s">
        <v>14782</v>
      </c>
      <c r="C810" t="s">
        <v>74</v>
      </c>
      <c r="D810" t="s">
        <v>74</v>
      </c>
      <c r="E810" t="s">
        <v>74</v>
      </c>
      <c r="F810" t="s">
        <v>14783</v>
      </c>
      <c r="G810" t="s">
        <v>74</v>
      </c>
      <c r="H810" t="s">
        <v>74</v>
      </c>
      <c r="I810" t="s">
        <v>14784</v>
      </c>
      <c r="J810" t="s">
        <v>14785</v>
      </c>
      <c r="K810" t="s">
        <v>74</v>
      </c>
      <c r="L810" t="s">
        <v>74</v>
      </c>
      <c r="M810" t="s">
        <v>78</v>
      </c>
      <c r="N810" t="s">
        <v>79</v>
      </c>
      <c r="O810" t="s">
        <v>74</v>
      </c>
      <c r="P810" t="s">
        <v>74</v>
      </c>
      <c r="Q810" t="s">
        <v>74</v>
      </c>
      <c r="R810" t="s">
        <v>74</v>
      </c>
      <c r="S810" t="s">
        <v>74</v>
      </c>
      <c r="T810" t="s">
        <v>14786</v>
      </c>
      <c r="U810" t="s">
        <v>14787</v>
      </c>
      <c r="V810" t="s">
        <v>14788</v>
      </c>
      <c r="W810" t="s">
        <v>14789</v>
      </c>
      <c r="X810" t="s">
        <v>14790</v>
      </c>
      <c r="Y810" t="s">
        <v>14791</v>
      </c>
      <c r="Z810" t="s">
        <v>14792</v>
      </c>
      <c r="AA810" t="s">
        <v>14793</v>
      </c>
      <c r="AB810" t="s">
        <v>14794</v>
      </c>
      <c r="AC810" t="s">
        <v>14795</v>
      </c>
      <c r="AD810" t="s">
        <v>14795</v>
      </c>
      <c r="AE810" t="s">
        <v>14796</v>
      </c>
      <c r="AF810" t="s">
        <v>74</v>
      </c>
      <c r="AG810">
        <v>45</v>
      </c>
      <c r="AH810">
        <v>15</v>
      </c>
      <c r="AI810">
        <v>17</v>
      </c>
      <c r="AJ810">
        <v>1</v>
      </c>
      <c r="AK810">
        <v>21</v>
      </c>
      <c r="AL810" t="s">
        <v>14797</v>
      </c>
      <c r="AM810" t="s">
        <v>14798</v>
      </c>
      <c r="AN810" t="s">
        <v>14799</v>
      </c>
      <c r="AO810" t="s">
        <v>14800</v>
      </c>
      <c r="AP810" t="s">
        <v>14801</v>
      </c>
      <c r="AQ810" t="s">
        <v>74</v>
      </c>
      <c r="AR810" t="s">
        <v>14802</v>
      </c>
      <c r="AS810" t="s">
        <v>14803</v>
      </c>
      <c r="AT810" t="s">
        <v>14754</v>
      </c>
      <c r="AU810">
        <v>2012</v>
      </c>
      <c r="AV810">
        <v>102</v>
      </c>
      <c r="AW810">
        <v>4</v>
      </c>
      <c r="AX810" t="s">
        <v>74</v>
      </c>
      <c r="AY810" t="s">
        <v>74</v>
      </c>
      <c r="AZ810" t="s">
        <v>74</v>
      </c>
      <c r="BA810" t="s">
        <v>74</v>
      </c>
      <c r="BB810">
        <v>394</v>
      </c>
      <c r="BC810">
        <v>400</v>
      </c>
      <c r="BD810" t="s">
        <v>74</v>
      </c>
      <c r="BE810" t="s">
        <v>14804</v>
      </c>
      <c r="BF810" t="str">
        <f>HYPERLINK("http://dx.doi.org/10.1590/S0073-47212012000400005","http://dx.doi.org/10.1590/S0073-47212012000400005")</f>
        <v>http://dx.doi.org/10.1590/S0073-47212012000400005</v>
      </c>
      <c r="BG810" t="s">
        <v>74</v>
      </c>
      <c r="BH810" t="s">
        <v>74</v>
      </c>
      <c r="BI810">
        <v>7</v>
      </c>
      <c r="BJ810" t="s">
        <v>3023</v>
      </c>
      <c r="BK810" t="s">
        <v>102</v>
      </c>
      <c r="BL810" t="s">
        <v>3023</v>
      </c>
      <c r="BM810" t="s">
        <v>14805</v>
      </c>
      <c r="BN810" t="s">
        <v>74</v>
      </c>
      <c r="BO810" t="s">
        <v>2359</v>
      </c>
      <c r="BP810" t="s">
        <v>74</v>
      </c>
      <c r="BQ810" t="s">
        <v>74</v>
      </c>
      <c r="BR810" t="s">
        <v>105</v>
      </c>
      <c r="BS810" t="s">
        <v>14806</v>
      </c>
      <c r="BT810" t="str">
        <f>HYPERLINK("https%3A%2F%2Fwww.webofscience.com%2Fwos%2Fwoscc%2Ffull-record%2FWOS:000314238800005","View Full Record in Web of Science")</f>
        <v>View Full Record in Web of Science</v>
      </c>
    </row>
    <row r="811" spans="1:72" x14ac:dyDescent="0.15">
      <c r="A811" t="s">
        <v>72</v>
      </c>
      <c r="B811" t="s">
        <v>14807</v>
      </c>
      <c r="C811" t="s">
        <v>74</v>
      </c>
      <c r="D811" t="s">
        <v>74</v>
      </c>
      <c r="E811" t="s">
        <v>74</v>
      </c>
      <c r="F811" t="s">
        <v>14808</v>
      </c>
      <c r="G811" t="s">
        <v>74</v>
      </c>
      <c r="H811" t="s">
        <v>74</v>
      </c>
      <c r="I811" t="s">
        <v>14809</v>
      </c>
      <c r="J811" t="s">
        <v>14810</v>
      </c>
      <c r="K811" t="s">
        <v>74</v>
      </c>
      <c r="L811" t="s">
        <v>74</v>
      </c>
      <c r="M811" t="s">
        <v>78</v>
      </c>
      <c r="N811" t="s">
        <v>79</v>
      </c>
      <c r="O811" t="s">
        <v>74</v>
      </c>
      <c r="P811" t="s">
        <v>74</v>
      </c>
      <c r="Q811" t="s">
        <v>74</v>
      </c>
      <c r="R811" t="s">
        <v>74</v>
      </c>
      <c r="S811" t="s">
        <v>74</v>
      </c>
      <c r="T811" t="s">
        <v>14811</v>
      </c>
      <c r="U811" t="s">
        <v>14812</v>
      </c>
      <c r="V811" t="s">
        <v>14813</v>
      </c>
      <c r="W811" t="s">
        <v>14814</v>
      </c>
      <c r="X811" t="s">
        <v>14815</v>
      </c>
      <c r="Y811" t="s">
        <v>14816</v>
      </c>
      <c r="Z811" t="s">
        <v>14817</v>
      </c>
      <c r="AA811" t="s">
        <v>14818</v>
      </c>
      <c r="AB811" t="s">
        <v>74</v>
      </c>
      <c r="AC811" t="s">
        <v>14819</v>
      </c>
      <c r="AD811" t="s">
        <v>14820</v>
      </c>
      <c r="AE811" t="s">
        <v>14821</v>
      </c>
      <c r="AF811" t="s">
        <v>74</v>
      </c>
      <c r="AG811">
        <v>54</v>
      </c>
      <c r="AH811">
        <v>8</v>
      </c>
      <c r="AI811">
        <v>8</v>
      </c>
      <c r="AJ811">
        <v>0</v>
      </c>
      <c r="AK811">
        <v>51</v>
      </c>
      <c r="AL811" t="s">
        <v>541</v>
      </c>
      <c r="AM811" t="s">
        <v>542</v>
      </c>
      <c r="AN811" t="s">
        <v>543</v>
      </c>
      <c r="AO811" t="s">
        <v>14822</v>
      </c>
      <c r="AP811" t="s">
        <v>74</v>
      </c>
      <c r="AQ811" t="s">
        <v>74</v>
      </c>
      <c r="AR811" t="s">
        <v>14823</v>
      </c>
      <c r="AS811" t="s">
        <v>14824</v>
      </c>
      <c r="AT811" t="s">
        <v>14754</v>
      </c>
      <c r="AU811">
        <v>2012</v>
      </c>
      <c r="AV811">
        <v>438</v>
      </c>
      <c r="AW811" t="s">
        <v>74</v>
      </c>
      <c r="AX811" t="s">
        <v>74</v>
      </c>
      <c r="AY811" t="s">
        <v>74</v>
      </c>
      <c r="AZ811" t="s">
        <v>74</v>
      </c>
      <c r="BA811" t="s">
        <v>74</v>
      </c>
      <c r="BB811">
        <v>100</v>
      </c>
      <c r="BC811">
        <v>108</v>
      </c>
      <c r="BD811" t="s">
        <v>74</v>
      </c>
      <c r="BE811" t="s">
        <v>14825</v>
      </c>
      <c r="BF811" t="str">
        <f>HYPERLINK("http://dx.doi.org/10.1016/j.jembe.2012.09.003","http://dx.doi.org/10.1016/j.jembe.2012.09.003")</f>
        <v>http://dx.doi.org/10.1016/j.jembe.2012.09.003</v>
      </c>
      <c r="BG811" t="s">
        <v>74</v>
      </c>
      <c r="BH811" t="s">
        <v>74</v>
      </c>
      <c r="BI811">
        <v>9</v>
      </c>
      <c r="BJ811" t="s">
        <v>14826</v>
      </c>
      <c r="BK811" t="s">
        <v>102</v>
      </c>
      <c r="BL811" t="s">
        <v>2985</v>
      </c>
      <c r="BM811" t="s">
        <v>14827</v>
      </c>
      <c r="BN811" t="s">
        <v>74</v>
      </c>
      <c r="BO811" t="s">
        <v>74</v>
      </c>
      <c r="BP811" t="s">
        <v>74</v>
      </c>
      <c r="BQ811" t="s">
        <v>74</v>
      </c>
      <c r="BR811" t="s">
        <v>105</v>
      </c>
      <c r="BS811" t="s">
        <v>14828</v>
      </c>
      <c r="BT811" t="str">
        <f>HYPERLINK("https%3A%2F%2Fwww.webofscience.com%2Fwos%2Fwoscc%2Ffull-record%2FWOS:000312239200013","View Full Record in Web of Science")</f>
        <v>View Full Record in Web of Science</v>
      </c>
    </row>
    <row r="812" spans="1:72" x14ac:dyDescent="0.15">
      <c r="A812" t="s">
        <v>72</v>
      </c>
      <c r="B812" t="s">
        <v>14829</v>
      </c>
      <c r="C812" t="s">
        <v>74</v>
      </c>
      <c r="D812" t="s">
        <v>74</v>
      </c>
      <c r="E812" t="s">
        <v>74</v>
      </c>
      <c r="F812" t="s">
        <v>14830</v>
      </c>
      <c r="G812" t="s">
        <v>74</v>
      </c>
      <c r="H812" t="s">
        <v>74</v>
      </c>
      <c r="I812" t="s">
        <v>14831</v>
      </c>
      <c r="J812" t="s">
        <v>14832</v>
      </c>
      <c r="K812" t="s">
        <v>74</v>
      </c>
      <c r="L812" t="s">
        <v>74</v>
      </c>
      <c r="M812" t="s">
        <v>78</v>
      </c>
      <c r="N812" t="s">
        <v>79</v>
      </c>
      <c r="O812" t="s">
        <v>74</v>
      </c>
      <c r="P812" t="s">
        <v>74</v>
      </c>
      <c r="Q812" t="s">
        <v>74</v>
      </c>
      <c r="R812" t="s">
        <v>74</v>
      </c>
      <c r="S812" t="s">
        <v>74</v>
      </c>
      <c r="T812" t="s">
        <v>14833</v>
      </c>
      <c r="U812" t="s">
        <v>14834</v>
      </c>
      <c r="V812" t="s">
        <v>14835</v>
      </c>
      <c r="W812" t="s">
        <v>14836</v>
      </c>
      <c r="X812" t="s">
        <v>14837</v>
      </c>
      <c r="Y812" t="s">
        <v>14838</v>
      </c>
      <c r="Z812" t="s">
        <v>14839</v>
      </c>
      <c r="AA812" t="s">
        <v>14840</v>
      </c>
      <c r="AB812" t="s">
        <v>14841</v>
      </c>
      <c r="AC812" t="s">
        <v>14842</v>
      </c>
      <c r="AD812" t="s">
        <v>14843</v>
      </c>
      <c r="AE812" t="s">
        <v>14844</v>
      </c>
      <c r="AF812" t="s">
        <v>74</v>
      </c>
      <c r="AG812">
        <v>46</v>
      </c>
      <c r="AH812">
        <v>13</v>
      </c>
      <c r="AI812">
        <v>14</v>
      </c>
      <c r="AJ812">
        <v>0</v>
      </c>
      <c r="AK812">
        <v>18</v>
      </c>
      <c r="AL812" t="s">
        <v>816</v>
      </c>
      <c r="AM812" t="s">
        <v>2038</v>
      </c>
      <c r="AN812" t="s">
        <v>4484</v>
      </c>
      <c r="AO812" t="s">
        <v>14845</v>
      </c>
      <c r="AP812" t="s">
        <v>14846</v>
      </c>
      <c r="AQ812" t="s">
        <v>74</v>
      </c>
      <c r="AR812" t="s">
        <v>14847</v>
      </c>
      <c r="AS812" t="s">
        <v>14848</v>
      </c>
      <c r="AT812" t="s">
        <v>14849</v>
      </c>
      <c r="AU812">
        <v>2012</v>
      </c>
      <c r="AV812">
        <v>108</v>
      </c>
      <c r="AW812">
        <v>12</v>
      </c>
      <c r="AX812" t="s">
        <v>74</v>
      </c>
      <c r="AY812" t="s">
        <v>74</v>
      </c>
      <c r="AZ812" t="s">
        <v>74</v>
      </c>
      <c r="BA812" t="s">
        <v>74</v>
      </c>
      <c r="BB812">
        <v>2190</v>
      </c>
      <c r="BC812">
        <v>2197</v>
      </c>
      <c r="BD812" t="s">
        <v>74</v>
      </c>
      <c r="BE812" t="s">
        <v>14850</v>
      </c>
      <c r="BF812" t="str">
        <f>HYPERLINK("http://dx.doi.org/10.1017/S0007114512000426","http://dx.doi.org/10.1017/S0007114512000426")</f>
        <v>http://dx.doi.org/10.1017/S0007114512000426</v>
      </c>
      <c r="BG812" t="s">
        <v>74</v>
      </c>
      <c r="BH812" t="s">
        <v>74</v>
      </c>
      <c r="BI812">
        <v>8</v>
      </c>
      <c r="BJ812" t="s">
        <v>14851</v>
      </c>
      <c r="BK812" t="s">
        <v>102</v>
      </c>
      <c r="BL812" t="s">
        <v>14851</v>
      </c>
      <c r="BM812" t="s">
        <v>14852</v>
      </c>
      <c r="BN812">
        <v>22414773</v>
      </c>
      <c r="BO812" t="s">
        <v>128</v>
      </c>
      <c r="BP812" t="s">
        <v>74</v>
      </c>
      <c r="BQ812" t="s">
        <v>74</v>
      </c>
      <c r="BR812" t="s">
        <v>105</v>
      </c>
      <c r="BS812" t="s">
        <v>14853</v>
      </c>
      <c r="BT812" t="str">
        <f>HYPERLINK("https%3A%2F%2Fwww.webofscience.com%2Fwos%2Fwoscc%2Ffull-record%2FWOS:000312459300009","View Full Record in Web of Science")</f>
        <v>View Full Record in Web of Science</v>
      </c>
    </row>
    <row r="813" spans="1:72" x14ac:dyDescent="0.15">
      <c r="A813" t="s">
        <v>72</v>
      </c>
      <c r="B813" t="s">
        <v>14056</v>
      </c>
      <c r="C813" t="s">
        <v>74</v>
      </c>
      <c r="D813" t="s">
        <v>74</v>
      </c>
      <c r="E813" t="s">
        <v>74</v>
      </c>
      <c r="F813" t="s">
        <v>14057</v>
      </c>
      <c r="G813" t="s">
        <v>74</v>
      </c>
      <c r="H813" t="s">
        <v>74</v>
      </c>
      <c r="I813" t="s">
        <v>14854</v>
      </c>
      <c r="J813" t="s">
        <v>2341</v>
      </c>
      <c r="K813" t="s">
        <v>74</v>
      </c>
      <c r="L813" t="s">
        <v>74</v>
      </c>
      <c r="M813" t="s">
        <v>78</v>
      </c>
      <c r="N813" t="s">
        <v>79</v>
      </c>
      <c r="O813" t="s">
        <v>74</v>
      </c>
      <c r="P813" t="s">
        <v>74</v>
      </c>
      <c r="Q813" t="s">
        <v>74</v>
      </c>
      <c r="R813" t="s">
        <v>74</v>
      </c>
      <c r="S813" t="s">
        <v>74</v>
      </c>
      <c r="T813" t="s">
        <v>74</v>
      </c>
      <c r="U813" t="s">
        <v>14855</v>
      </c>
      <c r="V813" t="s">
        <v>14856</v>
      </c>
      <c r="W813" t="s">
        <v>14857</v>
      </c>
      <c r="X813" t="s">
        <v>14063</v>
      </c>
      <c r="Y813" t="s">
        <v>14858</v>
      </c>
      <c r="Z813" t="s">
        <v>14859</v>
      </c>
      <c r="AA813" t="s">
        <v>14066</v>
      </c>
      <c r="AB813" t="s">
        <v>14067</v>
      </c>
      <c r="AC813" t="s">
        <v>14860</v>
      </c>
      <c r="AD813" t="s">
        <v>14861</v>
      </c>
      <c r="AE813" t="s">
        <v>14862</v>
      </c>
      <c r="AF813" t="s">
        <v>74</v>
      </c>
      <c r="AG813">
        <v>48</v>
      </c>
      <c r="AH813">
        <v>4</v>
      </c>
      <c r="AI813">
        <v>4</v>
      </c>
      <c r="AJ813">
        <v>0</v>
      </c>
      <c r="AK813">
        <v>34</v>
      </c>
      <c r="AL813" t="s">
        <v>2350</v>
      </c>
      <c r="AM813" t="s">
        <v>2351</v>
      </c>
      <c r="AN813" t="s">
        <v>2352</v>
      </c>
      <c r="AO813" t="s">
        <v>2353</v>
      </c>
      <c r="AP813" t="s">
        <v>74</v>
      </c>
      <c r="AQ813" t="s">
        <v>74</v>
      </c>
      <c r="AR813" t="s">
        <v>2341</v>
      </c>
      <c r="AS813" t="s">
        <v>2354</v>
      </c>
      <c r="AT813" t="s">
        <v>14849</v>
      </c>
      <c r="AU813">
        <v>2012</v>
      </c>
      <c r="AV813">
        <v>7</v>
      </c>
      <c r="AW813">
        <v>12</v>
      </c>
      <c r="AX813" t="s">
        <v>74</v>
      </c>
      <c r="AY813" t="s">
        <v>74</v>
      </c>
      <c r="AZ813" t="s">
        <v>74</v>
      </c>
      <c r="BA813" t="s">
        <v>74</v>
      </c>
      <c r="BB813" t="s">
        <v>74</v>
      </c>
      <c r="BC813" t="s">
        <v>74</v>
      </c>
      <c r="BD813" t="s">
        <v>14863</v>
      </c>
      <c r="BE813" t="s">
        <v>14864</v>
      </c>
      <c r="BF813" t="str">
        <f>HYPERLINK("http://dx.doi.org/10.1371/journal.pone.0053477","http://dx.doi.org/10.1371/journal.pone.0053477")</f>
        <v>http://dx.doi.org/10.1371/journal.pone.0053477</v>
      </c>
      <c r="BG813" t="s">
        <v>74</v>
      </c>
      <c r="BH813" t="s">
        <v>74</v>
      </c>
      <c r="BI813">
        <v>7</v>
      </c>
      <c r="BJ813" t="s">
        <v>328</v>
      </c>
      <c r="BK813" t="s">
        <v>102</v>
      </c>
      <c r="BL813" t="s">
        <v>329</v>
      </c>
      <c r="BM813" t="s">
        <v>14865</v>
      </c>
      <c r="BN813">
        <v>23285298</v>
      </c>
      <c r="BO813" t="s">
        <v>10829</v>
      </c>
      <c r="BP813" t="s">
        <v>74</v>
      </c>
      <c r="BQ813" t="s">
        <v>74</v>
      </c>
      <c r="BR813" t="s">
        <v>105</v>
      </c>
      <c r="BS813" t="s">
        <v>14866</v>
      </c>
      <c r="BT813" t="str">
        <f>HYPERLINK("https%3A%2F%2Fwww.webofscience.com%2Fwos%2Fwoscc%2Ffull-record%2FWOS:000313051500153","View Full Record in Web of Science")</f>
        <v>View Full Record in Web of Science</v>
      </c>
    </row>
    <row r="814" spans="1:72" x14ac:dyDescent="0.15">
      <c r="A814" t="s">
        <v>72</v>
      </c>
      <c r="B814" t="s">
        <v>14867</v>
      </c>
      <c r="C814" t="s">
        <v>74</v>
      </c>
      <c r="D814" t="s">
        <v>74</v>
      </c>
      <c r="E814" t="s">
        <v>74</v>
      </c>
      <c r="F814" t="s">
        <v>14868</v>
      </c>
      <c r="G814" t="s">
        <v>74</v>
      </c>
      <c r="H814" t="s">
        <v>74</v>
      </c>
      <c r="I814" t="s">
        <v>14869</v>
      </c>
      <c r="J814" t="s">
        <v>2341</v>
      </c>
      <c r="K814" t="s">
        <v>74</v>
      </c>
      <c r="L814" t="s">
        <v>74</v>
      </c>
      <c r="M814" t="s">
        <v>78</v>
      </c>
      <c r="N814" t="s">
        <v>79</v>
      </c>
      <c r="O814" t="s">
        <v>74</v>
      </c>
      <c r="P814" t="s">
        <v>74</v>
      </c>
      <c r="Q814" t="s">
        <v>74</v>
      </c>
      <c r="R814" t="s">
        <v>74</v>
      </c>
      <c r="S814" t="s">
        <v>74</v>
      </c>
      <c r="T814" t="s">
        <v>74</v>
      </c>
      <c r="U814" t="s">
        <v>14870</v>
      </c>
      <c r="V814" t="s">
        <v>14871</v>
      </c>
      <c r="W814" t="s">
        <v>14872</v>
      </c>
      <c r="X814" t="s">
        <v>14873</v>
      </c>
      <c r="Y814" t="s">
        <v>14874</v>
      </c>
      <c r="Z814" t="s">
        <v>14875</v>
      </c>
      <c r="AA814" t="s">
        <v>14876</v>
      </c>
      <c r="AB814" t="s">
        <v>14877</v>
      </c>
      <c r="AC814" t="s">
        <v>14878</v>
      </c>
      <c r="AD814" t="s">
        <v>14879</v>
      </c>
      <c r="AE814" t="s">
        <v>14880</v>
      </c>
      <c r="AF814" t="s">
        <v>74</v>
      </c>
      <c r="AG814">
        <v>124</v>
      </c>
      <c r="AH814">
        <v>57</v>
      </c>
      <c r="AI814">
        <v>61</v>
      </c>
      <c r="AJ814">
        <v>2</v>
      </c>
      <c r="AK814">
        <v>132</v>
      </c>
      <c r="AL814" t="s">
        <v>2350</v>
      </c>
      <c r="AM814" t="s">
        <v>2351</v>
      </c>
      <c r="AN814" t="s">
        <v>2352</v>
      </c>
      <c r="AO814" t="s">
        <v>2353</v>
      </c>
      <c r="AP814" t="s">
        <v>74</v>
      </c>
      <c r="AQ814" t="s">
        <v>74</v>
      </c>
      <c r="AR814" t="s">
        <v>2341</v>
      </c>
      <c r="AS814" t="s">
        <v>2354</v>
      </c>
      <c r="AT814" t="s">
        <v>14881</v>
      </c>
      <c r="AU814">
        <v>2012</v>
      </c>
      <c r="AV814">
        <v>7</v>
      </c>
      <c r="AW814">
        <v>12</v>
      </c>
      <c r="AX814" t="s">
        <v>74</v>
      </c>
      <c r="AY814" t="s">
        <v>74</v>
      </c>
      <c r="AZ814" t="s">
        <v>74</v>
      </c>
      <c r="BA814" t="s">
        <v>74</v>
      </c>
      <c r="BB814" t="s">
        <v>74</v>
      </c>
      <c r="BC814" t="s">
        <v>74</v>
      </c>
      <c r="BD814" t="s">
        <v>14882</v>
      </c>
      <c r="BE814" t="s">
        <v>14883</v>
      </c>
      <c r="BF814" t="str">
        <f>HYPERLINK("http://dx.doi.org/10.1371/journal.pone.0052224","http://dx.doi.org/10.1371/journal.pone.0052224")</f>
        <v>http://dx.doi.org/10.1371/journal.pone.0052224</v>
      </c>
      <c r="BG814" t="s">
        <v>74</v>
      </c>
      <c r="BH814" t="s">
        <v>74</v>
      </c>
      <c r="BI814">
        <v>12</v>
      </c>
      <c r="BJ814" t="s">
        <v>328</v>
      </c>
      <c r="BK814" t="s">
        <v>102</v>
      </c>
      <c r="BL814" t="s">
        <v>329</v>
      </c>
      <c r="BM814" t="s">
        <v>14884</v>
      </c>
      <c r="BN814">
        <v>23300621</v>
      </c>
      <c r="BO814" t="s">
        <v>2815</v>
      </c>
      <c r="BP814" t="s">
        <v>74</v>
      </c>
      <c r="BQ814" t="s">
        <v>74</v>
      </c>
      <c r="BR814" t="s">
        <v>105</v>
      </c>
      <c r="BS814" t="s">
        <v>14885</v>
      </c>
      <c r="BT814" t="str">
        <f>HYPERLINK("https%3A%2F%2Fwww.webofscience.com%2Fwos%2Fwoscc%2Ffull-record%2FWOS:000313618800060","View Full Record in Web of Science")</f>
        <v>View Full Record in Web of Science</v>
      </c>
    </row>
    <row r="815" spans="1:72" x14ac:dyDescent="0.15">
      <c r="A815" t="s">
        <v>72</v>
      </c>
      <c r="B815" t="s">
        <v>14886</v>
      </c>
      <c r="C815" t="s">
        <v>74</v>
      </c>
      <c r="D815" t="s">
        <v>74</v>
      </c>
      <c r="E815" t="s">
        <v>74</v>
      </c>
      <c r="F815" t="s">
        <v>14887</v>
      </c>
      <c r="G815" t="s">
        <v>74</v>
      </c>
      <c r="H815" t="s">
        <v>74</v>
      </c>
      <c r="I815" t="s">
        <v>14888</v>
      </c>
      <c r="J815" t="s">
        <v>7549</v>
      </c>
      <c r="K815" t="s">
        <v>74</v>
      </c>
      <c r="L815" t="s">
        <v>74</v>
      </c>
      <c r="M815" t="s">
        <v>78</v>
      </c>
      <c r="N815" t="s">
        <v>79</v>
      </c>
      <c r="O815" t="s">
        <v>74</v>
      </c>
      <c r="P815" t="s">
        <v>74</v>
      </c>
      <c r="Q815" t="s">
        <v>74</v>
      </c>
      <c r="R815" t="s">
        <v>74</v>
      </c>
      <c r="S815" t="s">
        <v>74</v>
      </c>
      <c r="T815" t="s">
        <v>74</v>
      </c>
      <c r="U815" t="s">
        <v>14889</v>
      </c>
      <c r="V815" t="s">
        <v>14890</v>
      </c>
      <c r="W815" t="s">
        <v>14891</v>
      </c>
      <c r="X815" t="s">
        <v>14892</v>
      </c>
      <c r="Y815" t="s">
        <v>14893</v>
      </c>
      <c r="Z815" t="s">
        <v>14894</v>
      </c>
      <c r="AA815" t="s">
        <v>74</v>
      </c>
      <c r="AB815" t="s">
        <v>7577</v>
      </c>
      <c r="AC815" t="s">
        <v>14895</v>
      </c>
      <c r="AD815" t="s">
        <v>14896</v>
      </c>
      <c r="AE815" t="s">
        <v>14897</v>
      </c>
      <c r="AF815" t="s">
        <v>74</v>
      </c>
      <c r="AG815">
        <v>30</v>
      </c>
      <c r="AH815">
        <v>23</v>
      </c>
      <c r="AI815">
        <v>24</v>
      </c>
      <c r="AJ815">
        <v>0</v>
      </c>
      <c r="AK815">
        <v>15</v>
      </c>
      <c r="AL815" t="s">
        <v>2494</v>
      </c>
      <c r="AM815" t="s">
        <v>786</v>
      </c>
      <c r="AN815" t="s">
        <v>2495</v>
      </c>
      <c r="AO815" t="s">
        <v>7561</v>
      </c>
      <c r="AP815" t="s">
        <v>7562</v>
      </c>
      <c r="AQ815" t="s">
        <v>74</v>
      </c>
      <c r="AR815" t="s">
        <v>7563</v>
      </c>
      <c r="AS815" t="s">
        <v>7564</v>
      </c>
      <c r="AT815" t="s">
        <v>14898</v>
      </c>
      <c r="AU815">
        <v>2012</v>
      </c>
      <c r="AV815">
        <v>117</v>
      </c>
      <c r="AW815" t="s">
        <v>74</v>
      </c>
      <c r="AX815" t="s">
        <v>74</v>
      </c>
      <c r="AY815" t="s">
        <v>74</v>
      </c>
      <c r="AZ815" t="s">
        <v>74</v>
      </c>
      <c r="BA815" t="s">
        <v>74</v>
      </c>
      <c r="BB815" t="s">
        <v>74</v>
      </c>
      <c r="BC815" t="s">
        <v>74</v>
      </c>
      <c r="BD815" t="s">
        <v>14899</v>
      </c>
      <c r="BE815" t="s">
        <v>14900</v>
      </c>
      <c r="BF815" t="str">
        <f>HYPERLINK("http://dx.doi.org/10.1029/2012JC008264","http://dx.doi.org/10.1029/2012JC008264")</f>
        <v>http://dx.doi.org/10.1029/2012JC008264</v>
      </c>
      <c r="BG815" t="s">
        <v>74</v>
      </c>
      <c r="BH815" t="s">
        <v>74</v>
      </c>
      <c r="BI815">
        <v>28</v>
      </c>
      <c r="BJ815" t="s">
        <v>303</v>
      </c>
      <c r="BK815" t="s">
        <v>102</v>
      </c>
      <c r="BL815" t="s">
        <v>303</v>
      </c>
      <c r="BM815" t="s">
        <v>14901</v>
      </c>
      <c r="BN815" t="s">
        <v>74</v>
      </c>
      <c r="BO815" t="s">
        <v>2097</v>
      </c>
      <c r="BP815" t="s">
        <v>74</v>
      </c>
      <c r="BQ815" t="s">
        <v>74</v>
      </c>
      <c r="BR815" t="s">
        <v>105</v>
      </c>
      <c r="BS815" t="s">
        <v>14902</v>
      </c>
      <c r="BT815" t="str">
        <f>HYPERLINK("https%3A%2F%2Fwww.webofscience.com%2Fwos%2Fwoscc%2Ffull-record%2FWOS:000312821300002","View Full Record in Web of Science")</f>
        <v>View Full Record in Web of Science</v>
      </c>
    </row>
    <row r="816" spans="1:72" x14ac:dyDescent="0.15">
      <c r="A816" t="s">
        <v>72</v>
      </c>
      <c r="B816" t="s">
        <v>14903</v>
      </c>
      <c r="C816" t="s">
        <v>74</v>
      </c>
      <c r="D816" t="s">
        <v>74</v>
      </c>
      <c r="E816" t="s">
        <v>74</v>
      </c>
      <c r="F816" t="s">
        <v>14904</v>
      </c>
      <c r="G816" t="s">
        <v>74</v>
      </c>
      <c r="H816" t="s">
        <v>74</v>
      </c>
      <c r="I816" t="s">
        <v>14905</v>
      </c>
      <c r="J816" t="s">
        <v>7549</v>
      </c>
      <c r="K816" t="s">
        <v>74</v>
      </c>
      <c r="L816" t="s">
        <v>74</v>
      </c>
      <c r="M816" t="s">
        <v>78</v>
      </c>
      <c r="N816" t="s">
        <v>79</v>
      </c>
      <c r="O816" t="s">
        <v>74</v>
      </c>
      <c r="P816" t="s">
        <v>74</v>
      </c>
      <c r="Q816" t="s">
        <v>74</v>
      </c>
      <c r="R816" t="s">
        <v>74</v>
      </c>
      <c r="S816" t="s">
        <v>74</v>
      </c>
      <c r="T816" t="s">
        <v>74</v>
      </c>
      <c r="U816" t="s">
        <v>14906</v>
      </c>
      <c r="V816" t="s">
        <v>14907</v>
      </c>
      <c r="W816" t="s">
        <v>14908</v>
      </c>
      <c r="X816" t="s">
        <v>14909</v>
      </c>
      <c r="Y816" t="s">
        <v>14910</v>
      </c>
      <c r="Z816" t="s">
        <v>14911</v>
      </c>
      <c r="AA816" t="s">
        <v>14912</v>
      </c>
      <c r="AB816" t="s">
        <v>14913</v>
      </c>
      <c r="AC816" t="s">
        <v>14914</v>
      </c>
      <c r="AD816" t="s">
        <v>14915</v>
      </c>
      <c r="AE816" t="s">
        <v>14916</v>
      </c>
      <c r="AF816" t="s">
        <v>74</v>
      </c>
      <c r="AG816">
        <v>64</v>
      </c>
      <c r="AH816">
        <v>19</v>
      </c>
      <c r="AI816">
        <v>20</v>
      </c>
      <c r="AJ816">
        <v>0</v>
      </c>
      <c r="AK816">
        <v>27</v>
      </c>
      <c r="AL816" t="s">
        <v>2494</v>
      </c>
      <c r="AM816" t="s">
        <v>786</v>
      </c>
      <c r="AN816" t="s">
        <v>2495</v>
      </c>
      <c r="AO816" t="s">
        <v>7561</v>
      </c>
      <c r="AP816" t="s">
        <v>7562</v>
      </c>
      <c r="AQ816" t="s">
        <v>74</v>
      </c>
      <c r="AR816" t="s">
        <v>7563</v>
      </c>
      <c r="AS816" t="s">
        <v>7564</v>
      </c>
      <c r="AT816" t="s">
        <v>14898</v>
      </c>
      <c r="AU816">
        <v>2012</v>
      </c>
      <c r="AV816">
        <v>117</v>
      </c>
      <c r="AW816" t="s">
        <v>74</v>
      </c>
      <c r="AX816" t="s">
        <v>74</v>
      </c>
      <c r="AY816" t="s">
        <v>74</v>
      </c>
      <c r="AZ816" t="s">
        <v>74</v>
      </c>
      <c r="BA816" t="s">
        <v>74</v>
      </c>
      <c r="BB816" t="s">
        <v>74</v>
      </c>
      <c r="BC816" t="s">
        <v>74</v>
      </c>
      <c r="BD816" t="s">
        <v>14917</v>
      </c>
      <c r="BE816" t="s">
        <v>14918</v>
      </c>
      <c r="BF816" t="str">
        <f>HYPERLINK("http://dx.doi.org/10.1029/2012JC008369","http://dx.doi.org/10.1029/2012JC008369")</f>
        <v>http://dx.doi.org/10.1029/2012JC008369</v>
      </c>
      <c r="BG816" t="s">
        <v>74</v>
      </c>
      <c r="BH816" t="s">
        <v>74</v>
      </c>
      <c r="BI816">
        <v>17</v>
      </c>
      <c r="BJ816" t="s">
        <v>303</v>
      </c>
      <c r="BK816" t="s">
        <v>102</v>
      </c>
      <c r="BL816" t="s">
        <v>303</v>
      </c>
      <c r="BM816" t="s">
        <v>14901</v>
      </c>
      <c r="BN816" t="s">
        <v>74</v>
      </c>
      <c r="BO816" t="s">
        <v>13901</v>
      </c>
      <c r="BP816" t="s">
        <v>74</v>
      </c>
      <c r="BQ816" t="s">
        <v>74</v>
      </c>
      <c r="BR816" t="s">
        <v>105</v>
      </c>
      <c r="BS816" t="s">
        <v>14919</v>
      </c>
      <c r="BT816" t="str">
        <f>HYPERLINK("https%3A%2F%2Fwww.webofscience.com%2Fwos%2Fwoscc%2Ffull-record%2FWOS:000312821300003","View Full Record in Web of Science")</f>
        <v>View Full Record in Web of Science</v>
      </c>
    </row>
    <row r="817" spans="1:72" x14ac:dyDescent="0.15">
      <c r="A817" t="s">
        <v>72</v>
      </c>
      <c r="B817" t="s">
        <v>14920</v>
      </c>
      <c r="C817" t="s">
        <v>74</v>
      </c>
      <c r="D817" t="s">
        <v>74</v>
      </c>
      <c r="E817" t="s">
        <v>74</v>
      </c>
      <c r="F817" t="s">
        <v>14921</v>
      </c>
      <c r="G817" t="s">
        <v>74</v>
      </c>
      <c r="H817" t="s">
        <v>74</v>
      </c>
      <c r="I817" t="s">
        <v>14922</v>
      </c>
      <c r="J817" t="s">
        <v>14923</v>
      </c>
      <c r="K817" t="s">
        <v>74</v>
      </c>
      <c r="L817" t="s">
        <v>74</v>
      </c>
      <c r="M817" t="s">
        <v>78</v>
      </c>
      <c r="N817" t="s">
        <v>1120</v>
      </c>
      <c r="O817" t="s">
        <v>74</v>
      </c>
      <c r="P817" t="s">
        <v>74</v>
      </c>
      <c r="Q817" t="s">
        <v>74</v>
      </c>
      <c r="R817" t="s">
        <v>74</v>
      </c>
      <c r="S817" t="s">
        <v>74</v>
      </c>
      <c r="T817" t="s">
        <v>74</v>
      </c>
      <c r="U817" t="s">
        <v>14924</v>
      </c>
      <c r="V817" t="s">
        <v>14925</v>
      </c>
      <c r="W817" t="s">
        <v>14926</v>
      </c>
      <c r="X817" t="s">
        <v>14927</v>
      </c>
      <c r="Y817" t="s">
        <v>14928</v>
      </c>
      <c r="Z817" t="s">
        <v>14929</v>
      </c>
      <c r="AA817" t="s">
        <v>74</v>
      </c>
      <c r="AB817" t="s">
        <v>74</v>
      </c>
      <c r="AC817" t="s">
        <v>14930</v>
      </c>
      <c r="AD817" t="s">
        <v>14931</v>
      </c>
      <c r="AE817" t="s">
        <v>14932</v>
      </c>
      <c r="AF817" t="s">
        <v>74</v>
      </c>
      <c r="AG817">
        <v>429</v>
      </c>
      <c r="AH817">
        <v>192</v>
      </c>
      <c r="AI817">
        <v>214</v>
      </c>
      <c r="AJ817">
        <v>3</v>
      </c>
      <c r="AK817">
        <v>299</v>
      </c>
      <c r="AL817" t="s">
        <v>2494</v>
      </c>
      <c r="AM817" t="s">
        <v>786</v>
      </c>
      <c r="AN817" t="s">
        <v>2495</v>
      </c>
      <c r="AO817" t="s">
        <v>14933</v>
      </c>
      <c r="AP817" t="s">
        <v>14934</v>
      </c>
      <c r="AQ817" t="s">
        <v>74</v>
      </c>
      <c r="AR817" t="s">
        <v>14935</v>
      </c>
      <c r="AS817" t="s">
        <v>14936</v>
      </c>
      <c r="AT817" t="s">
        <v>14898</v>
      </c>
      <c r="AU817">
        <v>2012</v>
      </c>
      <c r="AV817">
        <v>50</v>
      </c>
      <c r="AW817" t="s">
        <v>74</v>
      </c>
      <c r="AX817" t="s">
        <v>74</v>
      </c>
      <c r="AY817" t="s">
        <v>74</v>
      </c>
      <c r="AZ817" t="s">
        <v>74</v>
      </c>
      <c r="BA817" t="s">
        <v>74</v>
      </c>
      <c r="BB817" t="s">
        <v>74</v>
      </c>
      <c r="BC817" t="s">
        <v>74</v>
      </c>
      <c r="BD817" t="s">
        <v>14937</v>
      </c>
      <c r="BE817" t="s">
        <v>14938</v>
      </c>
      <c r="BF817" t="str">
        <f>HYPERLINK("http://dx.doi.org/10.1029/2011RG000371","http://dx.doi.org/10.1029/2011RG000371")</f>
        <v>http://dx.doi.org/10.1029/2011RG000371</v>
      </c>
      <c r="BG817" t="s">
        <v>74</v>
      </c>
      <c r="BH817" t="s">
        <v>74</v>
      </c>
      <c r="BI817">
        <v>72</v>
      </c>
      <c r="BJ817" t="s">
        <v>263</v>
      </c>
      <c r="BK817" t="s">
        <v>102</v>
      </c>
      <c r="BL817" t="s">
        <v>263</v>
      </c>
      <c r="BM817" t="s">
        <v>14939</v>
      </c>
      <c r="BN817" t="s">
        <v>74</v>
      </c>
      <c r="BO817" t="s">
        <v>74</v>
      </c>
      <c r="BP817" t="s">
        <v>74</v>
      </c>
      <c r="BQ817" t="s">
        <v>74</v>
      </c>
      <c r="BR817" t="s">
        <v>105</v>
      </c>
      <c r="BS817" t="s">
        <v>14940</v>
      </c>
      <c r="BT817" t="str">
        <f>HYPERLINK("https%3A%2F%2Fwww.webofscience.com%2Fwos%2Fwoscc%2Ffull-record%2FWOS:000312816200001","View Full Record in Web of Science")</f>
        <v>View Full Record in Web of Science</v>
      </c>
    </row>
    <row r="818" spans="1:72" x14ac:dyDescent="0.15">
      <c r="A818" t="s">
        <v>72</v>
      </c>
      <c r="B818" t="s">
        <v>14941</v>
      </c>
      <c r="C818" t="s">
        <v>74</v>
      </c>
      <c r="D818" t="s">
        <v>74</v>
      </c>
      <c r="E818" t="s">
        <v>74</v>
      </c>
      <c r="F818" t="s">
        <v>14942</v>
      </c>
      <c r="G818" t="s">
        <v>74</v>
      </c>
      <c r="H818" t="s">
        <v>74</v>
      </c>
      <c r="I818" t="s">
        <v>14943</v>
      </c>
      <c r="J818" t="s">
        <v>14944</v>
      </c>
      <c r="K818" t="s">
        <v>74</v>
      </c>
      <c r="L818" t="s">
        <v>74</v>
      </c>
      <c r="M818" t="s">
        <v>78</v>
      </c>
      <c r="N818" t="s">
        <v>1120</v>
      </c>
      <c r="O818" t="s">
        <v>74</v>
      </c>
      <c r="P818" t="s">
        <v>74</v>
      </c>
      <c r="Q818" t="s">
        <v>74</v>
      </c>
      <c r="R818" t="s">
        <v>74</v>
      </c>
      <c r="S818" t="s">
        <v>74</v>
      </c>
      <c r="T818" t="s">
        <v>14945</v>
      </c>
      <c r="U818" t="s">
        <v>14946</v>
      </c>
      <c r="V818" t="s">
        <v>14947</v>
      </c>
      <c r="W818" t="s">
        <v>14948</v>
      </c>
      <c r="X818" t="s">
        <v>14949</v>
      </c>
      <c r="Y818" t="s">
        <v>14950</v>
      </c>
      <c r="Z818" t="s">
        <v>14951</v>
      </c>
      <c r="AA818" t="s">
        <v>74</v>
      </c>
      <c r="AB818" t="s">
        <v>14952</v>
      </c>
      <c r="AC818" t="s">
        <v>14953</v>
      </c>
      <c r="AD818" t="s">
        <v>14954</v>
      </c>
      <c r="AE818" t="s">
        <v>14955</v>
      </c>
      <c r="AF818" t="s">
        <v>74</v>
      </c>
      <c r="AG818">
        <v>69</v>
      </c>
      <c r="AH818">
        <v>2</v>
      </c>
      <c r="AI818">
        <v>3</v>
      </c>
      <c r="AJ818">
        <v>0</v>
      </c>
      <c r="AK818">
        <v>11</v>
      </c>
      <c r="AL818" t="s">
        <v>3926</v>
      </c>
      <c r="AM818" t="s">
        <v>3927</v>
      </c>
      <c r="AN818" t="s">
        <v>14956</v>
      </c>
      <c r="AO818" t="s">
        <v>14957</v>
      </c>
      <c r="AP818" t="s">
        <v>14958</v>
      </c>
      <c r="AQ818" t="s">
        <v>74</v>
      </c>
      <c r="AR818" t="s">
        <v>14959</v>
      </c>
      <c r="AS818" t="s">
        <v>14960</v>
      </c>
      <c r="AT818" t="s">
        <v>14961</v>
      </c>
      <c r="AU818">
        <v>2012</v>
      </c>
      <c r="AV818">
        <v>27</v>
      </c>
      <c r="AW818">
        <v>39</v>
      </c>
      <c r="AX818" t="s">
        <v>74</v>
      </c>
      <c r="AY818" t="s">
        <v>74</v>
      </c>
      <c r="AZ818" t="s">
        <v>74</v>
      </c>
      <c r="BA818" t="s">
        <v>74</v>
      </c>
      <c r="BB818" t="s">
        <v>74</v>
      </c>
      <c r="BC818" t="s">
        <v>74</v>
      </c>
      <c r="BD818">
        <v>1230042</v>
      </c>
      <c r="BE818" t="s">
        <v>14962</v>
      </c>
      <c r="BF818" t="str">
        <f>HYPERLINK("http://dx.doi.org/10.1142/S021773231230042X","http://dx.doi.org/10.1142/S021773231230042X")</f>
        <v>http://dx.doi.org/10.1142/S021773231230042X</v>
      </c>
      <c r="BG818" t="s">
        <v>74</v>
      </c>
      <c r="BH818" t="s">
        <v>74</v>
      </c>
      <c r="BI818">
        <v>15</v>
      </c>
      <c r="BJ818" t="s">
        <v>14963</v>
      </c>
      <c r="BK818" t="s">
        <v>102</v>
      </c>
      <c r="BL818" t="s">
        <v>6504</v>
      </c>
      <c r="BM818" t="s">
        <v>14964</v>
      </c>
      <c r="BN818" t="s">
        <v>74</v>
      </c>
      <c r="BO818" t="s">
        <v>74</v>
      </c>
      <c r="BP818" t="s">
        <v>74</v>
      </c>
      <c r="BQ818" t="s">
        <v>74</v>
      </c>
      <c r="BR818" t="s">
        <v>105</v>
      </c>
      <c r="BS818" t="s">
        <v>14965</v>
      </c>
      <c r="BT818" t="str">
        <f>HYPERLINK("https%3A%2F%2Fwww.webofscience.com%2Fwos%2Fwoscc%2Ffull-record%2FWOS:000312457800002","View Full Record in Web of Science")</f>
        <v>View Full Record in Web of Science</v>
      </c>
    </row>
    <row r="819" spans="1:72" x14ac:dyDescent="0.15">
      <c r="A819" t="s">
        <v>72</v>
      </c>
      <c r="B819" t="s">
        <v>14966</v>
      </c>
      <c r="C819" t="s">
        <v>74</v>
      </c>
      <c r="D819" t="s">
        <v>74</v>
      </c>
      <c r="E819" t="s">
        <v>74</v>
      </c>
      <c r="F819" t="s">
        <v>14967</v>
      </c>
      <c r="G819" t="s">
        <v>74</v>
      </c>
      <c r="H819" t="s">
        <v>74</v>
      </c>
      <c r="I819" t="s">
        <v>14968</v>
      </c>
      <c r="J819" t="s">
        <v>7549</v>
      </c>
      <c r="K819" t="s">
        <v>74</v>
      </c>
      <c r="L819" t="s">
        <v>74</v>
      </c>
      <c r="M819" t="s">
        <v>78</v>
      </c>
      <c r="N819" t="s">
        <v>79</v>
      </c>
      <c r="O819" t="s">
        <v>74</v>
      </c>
      <c r="P819" t="s">
        <v>74</v>
      </c>
      <c r="Q819" t="s">
        <v>74</v>
      </c>
      <c r="R819" t="s">
        <v>74</v>
      </c>
      <c r="S819" t="s">
        <v>74</v>
      </c>
      <c r="T819" t="s">
        <v>74</v>
      </c>
      <c r="U819" t="s">
        <v>14969</v>
      </c>
      <c r="V819" t="s">
        <v>14970</v>
      </c>
      <c r="W819" t="s">
        <v>14971</v>
      </c>
      <c r="X819" t="s">
        <v>14972</v>
      </c>
      <c r="Y819" t="s">
        <v>14973</v>
      </c>
      <c r="Z819" t="s">
        <v>14974</v>
      </c>
      <c r="AA819" t="s">
        <v>14975</v>
      </c>
      <c r="AB819" t="s">
        <v>14976</v>
      </c>
      <c r="AC819" t="s">
        <v>14977</v>
      </c>
      <c r="AD819" t="s">
        <v>14978</v>
      </c>
      <c r="AE819" t="s">
        <v>14979</v>
      </c>
      <c r="AF819" t="s">
        <v>74</v>
      </c>
      <c r="AG819">
        <v>58</v>
      </c>
      <c r="AH819">
        <v>75</v>
      </c>
      <c r="AI819">
        <v>77</v>
      </c>
      <c r="AJ819">
        <v>1</v>
      </c>
      <c r="AK819">
        <v>94</v>
      </c>
      <c r="AL819" t="s">
        <v>2494</v>
      </c>
      <c r="AM819" t="s">
        <v>786</v>
      </c>
      <c r="AN819" t="s">
        <v>2495</v>
      </c>
      <c r="AO819" t="s">
        <v>7561</v>
      </c>
      <c r="AP819" t="s">
        <v>7562</v>
      </c>
      <c r="AQ819" t="s">
        <v>74</v>
      </c>
      <c r="AR819" t="s">
        <v>7563</v>
      </c>
      <c r="AS819" t="s">
        <v>7564</v>
      </c>
      <c r="AT819" t="s">
        <v>14961</v>
      </c>
      <c r="AU819">
        <v>2012</v>
      </c>
      <c r="AV819">
        <v>117</v>
      </c>
      <c r="AW819" t="s">
        <v>74</v>
      </c>
      <c r="AX819" t="s">
        <v>74</v>
      </c>
      <c r="AY819" t="s">
        <v>74</v>
      </c>
      <c r="AZ819" t="s">
        <v>74</v>
      </c>
      <c r="BA819" t="s">
        <v>74</v>
      </c>
      <c r="BB819" t="s">
        <v>74</v>
      </c>
      <c r="BC819" t="s">
        <v>74</v>
      </c>
      <c r="BD819" t="s">
        <v>14980</v>
      </c>
      <c r="BE819" t="s">
        <v>14981</v>
      </c>
      <c r="BF819" t="str">
        <f>HYPERLINK("http://dx.doi.org/10.1029/2012JC008075","http://dx.doi.org/10.1029/2012JC008075")</f>
        <v>http://dx.doi.org/10.1029/2012JC008075</v>
      </c>
      <c r="BG819" t="s">
        <v>74</v>
      </c>
      <c r="BH819" t="s">
        <v>74</v>
      </c>
      <c r="BI819">
        <v>13</v>
      </c>
      <c r="BJ819" t="s">
        <v>303</v>
      </c>
      <c r="BK819" t="s">
        <v>102</v>
      </c>
      <c r="BL819" t="s">
        <v>303</v>
      </c>
      <c r="BM819" t="s">
        <v>14982</v>
      </c>
      <c r="BN819" t="s">
        <v>74</v>
      </c>
      <c r="BO819" t="s">
        <v>128</v>
      </c>
      <c r="BP819" t="s">
        <v>74</v>
      </c>
      <c r="BQ819" t="s">
        <v>74</v>
      </c>
      <c r="BR819" t="s">
        <v>105</v>
      </c>
      <c r="BS819" t="s">
        <v>14983</v>
      </c>
      <c r="BT819" t="str">
        <f>HYPERLINK("https%3A%2F%2Fwww.webofscience.com%2Fwos%2Fwoscc%2Ffull-record%2FWOS:000312821000001","View Full Record in Web of Science")</f>
        <v>View Full Record in Web of Science</v>
      </c>
    </row>
    <row r="820" spans="1:72" x14ac:dyDescent="0.15">
      <c r="A820" t="s">
        <v>72</v>
      </c>
      <c r="B820" t="s">
        <v>14984</v>
      </c>
      <c r="C820" t="s">
        <v>74</v>
      </c>
      <c r="D820" t="s">
        <v>74</v>
      </c>
      <c r="E820" t="s">
        <v>74</v>
      </c>
      <c r="F820" t="s">
        <v>14985</v>
      </c>
      <c r="G820" t="s">
        <v>74</v>
      </c>
      <c r="H820" t="s">
        <v>74</v>
      </c>
      <c r="I820" t="s">
        <v>14986</v>
      </c>
      <c r="J820" t="s">
        <v>2341</v>
      </c>
      <c r="K820" t="s">
        <v>74</v>
      </c>
      <c r="L820" t="s">
        <v>74</v>
      </c>
      <c r="M820" t="s">
        <v>78</v>
      </c>
      <c r="N820" t="s">
        <v>79</v>
      </c>
      <c r="O820" t="s">
        <v>74</v>
      </c>
      <c r="P820" t="s">
        <v>74</v>
      </c>
      <c r="Q820" t="s">
        <v>74</v>
      </c>
      <c r="R820" t="s">
        <v>74</v>
      </c>
      <c r="S820" t="s">
        <v>74</v>
      </c>
      <c r="T820" t="s">
        <v>74</v>
      </c>
      <c r="U820" t="s">
        <v>14987</v>
      </c>
      <c r="V820" t="s">
        <v>14988</v>
      </c>
      <c r="W820" t="s">
        <v>14989</v>
      </c>
      <c r="X820" t="s">
        <v>14990</v>
      </c>
      <c r="Y820" t="s">
        <v>14991</v>
      </c>
      <c r="Z820" t="s">
        <v>14992</v>
      </c>
      <c r="AA820" t="s">
        <v>14993</v>
      </c>
      <c r="AB820" t="s">
        <v>14994</v>
      </c>
      <c r="AC820" t="s">
        <v>14995</v>
      </c>
      <c r="AD820" t="s">
        <v>14996</v>
      </c>
      <c r="AE820" t="s">
        <v>14997</v>
      </c>
      <c r="AF820" t="s">
        <v>74</v>
      </c>
      <c r="AG820">
        <v>51</v>
      </c>
      <c r="AH820">
        <v>20</v>
      </c>
      <c r="AI820">
        <v>20</v>
      </c>
      <c r="AJ820">
        <v>2</v>
      </c>
      <c r="AK820">
        <v>93</v>
      </c>
      <c r="AL820" t="s">
        <v>2350</v>
      </c>
      <c r="AM820" t="s">
        <v>2351</v>
      </c>
      <c r="AN820" t="s">
        <v>2352</v>
      </c>
      <c r="AO820" t="s">
        <v>2353</v>
      </c>
      <c r="AP820" t="s">
        <v>74</v>
      </c>
      <c r="AQ820" t="s">
        <v>74</v>
      </c>
      <c r="AR820" t="s">
        <v>2341</v>
      </c>
      <c r="AS820" t="s">
        <v>2354</v>
      </c>
      <c r="AT820" t="s">
        <v>14961</v>
      </c>
      <c r="AU820">
        <v>2012</v>
      </c>
      <c r="AV820">
        <v>7</v>
      </c>
      <c r="AW820">
        <v>12</v>
      </c>
      <c r="AX820" t="s">
        <v>74</v>
      </c>
      <c r="AY820" t="s">
        <v>74</v>
      </c>
      <c r="AZ820" t="s">
        <v>74</v>
      </c>
      <c r="BA820" t="s">
        <v>74</v>
      </c>
      <c r="BB820" t="s">
        <v>74</v>
      </c>
      <c r="BC820" t="s">
        <v>74</v>
      </c>
      <c r="BD820" t="s">
        <v>14998</v>
      </c>
      <c r="BE820" t="s">
        <v>14999</v>
      </c>
      <c r="BF820" t="str">
        <f>HYPERLINK("http://dx.doi.org/10.1371/journal.pone.0052818","http://dx.doi.org/10.1371/journal.pone.0052818")</f>
        <v>http://dx.doi.org/10.1371/journal.pone.0052818</v>
      </c>
      <c r="BG820" t="s">
        <v>74</v>
      </c>
      <c r="BH820" t="s">
        <v>74</v>
      </c>
      <c r="BI820">
        <v>8</v>
      </c>
      <c r="BJ820" t="s">
        <v>328</v>
      </c>
      <c r="BK820" t="s">
        <v>102</v>
      </c>
      <c r="BL820" t="s">
        <v>329</v>
      </c>
      <c r="BM820" t="s">
        <v>15000</v>
      </c>
      <c r="BN820">
        <v>23285194</v>
      </c>
      <c r="BO820" t="s">
        <v>10779</v>
      </c>
      <c r="BP820" t="s">
        <v>74</v>
      </c>
      <c r="BQ820" t="s">
        <v>74</v>
      </c>
      <c r="BR820" t="s">
        <v>105</v>
      </c>
      <c r="BS820" t="s">
        <v>15001</v>
      </c>
      <c r="BT820" t="str">
        <f>HYPERLINK("https%3A%2F%2Fwww.webofscience.com%2Fwos%2Fwoscc%2Ffull-record%2FWOS:000313158800097","View Full Record in Web of Science")</f>
        <v>View Full Record in Web of Science</v>
      </c>
    </row>
    <row r="821" spans="1:72" x14ac:dyDescent="0.15">
      <c r="A821" t="s">
        <v>72</v>
      </c>
      <c r="B821" t="s">
        <v>15002</v>
      </c>
      <c r="C821" t="s">
        <v>74</v>
      </c>
      <c r="D821" t="s">
        <v>74</v>
      </c>
      <c r="E821" t="s">
        <v>74</v>
      </c>
      <c r="F821" t="s">
        <v>15003</v>
      </c>
      <c r="G821" t="s">
        <v>74</v>
      </c>
      <c r="H821" t="s">
        <v>74</v>
      </c>
      <c r="I821" t="s">
        <v>15004</v>
      </c>
      <c r="J821" t="s">
        <v>2341</v>
      </c>
      <c r="K821" t="s">
        <v>74</v>
      </c>
      <c r="L821" t="s">
        <v>74</v>
      </c>
      <c r="M821" t="s">
        <v>78</v>
      </c>
      <c r="N821" t="s">
        <v>79</v>
      </c>
      <c r="O821" t="s">
        <v>74</v>
      </c>
      <c r="P821" t="s">
        <v>74</v>
      </c>
      <c r="Q821" t="s">
        <v>74</v>
      </c>
      <c r="R821" t="s">
        <v>74</v>
      </c>
      <c r="S821" t="s">
        <v>74</v>
      </c>
      <c r="T821" t="s">
        <v>74</v>
      </c>
      <c r="U821" t="s">
        <v>15005</v>
      </c>
      <c r="V821" t="s">
        <v>15006</v>
      </c>
      <c r="W821" t="s">
        <v>15007</v>
      </c>
      <c r="X821" t="s">
        <v>15008</v>
      </c>
      <c r="Y821" t="s">
        <v>15009</v>
      </c>
      <c r="Z821" t="s">
        <v>15010</v>
      </c>
      <c r="AA821" t="s">
        <v>74</v>
      </c>
      <c r="AB821" t="s">
        <v>15011</v>
      </c>
      <c r="AC821" t="s">
        <v>15012</v>
      </c>
      <c r="AD821" t="s">
        <v>15013</v>
      </c>
      <c r="AE821" t="s">
        <v>15014</v>
      </c>
      <c r="AF821" t="s">
        <v>74</v>
      </c>
      <c r="AG821">
        <v>54</v>
      </c>
      <c r="AH821">
        <v>55</v>
      </c>
      <c r="AI821">
        <v>65</v>
      </c>
      <c r="AJ821">
        <v>2</v>
      </c>
      <c r="AK821">
        <v>131</v>
      </c>
      <c r="AL821" t="s">
        <v>2350</v>
      </c>
      <c r="AM821" t="s">
        <v>2351</v>
      </c>
      <c r="AN821" t="s">
        <v>2352</v>
      </c>
      <c r="AO821" t="s">
        <v>2353</v>
      </c>
      <c r="AP821" t="s">
        <v>74</v>
      </c>
      <c r="AQ821" t="s">
        <v>74</v>
      </c>
      <c r="AR821" t="s">
        <v>2341</v>
      </c>
      <c r="AS821" t="s">
        <v>2354</v>
      </c>
      <c r="AT821" t="s">
        <v>15015</v>
      </c>
      <c r="AU821">
        <v>2012</v>
      </c>
      <c r="AV821">
        <v>7</v>
      </c>
      <c r="AW821">
        <v>12</v>
      </c>
      <c r="AX821" t="s">
        <v>74</v>
      </c>
      <c r="AY821" t="s">
        <v>74</v>
      </c>
      <c r="AZ821" t="s">
        <v>74</v>
      </c>
      <c r="BA821" t="s">
        <v>74</v>
      </c>
      <c r="BB821" t="s">
        <v>74</v>
      </c>
      <c r="BC821" t="s">
        <v>74</v>
      </c>
      <c r="BD821" t="s">
        <v>15016</v>
      </c>
      <c r="BE821" t="s">
        <v>15017</v>
      </c>
      <c r="BF821" t="str">
        <f>HYPERLINK("http://dx.doi.org/10.1371/journal.pone.0051214","http://dx.doi.org/10.1371/journal.pone.0051214")</f>
        <v>http://dx.doi.org/10.1371/journal.pone.0051214</v>
      </c>
      <c r="BG821" t="s">
        <v>74</v>
      </c>
      <c r="BH821" t="s">
        <v>74</v>
      </c>
      <c r="BI821">
        <v>8</v>
      </c>
      <c r="BJ821" t="s">
        <v>328</v>
      </c>
      <c r="BK821" t="s">
        <v>102</v>
      </c>
      <c r="BL821" t="s">
        <v>329</v>
      </c>
      <c r="BM821" t="s">
        <v>15018</v>
      </c>
      <c r="BN821">
        <v>23284666</v>
      </c>
      <c r="BO821" t="s">
        <v>3098</v>
      </c>
      <c r="BP821" t="s">
        <v>74</v>
      </c>
      <c r="BQ821" t="s">
        <v>74</v>
      </c>
      <c r="BR821" t="s">
        <v>105</v>
      </c>
      <c r="BS821" t="s">
        <v>15019</v>
      </c>
      <c r="BT821" t="str">
        <f>HYPERLINK("https%3A%2F%2Fwww.webofscience.com%2Fwos%2Fwoscc%2Ffull-record%2FWOS:000312694300015","View Full Record in Web of Science")</f>
        <v>View Full Record in Web of Science</v>
      </c>
    </row>
    <row r="822" spans="1:72" x14ac:dyDescent="0.15">
      <c r="A822" t="s">
        <v>72</v>
      </c>
      <c r="B822" t="s">
        <v>15020</v>
      </c>
      <c r="C822" t="s">
        <v>74</v>
      </c>
      <c r="D822" t="s">
        <v>74</v>
      </c>
      <c r="E822" t="s">
        <v>74</v>
      </c>
      <c r="F822" t="s">
        <v>15021</v>
      </c>
      <c r="G822" t="s">
        <v>74</v>
      </c>
      <c r="H822" t="s">
        <v>74</v>
      </c>
      <c r="I822" t="s">
        <v>15022</v>
      </c>
      <c r="J822" t="s">
        <v>7619</v>
      </c>
      <c r="K822" t="s">
        <v>74</v>
      </c>
      <c r="L822" t="s">
        <v>74</v>
      </c>
      <c r="M822" t="s">
        <v>78</v>
      </c>
      <c r="N822" t="s">
        <v>79</v>
      </c>
      <c r="O822" t="s">
        <v>74</v>
      </c>
      <c r="P822" t="s">
        <v>74</v>
      </c>
      <c r="Q822" t="s">
        <v>74</v>
      </c>
      <c r="R822" t="s">
        <v>74</v>
      </c>
      <c r="S822" t="s">
        <v>74</v>
      </c>
      <c r="T822" t="s">
        <v>74</v>
      </c>
      <c r="U822" t="s">
        <v>15023</v>
      </c>
      <c r="V822" t="s">
        <v>15024</v>
      </c>
      <c r="W822" t="s">
        <v>15025</v>
      </c>
      <c r="X822" t="s">
        <v>15026</v>
      </c>
      <c r="Y822" t="s">
        <v>15027</v>
      </c>
      <c r="Z822" t="s">
        <v>15028</v>
      </c>
      <c r="AA822" t="s">
        <v>15029</v>
      </c>
      <c r="AB822" t="s">
        <v>15030</v>
      </c>
      <c r="AC822" t="s">
        <v>15031</v>
      </c>
      <c r="AD822" t="s">
        <v>15032</v>
      </c>
      <c r="AE822" t="s">
        <v>15033</v>
      </c>
      <c r="AF822" t="s">
        <v>74</v>
      </c>
      <c r="AG822">
        <v>69</v>
      </c>
      <c r="AH822">
        <v>8</v>
      </c>
      <c r="AI822">
        <v>8</v>
      </c>
      <c r="AJ822">
        <v>0</v>
      </c>
      <c r="AK822">
        <v>16</v>
      </c>
      <c r="AL822" t="s">
        <v>2494</v>
      </c>
      <c r="AM822" t="s">
        <v>786</v>
      </c>
      <c r="AN822" t="s">
        <v>2495</v>
      </c>
      <c r="AO822" t="s">
        <v>7631</v>
      </c>
      <c r="AP822" t="s">
        <v>7632</v>
      </c>
      <c r="AQ822" t="s">
        <v>74</v>
      </c>
      <c r="AR822" t="s">
        <v>7633</v>
      </c>
      <c r="AS822" t="s">
        <v>7634</v>
      </c>
      <c r="AT822" t="s">
        <v>15034</v>
      </c>
      <c r="AU822">
        <v>2012</v>
      </c>
      <c r="AV822">
        <v>117</v>
      </c>
      <c r="AW822" t="s">
        <v>74</v>
      </c>
      <c r="AX822" t="s">
        <v>74</v>
      </c>
      <c r="AY822" t="s">
        <v>74</v>
      </c>
      <c r="AZ822" t="s">
        <v>74</v>
      </c>
      <c r="BA822" t="s">
        <v>74</v>
      </c>
      <c r="BB822" t="s">
        <v>74</v>
      </c>
      <c r="BC822" t="s">
        <v>74</v>
      </c>
      <c r="BD822" t="s">
        <v>15035</v>
      </c>
      <c r="BE822" t="s">
        <v>15036</v>
      </c>
      <c r="BF822" t="str">
        <f>HYPERLINK("http://dx.doi.org/10.1029/2012JA018093","http://dx.doi.org/10.1029/2012JA018093")</f>
        <v>http://dx.doi.org/10.1029/2012JA018093</v>
      </c>
      <c r="BG822" t="s">
        <v>74</v>
      </c>
      <c r="BH822" t="s">
        <v>74</v>
      </c>
      <c r="BI822">
        <v>13</v>
      </c>
      <c r="BJ822" t="s">
        <v>153</v>
      </c>
      <c r="BK822" t="s">
        <v>102</v>
      </c>
      <c r="BL822" t="s">
        <v>153</v>
      </c>
      <c r="BM822" t="s">
        <v>15037</v>
      </c>
      <c r="BN822" t="s">
        <v>74</v>
      </c>
      <c r="BO822" t="s">
        <v>128</v>
      </c>
      <c r="BP822" t="s">
        <v>74</v>
      </c>
      <c r="BQ822" t="s">
        <v>74</v>
      </c>
      <c r="BR822" t="s">
        <v>105</v>
      </c>
      <c r="BS822" t="s">
        <v>15038</v>
      </c>
      <c r="BT822" t="str">
        <f>HYPERLINK("https%3A%2F%2Fwww.webofscience.com%2Fwos%2Fwoscc%2Ffull-record%2FWOS:000312401700002","View Full Record in Web of Science")</f>
        <v>View Full Record in Web of Science</v>
      </c>
    </row>
    <row r="823" spans="1:72" x14ac:dyDescent="0.15">
      <c r="A823" t="s">
        <v>72</v>
      </c>
      <c r="B823" t="s">
        <v>15039</v>
      </c>
      <c r="C823" t="s">
        <v>74</v>
      </c>
      <c r="D823" t="s">
        <v>74</v>
      </c>
      <c r="E823" t="s">
        <v>74</v>
      </c>
      <c r="F823" t="s">
        <v>15040</v>
      </c>
      <c r="G823" t="s">
        <v>74</v>
      </c>
      <c r="H823" t="s">
        <v>74</v>
      </c>
      <c r="I823" t="s">
        <v>15041</v>
      </c>
      <c r="J823" t="s">
        <v>8099</v>
      </c>
      <c r="K823" t="s">
        <v>74</v>
      </c>
      <c r="L823" t="s">
        <v>74</v>
      </c>
      <c r="M823" t="s">
        <v>78</v>
      </c>
      <c r="N823" t="s">
        <v>79</v>
      </c>
      <c r="O823" t="s">
        <v>74</v>
      </c>
      <c r="P823" t="s">
        <v>74</v>
      </c>
      <c r="Q823" t="s">
        <v>74</v>
      </c>
      <c r="R823" t="s">
        <v>74</v>
      </c>
      <c r="S823" t="s">
        <v>74</v>
      </c>
      <c r="T823" t="s">
        <v>15042</v>
      </c>
      <c r="U823" t="s">
        <v>15043</v>
      </c>
      <c r="V823" t="s">
        <v>15044</v>
      </c>
      <c r="W823" t="s">
        <v>15045</v>
      </c>
      <c r="X823" t="s">
        <v>15046</v>
      </c>
      <c r="Y823" t="s">
        <v>15047</v>
      </c>
      <c r="Z823" t="s">
        <v>15048</v>
      </c>
      <c r="AA823" t="s">
        <v>15049</v>
      </c>
      <c r="AB823" t="s">
        <v>15050</v>
      </c>
      <c r="AC823" t="s">
        <v>15051</v>
      </c>
      <c r="AD823" t="s">
        <v>15052</v>
      </c>
      <c r="AE823" t="s">
        <v>15053</v>
      </c>
      <c r="AF823" t="s">
        <v>74</v>
      </c>
      <c r="AG823">
        <v>57</v>
      </c>
      <c r="AH823">
        <v>24</v>
      </c>
      <c r="AI823">
        <v>27</v>
      </c>
      <c r="AJ823">
        <v>0</v>
      </c>
      <c r="AK823">
        <v>44</v>
      </c>
      <c r="AL823" t="s">
        <v>146</v>
      </c>
      <c r="AM823" t="s">
        <v>147</v>
      </c>
      <c r="AN823" t="s">
        <v>148</v>
      </c>
      <c r="AO823" t="s">
        <v>8111</v>
      </c>
      <c r="AP823" t="s">
        <v>8112</v>
      </c>
      <c r="AQ823" t="s">
        <v>74</v>
      </c>
      <c r="AR823" t="s">
        <v>8113</v>
      </c>
      <c r="AS823" t="s">
        <v>8114</v>
      </c>
      <c r="AT823" t="s">
        <v>15034</v>
      </c>
      <c r="AU823">
        <v>2012</v>
      </c>
      <c r="AV823" t="s">
        <v>15054</v>
      </c>
      <c r="AW823" t="s">
        <v>74</v>
      </c>
      <c r="AX823" t="s">
        <v>74</v>
      </c>
      <c r="AY823" t="s">
        <v>74</v>
      </c>
      <c r="AZ823" t="s">
        <v>221</v>
      </c>
      <c r="BA823" t="s">
        <v>74</v>
      </c>
      <c r="BB823">
        <v>36</v>
      </c>
      <c r="BC823">
        <v>45</v>
      </c>
      <c r="BD823" t="s">
        <v>74</v>
      </c>
      <c r="BE823" t="s">
        <v>15055</v>
      </c>
      <c r="BF823" t="str">
        <f>HYPERLINK("http://dx.doi.org/10.1016/j.dsr2.2012.08.018","http://dx.doi.org/10.1016/j.dsr2.2012.08.018")</f>
        <v>http://dx.doi.org/10.1016/j.dsr2.2012.08.018</v>
      </c>
      <c r="BG823" t="s">
        <v>74</v>
      </c>
      <c r="BH823" t="s">
        <v>74</v>
      </c>
      <c r="BI823">
        <v>10</v>
      </c>
      <c r="BJ823" t="s">
        <v>303</v>
      </c>
      <c r="BK823" t="s">
        <v>102</v>
      </c>
      <c r="BL823" t="s">
        <v>303</v>
      </c>
      <c r="BM823" t="s">
        <v>15056</v>
      </c>
      <c r="BN823" t="s">
        <v>74</v>
      </c>
      <c r="BO823" t="s">
        <v>74</v>
      </c>
      <c r="BP823" t="s">
        <v>74</v>
      </c>
      <c r="BQ823" t="s">
        <v>74</v>
      </c>
      <c r="BR823" t="s">
        <v>105</v>
      </c>
      <c r="BS823" t="s">
        <v>15057</v>
      </c>
      <c r="BT823" t="str">
        <f>HYPERLINK("https%3A%2F%2Fwww.webofscience.com%2Fwos%2Fwoscc%2Ffull-record%2FWOS:000311654500005","View Full Record in Web of Science")</f>
        <v>View Full Record in Web of Science</v>
      </c>
    </row>
    <row r="824" spans="1:72" x14ac:dyDescent="0.15">
      <c r="A824" t="s">
        <v>72</v>
      </c>
      <c r="B824" t="s">
        <v>15058</v>
      </c>
      <c r="C824" t="s">
        <v>74</v>
      </c>
      <c r="D824" t="s">
        <v>74</v>
      </c>
      <c r="E824" t="s">
        <v>74</v>
      </c>
      <c r="F824" t="s">
        <v>15059</v>
      </c>
      <c r="G824" t="s">
        <v>74</v>
      </c>
      <c r="H824" t="s">
        <v>74</v>
      </c>
      <c r="I824" t="s">
        <v>15060</v>
      </c>
      <c r="J824" t="s">
        <v>8099</v>
      </c>
      <c r="K824" t="s">
        <v>74</v>
      </c>
      <c r="L824" t="s">
        <v>74</v>
      </c>
      <c r="M824" t="s">
        <v>78</v>
      </c>
      <c r="N824" t="s">
        <v>79</v>
      </c>
      <c r="O824" t="s">
        <v>74</v>
      </c>
      <c r="P824" t="s">
        <v>74</v>
      </c>
      <c r="Q824" t="s">
        <v>74</v>
      </c>
      <c r="R824" t="s">
        <v>74</v>
      </c>
      <c r="S824" t="s">
        <v>74</v>
      </c>
      <c r="T824" t="s">
        <v>15061</v>
      </c>
      <c r="U824" t="s">
        <v>15062</v>
      </c>
      <c r="V824" t="s">
        <v>15063</v>
      </c>
      <c r="W824" t="s">
        <v>15064</v>
      </c>
      <c r="X824" t="s">
        <v>15065</v>
      </c>
      <c r="Y824" t="s">
        <v>15066</v>
      </c>
      <c r="Z824" t="s">
        <v>15067</v>
      </c>
      <c r="AA824" t="s">
        <v>15068</v>
      </c>
      <c r="AB824" t="s">
        <v>15069</v>
      </c>
      <c r="AC824" t="s">
        <v>15070</v>
      </c>
      <c r="AD824" t="s">
        <v>15071</v>
      </c>
      <c r="AE824" t="s">
        <v>15072</v>
      </c>
      <c r="AF824" t="s">
        <v>74</v>
      </c>
      <c r="AG824">
        <v>45</v>
      </c>
      <c r="AH824">
        <v>22</v>
      </c>
      <c r="AI824">
        <v>32</v>
      </c>
      <c r="AJ824">
        <v>3</v>
      </c>
      <c r="AK824">
        <v>60</v>
      </c>
      <c r="AL824" t="s">
        <v>146</v>
      </c>
      <c r="AM824" t="s">
        <v>147</v>
      </c>
      <c r="AN824" t="s">
        <v>148</v>
      </c>
      <c r="AO824" t="s">
        <v>8111</v>
      </c>
      <c r="AP824" t="s">
        <v>8112</v>
      </c>
      <c r="AQ824" t="s">
        <v>74</v>
      </c>
      <c r="AR824" t="s">
        <v>8113</v>
      </c>
      <c r="AS824" t="s">
        <v>8114</v>
      </c>
      <c r="AT824" t="s">
        <v>15034</v>
      </c>
      <c r="AU824">
        <v>2012</v>
      </c>
      <c r="AV824" t="s">
        <v>15054</v>
      </c>
      <c r="AW824" t="s">
        <v>74</v>
      </c>
      <c r="AX824" t="s">
        <v>74</v>
      </c>
      <c r="AY824" t="s">
        <v>74</v>
      </c>
      <c r="AZ824" t="s">
        <v>221</v>
      </c>
      <c r="BA824" t="s">
        <v>74</v>
      </c>
      <c r="BB824">
        <v>46</v>
      </c>
      <c r="BC824">
        <v>52</v>
      </c>
      <c r="BD824" t="s">
        <v>74</v>
      </c>
      <c r="BE824" t="s">
        <v>15073</v>
      </c>
      <c r="BF824" t="str">
        <f>HYPERLINK("http://dx.doi.org/10.1016/j.dsr2.2012.08.021","http://dx.doi.org/10.1016/j.dsr2.2012.08.021")</f>
        <v>http://dx.doi.org/10.1016/j.dsr2.2012.08.021</v>
      </c>
      <c r="BG824" t="s">
        <v>74</v>
      </c>
      <c r="BH824" t="s">
        <v>74</v>
      </c>
      <c r="BI824">
        <v>7</v>
      </c>
      <c r="BJ824" t="s">
        <v>303</v>
      </c>
      <c r="BK824" t="s">
        <v>102</v>
      </c>
      <c r="BL824" t="s">
        <v>303</v>
      </c>
      <c r="BM824" t="s">
        <v>15056</v>
      </c>
      <c r="BN824" t="s">
        <v>74</v>
      </c>
      <c r="BO824" t="s">
        <v>74</v>
      </c>
      <c r="BP824" t="s">
        <v>74</v>
      </c>
      <c r="BQ824" t="s">
        <v>74</v>
      </c>
      <c r="BR824" t="s">
        <v>105</v>
      </c>
      <c r="BS824" t="s">
        <v>15074</v>
      </c>
      <c r="BT824" t="str">
        <f>HYPERLINK("https%3A%2F%2Fwww.webofscience.com%2Fwos%2Fwoscc%2Ffull-record%2FWOS:000311654500006","View Full Record in Web of Science")</f>
        <v>View Full Record in Web of Science</v>
      </c>
    </row>
    <row r="825" spans="1:72" x14ac:dyDescent="0.15">
      <c r="A825" t="s">
        <v>72</v>
      </c>
      <c r="B825" t="s">
        <v>15075</v>
      </c>
      <c r="C825" t="s">
        <v>74</v>
      </c>
      <c r="D825" t="s">
        <v>74</v>
      </c>
      <c r="E825" t="s">
        <v>74</v>
      </c>
      <c r="F825" t="s">
        <v>15076</v>
      </c>
      <c r="G825" t="s">
        <v>74</v>
      </c>
      <c r="H825" t="s">
        <v>74</v>
      </c>
      <c r="I825" t="s">
        <v>15077</v>
      </c>
      <c r="J825" t="s">
        <v>9841</v>
      </c>
      <c r="K825" t="s">
        <v>74</v>
      </c>
      <c r="L825" t="s">
        <v>74</v>
      </c>
      <c r="M825" t="s">
        <v>78</v>
      </c>
      <c r="N825" t="s">
        <v>79</v>
      </c>
      <c r="O825" t="s">
        <v>74</v>
      </c>
      <c r="P825" t="s">
        <v>74</v>
      </c>
      <c r="Q825" t="s">
        <v>74</v>
      </c>
      <c r="R825" t="s">
        <v>74</v>
      </c>
      <c r="S825" t="s">
        <v>74</v>
      </c>
      <c r="T825" t="s">
        <v>74</v>
      </c>
      <c r="U825" t="s">
        <v>15078</v>
      </c>
      <c r="V825" t="s">
        <v>15079</v>
      </c>
      <c r="W825" t="s">
        <v>15080</v>
      </c>
      <c r="X825" t="s">
        <v>15081</v>
      </c>
      <c r="Y825" t="s">
        <v>15082</v>
      </c>
      <c r="Z825" t="s">
        <v>15083</v>
      </c>
      <c r="AA825" t="s">
        <v>15084</v>
      </c>
      <c r="AB825" t="s">
        <v>15085</v>
      </c>
      <c r="AC825" t="s">
        <v>15086</v>
      </c>
      <c r="AD825" t="s">
        <v>15087</v>
      </c>
      <c r="AE825" t="s">
        <v>15088</v>
      </c>
      <c r="AF825" t="s">
        <v>74</v>
      </c>
      <c r="AG825">
        <v>53</v>
      </c>
      <c r="AH825">
        <v>23</v>
      </c>
      <c r="AI825">
        <v>23</v>
      </c>
      <c r="AJ825">
        <v>0</v>
      </c>
      <c r="AK825">
        <v>27</v>
      </c>
      <c r="AL825" t="s">
        <v>146</v>
      </c>
      <c r="AM825" t="s">
        <v>147</v>
      </c>
      <c r="AN825" t="s">
        <v>148</v>
      </c>
      <c r="AO825" t="s">
        <v>9853</v>
      </c>
      <c r="AP825" t="s">
        <v>74</v>
      </c>
      <c r="AQ825" t="s">
        <v>74</v>
      </c>
      <c r="AR825" t="s">
        <v>9855</v>
      </c>
      <c r="AS825" t="s">
        <v>9856</v>
      </c>
      <c r="AT825" t="s">
        <v>15034</v>
      </c>
      <c r="AU825">
        <v>2012</v>
      </c>
      <c r="AV825">
        <v>99</v>
      </c>
      <c r="AW825" t="s">
        <v>74</v>
      </c>
      <c r="AX825" t="s">
        <v>74</v>
      </c>
      <c r="AY825" t="s">
        <v>74</v>
      </c>
      <c r="AZ825" t="s">
        <v>74</v>
      </c>
      <c r="BA825" t="s">
        <v>74</v>
      </c>
      <c r="BB825">
        <v>193</v>
      </c>
      <c r="BC825">
        <v>205</v>
      </c>
      <c r="BD825" t="s">
        <v>74</v>
      </c>
      <c r="BE825" t="s">
        <v>15089</v>
      </c>
      <c r="BF825" t="str">
        <f>HYPERLINK("http://dx.doi.org/10.1016/j.gca.2012.09.026","http://dx.doi.org/10.1016/j.gca.2012.09.026")</f>
        <v>http://dx.doi.org/10.1016/j.gca.2012.09.026</v>
      </c>
      <c r="BG825" t="s">
        <v>74</v>
      </c>
      <c r="BH825" t="s">
        <v>74</v>
      </c>
      <c r="BI825">
        <v>13</v>
      </c>
      <c r="BJ825" t="s">
        <v>263</v>
      </c>
      <c r="BK825" t="s">
        <v>102</v>
      </c>
      <c r="BL825" t="s">
        <v>263</v>
      </c>
      <c r="BM825" t="s">
        <v>15090</v>
      </c>
      <c r="BN825" t="s">
        <v>74</v>
      </c>
      <c r="BO825" t="s">
        <v>74</v>
      </c>
      <c r="BP825" t="s">
        <v>74</v>
      </c>
      <c r="BQ825" t="s">
        <v>74</v>
      </c>
      <c r="BR825" t="s">
        <v>105</v>
      </c>
      <c r="BS825" t="s">
        <v>15091</v>
      </c>
      <c r="BT825" t="str">
        <f>HYPERLINK("https%3A%2F%2Fwww.webofscience.com%2Fwos%2Fwoscc%2Ffull-record%2FWOS:000311345200013","View Full Record in Web of Science")</f>
        <v>View Full Record in Web of Science</v>
      </c>
    </row>
    <row r="826" spans="1:72" x14ac:dyDescent="0.15">
      <c r="A826" t="s">
        <v>72</v>
      </c>
      <c r="B826" t="s">
        <v>15092</v>
      </c>
      <c r="C826" t="s">
        <v>74</v>
      </c>
      <c r="D826" t="s">
        <v>74</v>
      </c>
      <c r="E826" t="s">
        <v>74</v>
      </c>
      <c r="F826" t="s">
        <v>15093</v>
      </c>
      <c r="G826" t="s">
        <v>74</v>
      </c>
      <c r="H826" t="s">
        <v>74</v>
      </c>
      <c r="I826" t="s">
        <v>15094</v>
      </c>
      <c r="J826" t="s">
        <v>9841</v>
      </c>
      <c r="K826" t="s">
        <v>74</v>
      </c>
      <c r="L826" t="s">
        <v>74</v>
      </c>
      <c r="M826" t="s">
        <v>78</v>
      </c>
      <c r="N826" t="s">
        <v>79</v>
      </c>
      <c r="O826" t="s">
        <v>74</v>
      </c>
      <c r="P826" t="s">
        <v>74</v>
      </c>
      <c r="Q826" t="s">
        <v>74</v>
      </c>
      <c r="R826" t="s">
        <v>74</v>
      </c>
      <c r="S826" t="s">
        <v>74</v>
      </c>
      <c r="T826" t="s">
        <v>74</v>
      </c>
      <c r="U826" t="s">
        <v>15095</v>
      </c>
      <c r="V826" t="s">
        <v>15096</v>
      </c>
      <c r="W826" t="s">
        <v>15097</v>
      </c>
      <c r="X826" t="s">
        <v>15098</v>
      </c>
      <c r="Y826" t="s">
        <v>15099</v>
      </c>
      <c r="Z826" t="s">
        <v>15100</v>
      </c>
      <c r="AA826" t="s">
        <v>15101</v>
      </c>
      <c r="AB826" t="s">
        <v>74</v>
      </c>
      <c r="AC826" t="s">
        <v>74</v>
      </c>
      <c r="AD826" t="s">
        <v>74</v>
      </c>
      <c r="AE826" t="s">
        <v>74</v>
      </c>
      <c r="AF826" t="s">
        <v>74</v>
      </c>
      <c r="AG826">
        <v>39</v>
      </c>
      <c r="AH826">
        <v>20</v>
      </c>
      <c r="AI826">
        <v>22</v>
      </c>
      <c r="AJ826">
        <v>0</v>
      </c>
      <c r="AK826">
        <v>81</v>
      </c>
      <c r="AL826" t="s">
        <v>146</v>
      </c>
      <c r="AM826" t="s">
        <v>147</v>
      </c>
      <c r="AN826" t="s">
        <v>148</v>
      </c>
      <c r="AO826" t="s">
        <v>9853</v>
      </c>
      <c r="AP826" t="s">
        <v>9854</v>
      </c>
      <c r="AQ826" t="s">
        <v>74</v>
      </c>
      <c r="AR826" t="s">
        <v>9855</v>
      </c>
      <c r="AS826" t="s">
        <v>9856</v>
      </c>
      <c r="AT826" t="s">
        <v>15034</v>
      </c>
      <c r="AU826">
        <v>2012</v>
      </c>
      <c r="AV826">
        <v>99</v>
      </c>
      <c r="AW826" t="s">
        <v>74</v>
      </c>
      <c r="AX826" t="s">
        <v>74</v>
      </c>
      <c r="AY826" t="s">
        <v>74</v>
      </c>
      <c r="AZ826" t="s">
        <v>74</v>
      </c>
      <c r="BA826" t="s">
        <v>74</v>
      </c>
      <c r="BB826">
        <v>271</v>
      </c>
      <c r="BC826">
        <v>286</v>
      </c>
      <c r="BD826" t="s">
        <v>74</v>
      </c>
      <c r="BE826" t="s">
        <v>15102</v>
      </c>
      <c r="BF826" t="str">
        <f>HYPERLINK("http://dx.doi.org/10.1016/j.gca.2012.04.044","http://dx.doi.org/10.1016/j.gca.2012.04.044")</f>
        <v>http://dx.doi.org/10.1016/j.gca.2012.04.044</v>
      </c>
      <c r="BG826" t="s">
        <v>74</v>
      </c>
      <c r="BH826" t="s">
        <v>74</v>
      </c>
      <c r="BI826">
        <v>16</v>
      </c>
      <c r="BJ826" t="s">
        <v>263</v>
      </c>
      <c r="BK826" t="s">
        <v>102</v>
      </c>
      <c r="BL826" t="s">
        <v>263</v>
      </c>
      <c r="BM826" t="s">
        <v>15090</v>
      </c>
      <c r="BN826" t="s">
        <v>74</v>
      </c>
      <c r="BO826" t="s">
        <v>74</v>
      </c>
      <c r="BP826" t="s">
        <v>74</v>
      </c>
      <c r="BQ826" t="s">
        <v>74</v>
      </c>
      <c r="BR826" t="s">
        <v>105</v>
      </c>
      <c r="BS826" t="s">
        <v>15103</v>
      </c>
      <c r="BT826" t="str">
        <f>HYPERLINK("https%3A%2F%2Fwww.webofscience.com%2Fwos%2Fwoscc%2Ffull-record%2FWOS:000311345200017","View Full Record in Web of Science")</f>
        <v>View Full Record in Web of Science</v>
      </c>
    </row>
    <row r="827" spans="1:72" x14ac:dyDescent="0.15">
      <c r="A827" t="s">
        <v>72</v>
      </c>
      <c r="B827" t="s">
        <v>15104</v>
      </c>
      <c r="C827" t="s">
        <v>74</v>
      </c>
      <c r="D827" t="s">
        <v>74</v>
      </c>
      <c r="E827" t="s">
        <v>74</v>
      </c>
      <c r="F827" t="s">
        <v>15105</v>
      </c>
      <c r="G827" t="s">
        <v>74</v>
      </c>
      <c r="H827" t="s">
        <v>74</v>
      </c>
      <c r="I827" t="s">
        <v>15106</v>
      </c>
      <c r="J827" t="s">
        <v>15107</v>
      </c>
      <c r="K827" t="s">
        <v>74</v>
      </c>
      <c r="L827" t="s">
        <v>74</v>
      </c>
      <c r="M827" t="s">
        <v>78</v>
      </c>
      <c r="N827" t="s">
        <v>79</v>
      </c>
      <c r="O827" t="s">
        <v>74</v>
      </c>
      <c r="P827" t="s">
        <v>74</v>
      </c>
      <c r="Q827" t="s">
        <v>74</v>
      </c>
      <c r="R827" t="s">
        <v>74</v>
      </c>
      <c r="S827" t="s">
        <v>74</v>
      </c>
      <c r="T827" t="s">
        <v>15108</v>
      </c>
      <c r="U827" t="s">
        <v>15109</v>
      </c>
      <c r="V827" t="s">
        <v>15110</v>
      </c>
      <c r="W827" t="s">
        <v>15111</v>
      </c>
      <c r="X827" t="s">
        <v>15112</v>
      </c>
      <c r="Y827" t="s">
        <v>15113</v>
      </c>
      <c r="Z827" t="s">
        <v>15114</v>
      </c>
      <c r="AA827" t="s">
        <v>74</v>
      </c>
      <c r="AB827" t="s">
        <v>74</v>
      </c>
      <c r="AC827" t="s">
        <v>15115</v>
      </c>
      <c r="AD827" t="s">
        <v>15116</v>
      </c>
      <c r="AE827" t="s">
        <v>15117</v>
      </c>
      <c r="AF827" t="s">
        <v>74</v>
      </c>
      <c r="AG827">
        <v>23</v>
      </c>
      <c r="AH827">
        <v>15</v>
      </c>
      <c r="AI827">
        <v>17</v>
      </c>
      <c r="AJ827">
        <v>0</v>
      </c>
      <c r="AK827">
        <v>21</v>
      </c>
      <c r="AL827" t="s">
        <v>146</v>
      </c>
      <c r="AM827" t="s">
        <v>147</v>
      </c>
      <c r="AN827" t="s">
        <v>148</v>
      </c>
      <c r="AO827" t="s">
        <v>15118</v>
      </c>
      <c r="AP827" t="s">
        <v>15119</v>
      </c>
      <c r="AQ827" t="s">
        <v>74</v>
      </c>
      <c r="AR827" t="s">
        <v>15120</v>
      </c>
      <c r="AS827" t="s">
        <v>15121</v>
      </c>
      <c r="AT827" t="s">
        <v>15034</v>
      </c>
      <c r="AU827">
        <v>2012</v>
      </c>
      <c r="AV827">
        <v>22</v>
      </c>
      <c r="AW827">
        <v>24</v>
      </c>
      <c r="AX827" t="s">
        <v>74</v>
      </c>
      <c r="AY827" t="s">
        <v>74</v>
      </c>
      <c r="AZ827" t="s">
        <v>74</v>
      </c>
      <c r="BA827" t="s">
        <v>74</v>
      </c>
      <c r="BB827">
        <v>7393</v>
      </c>
      <c r="BC827">
        <v>7396</v>
      </c>
      <c r="BD827" t="s">
        <v>74</v>
      </c>
      <c r="BE827" t="s">
        <v>15122</v>
      </c>
      <c r="BF827" t="str">
        <f>HYPERLINK("http://dx.doi.org/10.1016/j.bmcl.2012.10.063","http://dx.doi.org/10.1016/j.bmcl.2012.10.063")</f>
        <v>http://dx.doi.org/10.1016/j.bmcl.2012.10.063</v>
      </c>
      <c r="BG827" t="s">
        <v>74</v>
      </c>
      <c r="BH827" t="s">
        <v>74</v>
      </c>
      <c r="BI827">
        <v>4</v>
      </c>
      <c r="BJ827" t="s">
        <v>15123</v>
      </c>
      <c r="BK827" t="s">
        <v>15124</v>
      </c>
      <c r="BL827" t="s">
        <v>15125</v>
      </c>
      <c r="BM827" t="s">
        <v>15126</v>
      </c>
      <c r="BN827">
        <v>23141910</v>
      </c>
      <c r="BO827" t="s">
        <v>74</v>
      </c>
      <c r="BP827" t="s">
        <v>74</v>
      </c>
      <c r="BQ827" t="s">
        <v>74</v>
      </c>
      <c r="BR827" t="s">
        <v>105</v>
      </c>
      <c r="BS827" t="s">
        <v>15127</v>
      </c>
      <c r="BT827" t="str">
        <f>HYPERLINK("https%3A%2F%2Fwww.webofscience.com%2Fwos%2Fwoscc%2Ffull-record%2FWOS:000311425500020","View Full Record in Web of Science")</f>
        <v>View Full Record in Web of Science</v>
      </c>
    </row>
    <row r="828" spans="1:72" x14ac:dyDescent="0.15">
      <c r="A828" t="s">
        <v>72</v>
      </c>
      <c r="B828" t="s">
        <v>15128</v>
      </c>
      <c r="C828" t="s">
        <v>74</v>
      </c>
      <c r="D828" t="s">
        <v>74</v>
      </c>
      <c r="E828" t="s">
        <v>74</v>
      </c>
      <c r="F828" t="s">
        <v>15129</v>
      </c>
      <c r="G828" t="s">
        <v>74</v>
      </c>
      <c r="H828" t="s">
        <v>74</v>
      </c>
      <c r="I828" t="s">
        <v>15130</v>
      </c>
      <c r="J828" t="s">
        <v>8099</v>
      </c>
      <c r="K828" t="s">
        <v>74</v>
      </c>
      <c r="L828" t="s">
        <v>74</v>
      </c>
      <c r="M828" t="s">
        <v>78</v>
      </c>
      <c r="N828" t="s">
        <v>79</v>
      </c>
      <c r="O828" t="s">
        <v>74</v>
      </c>
      <c r="P828" t="s">
        <v>74</v>
      </c>
      <c r="Q828" t="s">
        <v>74</v>
      </c>
      <c r="R828" t="s">
        <v>74</v>
      </c>
      <c r="S828" t="s">
        <v>74</v>
      </c>
      <c r="T828" t="s">
        <v>15131</v>
      </c>
      <c r="U828" t="s">
        <v>15132</v>
      </c>
      <c r="V828" t="s">
        <v>15133</v>
      </c>
      <c r="W828" t="s">
        <v>15134</v>
      </c>
      <c r="X828" t="s">
        <v>15135</v>
      </c>
      <c r="Y828" t="s">
        <v>15136</v>
      </c>
      <c r="Z828" t="s">
        <v>15137</v>
      </c>
      <c r="AA828" t="s">
        <v>74</v>
      </c>
      <c r="AB828" t="s">
        <v>74</v>
      </c>
      <c r="AC828" t="s">
        <v>15138</v>
      </c>
      <c r="AD828" t="s">
        <v>15139</v>
      </c>
      <c r="AE828" t="s">
        <v>15140</v>
      </c>
      <c r="AF828" t="s">
        <v>74</v>
      </c>
      <c r="AG828">
        <v>39</v>
      </c>
      <c r="AH828">
        <v>42</v>
      </c>
      <c r="AI828">
        <v>45</v>
      </c>
      <c r="AJ828">
        <v>0</v>
      </c>
      <c r="AK828">
        <v>57</v>
      </c>
      <c r="AL828" t="s">
        <v>146</v>
      </c>
      <c r="AM828" t="s">
        <v>147</v>
      </c>
      <c r="AN828" t="s">
        <v>148</v>
      </c>
      <c r="AO828" t="s">
        <v>8111</v>
      </c>
      <c r="AP828" t="s">
        <v>8112</v>
      </c>
      <c r="AQ828" t="s">
        <v>74</v>
      </c>
      <c r="AR828" t="s">
        <v>8113</v>
      </c>
      <c r="AS828" t="s">
        <v>8114</v>
      </c>
      <c r="AT828" t="s">
        <v>15034</v>
      </c>
      <c r="AU828">
        <v>2012</v>
      </c>
      <c r="AV828" t="s">
        <v>15054</v>
      </c>
      <c r="AW828" t="s">
        <v>74</v>
      </c>
      <c r="AX828" t="s">
        <v>74</v>
      </c>
      <c r="AY828" t="s">
        <v>74</v>
      </c>
      <c r="AZ828" t="s">
        <v>221</v>
      </c>
      <c r="BA828" t="s">
        <v>74</v>
      </c>
      <c r="BB828">
        <v>18</v>
      </c>
      <c r="BC828">
        <v>27</v>
      </c>
      <c r="BD828" t="s">
        <v>74</v>
      </c>
      <c r="BE828" t="s">
        <v>15141</v>
      </c>
      <c r="BF828" t="str">
        <f>HYPERLINK("http://dx.doi.org/10.1016/j.dsr2.2011.06.005","http://dx.doi.org/10.1016/j.dsr2.2011.06.005")</f>
        <v>http://dx.doi.org/10.1016/j.dsr2.2011.06.005</v>
      </c>
      <c r="BG828" t="s">
        <v>74</v>
      </c>
      <c r="BH828" t="s">
        <v>74</v>
      </c>
      <c r="BI828">
        <v>10</v>
      </c>
      <c r="BJ828" t="s">
        <v>303</v>
      </c>
      <c r="BK828" t="s">
        <v>102</v>
      </c>
      <c r="BL828" t="s">
        <v>303</v>
      </c>
      <c r="BM828" t="s">
        <v>15056</v>
      </c>
      <c r="BN828" t="s">
        <v>74</v>
      </c>
      <c r="BO828" t="s">
        <v>74</v>
      </c>
      <c r="BP828" t="s">
        <v>74</v>
      </c>
      <c r="BQ828" t="s">
        <v>74</v>
      </c>
      <c r="BR828" t="s">
        <v>105</v>
      </c>
      <c r="BS828" t="s">
        <v>15142</v>
      </c>
      <c r="BT828" t="str">
        <f>HYPERLINK("https%3A%2F%2Fwww.webofscience.com%2Fwos%2Fwoscc%2Ffull-record%2FWOS:000311654500003","View Full Record in Web of Science")</f>
        <v>View Full Record in Web of Science</v>
      </c>
    </row>
    <row r="829" spans="1:72" x14ac:dyDescent="0.15">
      <c r="A829" t="s">
        <v>72</v>
      </c>
      <c r="B829" t="s">
        <v>15143</v>
      </c>
      <c r="C829" t="s">
        <v>74</v>
      </c>
      <c r="D829" t="s">
        <v>74</v>
      </c>
      <c r="E829" t="s">
        <v>74</v>
      </c>
      <c r="F829" t="s">
        <v>15144</v>
      </c>
      <c r="G829" t="s">
        <v>74</v>
      </c>
      <c r="H829" t="s">
        <v>74</v>
      </c>
      <c r="I829" t="s">
        <v>15145</v>
      </c>
      <c r="J829" t="s">
        <v>8099</v>
      </c>
      <c r="K829" t="s">
        <v>74</v>
      </c>
      <c r="L829" t="s">
        <v>74</v>
      </c>
      <c r="M829" t="s">
        <v>78</v>
      </c>
      <c r="N829" t="s">
        <v>79</v>
      </c>
      <c r="O829" t="s">
        <v>74</v>
      </c>
      <c r="P829" t="s">
        <v>74</v>
      </c>
      <c r="Q829" t="s">
        <v>74</v>
      </c>
      <c r="R829" t="s">
        <v>74</v>
      </c>
      <c r="S829" t="s">
        <v>74</v>
      </c>
      <c r="T829" t="s">
        <v>15146</v>
      </c>
      <c r="U829" t="s">
        <v>15147</v>
      </c>
      <c r="V829" t="s">
        <v>15148</v>
      </c>
      <c r="W829" t="s">
        <v>15149</v>
      </c>
      <c r="X829" t="s">
        <v>15150</v>
      </c>
      <c r="Y829" t="s">
        <v>15151</v>
      </c>
      <c r="Z829" t="s">
        <v>15152</v>
      </c>
      <c r="AA829" t="s">
        <v>15153</v>
      </c>
      <c r="AB829" t="s">
        <v>15154</v>
      </c>
      <c r="AC829" t="s">
        <v>15155</v>
      </c>
      <c r="AD829" t="s">
        <v>15156</v>
      </c>
      <c r="AE829" t="s">
        <v>15157</v>
      </c>
      <c r="AF829" t="s">
        <v>74</v>
      </c>
      <c r="AG829">
        <v>56</v>
      </c>
      <c r="AH829">
        <v>41</v>
      </c>
      <c r="AI829">
        <v>46</v>
      </c>
      <c r="AJ829">
        <v>2</v>
      </c>
      <c r="AK829">
        <v>139</v>
      </c>
      <c r="AL829" t="s">
        <v>146</v>
      </c>
      <c r="AM829" t="s">
        <v>147</v>
      </c>
      <c r="AN829" t="s">
        <v>148</v>
      </c>
      <c r="AO829" t="s">
        <v>8111</v>
      </c>
      <c r="AP829" t="s">
        <v>8112</v>
      </c>
      <c r="AQ829" t="s">
        <v>74</v>
      </c>
      <c r="AR829" t="s">
        <v>8113</v>
      </c>
      <c r="AS829" t="s">
        <v>8114</v>
      </c>
      <c r="AT829" t="s">
        <v>15034</v>
      </c>
      <c r="AU829">
        <v>2012</v>
      </c>
      <c r="AV829" t="s">
        <v>15054</v>
      </c>
      <c r="AW829" t="s">
        <v>74</v>
      </c>
      <c r="AX829" t="s">
        <v>74</v>
      </c>
      <c r="AY829" t="s">
        <v>74</v>
      </c>
      <c r="AZ829" t="s">
        <v>221</v>
      </c>
      <c r="BA829" t="s">
        <v>74</v>
      </c>
      <c r="BB829">
        <v>95</v>
      </c>
      <c r="BC829">
        <v>101</v>
      </c>
      <c r="BD829" t="s">
        <v>74</v>
      </c>
      <c r="BE829" t="s">
        <v>15158</v>
      </c>
      <c r="BF829" t="str">
        <f>HYPERLINK("http://dx.doi.org/10.1016/j.dsr2.2011.05.006","http://dx.doi.org/10.1016/j.dsr2.2011.05.006")</f>
        <v>http://dx.doi.org/10.1016/j.dsr2.2011.05.006</v>
      </c>
      <c r="BG829" t="s">
        <v>74</v>
      </c>
      <c r="BH829" t="s">
        <v>74</v>
      </c>
      <c r="BI829">
        <v>7</v>
      </c>
      <c r="BJ829" t="s">
        <v>303</v>
      </c>
      <c r="BK829" t="s">
        <v>102</v>
      </c>
      <c r="BL829" t="s">
        <v>303</v>
      </c>
      <c r="BM829" t="s">
        <v>15056</v>
      </c>
      <c r="BN829" t="s">
        <v>74</v>
      </c>
      <c r="BO829" t="s">
        <v>74</v>
      </c>
      <c r="BP829" t="s">
        <v>74</v>
      </c>
      <c r="BQ829" t="s">
        <v>74</v>
      </c>
      <c r="BR829" t="s">
        <v>105</v>
      </c>
      <c r="BS829" t="s">
        <v>15159</v>
      </c>
      <c r="BT829" t="str">
        <f>HYPERLINK("https%3A%2F%2Fwww.webofscience.com%2Fwos%2Fwoscc%2Ffull-record%2FWOS:000311654500011","View Full Record in Web of Science")</f>
        <v>View Full Record in Web of Science</v>
      </c>
    </row>
    <row r="830" spans="1:72" x14ac:dyDescent="0.15">
      <c r="A830" t="s">
        <v>72</v>
      </c>
      <c r="B830" t="s">
        <v>15160</v>
      </c>
      <c r="C830" t="s">
        <v>74</v>
      </c>
      <c r="D830" t="s">
        <v>74</v>
      </c>
      <c r="E830" t="s">
        <v>74</v>
      </c>
      <c r="F830" t="s">
        <v>15161</v>
      </c>
      <c r="G830" t="s">
        <v>74</v>
      </c>
      <c r="H830" t="s">
        <v>74</v>
      </c>
      <c r="I830" t="s">
        <v>15162</v>
      </c>
      <c r="J830" t="s">
        <v>12005</v>
      </c>
      <c r="K830" t="s">
        <v>74</v>
      </c>
      <c r="L830" t="s">
        <v>74</v>
      </c>
      <c r="M830" t="s">
        <v>78</v>
      </c>
      <c r="N830" t="s">
        <v>79</v>
      </c>
      <c r="O830" t="s">
        <v>74</v>
      </c>
      <c r="P830" t="s">
        <v>74</v>
      </c>
      <c r="Q830" t="s">
        <v>74</v>
      </c>
      <c r="R830" t="s">
        <v>74</v>
      </c>
      <c r="S830" t="s">
        <v>74</v>
      </c>
      <c r="T830" t="s">
        <v>15163</v>
      </c>
      <c r="U830" t="s">
        <v>15164</v>
      </c>
      <c r="V830" t="s">
        <v>15165</v>
      </c>
      <c r="W830" t="s">
        <v>15166</v>
      </c>
      <c r="X830" t="s">
        <v>15167</v>
      </c>
      <c r="Y830" t="s">
        <v>15168</v>
      </c>
      <c r="Z830" t="s">
        <v>15169</v>
      </c>
      <c r="AA830" t="s">
        <v>15170</v>
      </c>
      <c r="AB830" t="s">
        <v>15171</v>
      </c>
      <c r="AC830" t="s">
        <v>15172</v>
      </c>
      <c r="AD830" t="s">
        <v>15172</v>
      </c>
      <c r="AE830" t="s">
        <v>15173</v>
      </c>
      <c r="AF830" t="s">
        <v>74</v>
      </c>
      <c r="AG830">
        <v>49</v>
      </c>
      <c r="AH830">
        <v>67</v>
      </c>
      <c r="AI830">
        <v>77</v>
      </c>
      <c r="AJ830">
        <v>1</v>
      </c>
      <c r="AK830">
        <v>40</v>
      </c>
      <c r="AL830" t="s">
        <v>541</v>
      </c>
      <c r="AM830" t="s">
        <v>542</v>
      </c>
      <c r="AN830" t="s">
        <v>543</v>
      </c>
      <c r="AO830" t="s">
        <v>12018</v>
      </c>
      <c r="AP830" t="s">
        <v>12019</v>
      </c>
      <c r="AQ830" t="s">
        <v>74</v>
      </c>
      <c r="AR830" t="s">
        <v>12020</v>
      </c>
      <c r="AS830" t="s">
        <v>12021</v>
      </c>
      <c r="AT830" t="s">
        <v>15034</v>
      </c>
      <c r="AU830">
        <v>2012</v>
      </c>
      <c r="AV830">
        <v>359</v>
      </c>
      <c r="AW830" t="s">
        <v>74</v>
      </c>
      <c r="AX830" t="s">
        <v>74</v>
      </c>
      <c r="AY830" t="s">
        <v>74</v>
      </c>
      <c r="AZ830" t="s">
        <v>74</v>
      </c>
      <c r="BA830" t="s">
        <v>74</v>
      </c>
      <c r="BB830">
        <v>173</v>
      </c>
      <c r="BC830">
        <v>183</v>
      </c>
      <c r="BD830" t="s">
        <v>74</v>
      </c>
      <c r="BE830" t="s">
        <v>15174</v>
      </c>
      <c r="BF830" t="str">
        <f>HYPERLINK("http://dx.doi.org/10.1016/j.epsl.2012.10.018","http://dx.doi.org/10.1016/j.epsl.2012.10.018")</f>
        <v>http://dx.doi.org/10.1016/j.epsl.2012.10.018</v>
      </c>
      <c r="BG830" t="s">
        <v>74</v>
      </c>
      <c r="BH830" t="s">
        <v>74</v>
      </c>
      <c r="BI830">
        <v>11</v>
      </c>
      <c r="BJ830" t="s">
        <v>263</v>
      </c>
      <c r="BK830" t="s">
        <v>102</v>
      </c>
      <c r="BL830" t="s">
        <v>263</v>
      </c>
      <c r="BM830" t="s">
        <v>15175</v>
      </c>
      <c r="BN830" t="s">
        <v>74</v>
      </c>
      <c r="BO830" t="s">
        <v>74</v>
      </c>
      <c r="BP830" t="s">
        <v>74</v>
      </c>
      <c r="BQ830" t="s">
        <v>74</v>
      </c>
      <c r="BR830" t="s">
        <v>105</v>
      </c>
      <c r="BS830" t="s">
        <v>15176</v>
      </c>
      <c r="BT830" t="str">
        <f>HYPERLINK("https%3A%2F%2Fwww.webofscience.com%2Fwos%2Fwoscc%2Ffull-record%2FWOS:000312924200018","View Full Record in Web of Science")</f>
        <v>View Full Record in Web of Science</v>
      </c>
    </row>
    <row r="831" spans="1:72" x14ac:dyDescent="0.15">
      <c r="A831" t="s">
        <v>72</v>
      </c>
      <c r="B831" t="s">
        <v>15177</v>
      </c>
      <c r="C831" t="s">
        <v>74</v>
      </c>
      <c r="D831" t="s">
        <v>74</v>
      </c>
      <c r="E831" t="s">
        <v>74</v>
      </c>
      <c r="F831" t="s">
        <v>15178</v>
      </c>
      <c r="G831" t="s">
        <v>74</v>
      </c>
      <c r="H831" t="s">
        <v>74</v>
      </c>
      <c r="I831" t="s">
        <v>15179</v>
      </c>
      <c r="J831" t="s">
        <v>2482</v>
      </c>
      <c r="K831" t="s">
        <v>74</v>
      </c>
      <c r="L831" t="s">
        <v>74</v>
      </c>
      <c r="M831" t="s">
        <v>78</v>
      </c>
      <c r="N831" t="s">
        <v>79</v>
      </c>
      <c r="O831" t="s">
        <v>74</v>
      </c>
      <c r="P831" t="s">
        <v>74</v>
      </c>
      <c r="Q831" t="s">
        <v>74</v>
      </c>
      <c r="R831" t="s">
        <v>74</v>
      </c>
      <c r="S831" t="s">
        <v>74</v>
      </c>
      <c r="T831" t="s">
        <v>74</v>
      </c>
      <c r="U831" t="s">
        <v>15180</v>
      </c>
      <c r="V831" t="s">
        <v>15181</v>
      </c>
      <c r="W831" t="s">
        <v>15182</v>
      </c>
      <c r="X831" t="s">
        <v>15183</v>
      </c>
      <c r="Y831" t="s">
        <v>15184</v>
      </c>
      <c r="Z831" t="s">
        <v>15185</v>
      </c>
      <c r="AA831" t="s">
        <v>74</v>
      </c>
      <c r="AB831" t="s">
        <v>74</v>
      </c>
      <c r="AC831" t="s">
        <v>15186</v>
      </c>
      <c r="AD831" t="s">
        <v>15187</v>
      </c>
      <c r="AE831" t="s">
        <v>15188</v>
      </c>
      <c r="AF831" t="s">
        <v>74</v>
      </c>
      <c r="AG831">
        <v>30</v>
      </c>
      <c r="AH831">
        <v>45</v>
      </c>
      <c r="AI831">
        <v>46</v>
      </c>
      <c r="AJ831">
        <v>0</v>
      </c>
      <c r="AK831">
        <v>24</v>
      </c>
      <c r="AL831" t="s">
        <v>2494</v>
      </c>
      <c r="AM831" t="s">
        <v>786</v>
      </c>
      <c r="AN831" t="s">
        <v>2495</v>
      </c>
      <c r="AO831" t="s">
        <v>2496</v>
      </c>
      <c r="AP831" t="s">
        <v>2497</v>
      </c>
      <c r="AQ831" t="s">
        <v>74</v>
      </c>
      <c r="AR831" t="s">
        <v>2498</v>
      </c>
      <c r="AS831" t="s">
        <v>2499</v>
      </c>
      <c r="AT831" t="s">
        <v>15034</v>
      </c>
      <c r="AU831">
        <v>2012</v>
      </c>
      <c r="AV831">
        <v>39</v>
      </c>
      <c r="AW831" t="s">
        <v>74</v>
      </c>
      <c r="AX831" t="s">
        <v>74</v>
      </c>
      <c r="AY831" t="s">
        <v>74</v>
      </c>
      <c r="AZ831" t="s">
        <v>74</v>
      </c>
      <c r="BA831" t="s">
        <v>74</v>
      </c>
      <c r="BB831" t="s">
        <v>74</v>
      </c>
      <c r="BC831" t="s">
        <v>74</v>
      </c>
      <c r="BD831" t="s">
        <v>15189</v>
      </c>
      <c r="BE831" t="s">
        <v>15190</v>
      </c>
      <c r="BF831" t="str">
        <f>HYPERLINK("http://dx.doi.org/10.1029/2012GL054199","http://dx.doi.org/10.1029/2012GL054199")</f>
        <v>http://dx.doi.org/10.1029/2012GL054199</v>
      </c>
      <c r="BG831" t="s">
        <v>74</v>
      </c>
      <c r="BH831" t="s">
        <v>74</v>
      </c>
      <c r="BI831">
        <v>5</v>
      </c>
      <c r="BJ831" t="s">
        <v>1604</v>
      </c>
      <c r="BK831" t="s">
        <v>102</v>
      </c>
      <c r="BL831" t="s">
        <v>1605</v>
      </c>
      <c r="BM831" t="s">
        <v>15191</v>
      </c>
      <c r="BN831" t="s">
        <v>74</v>
      </c>
      <c r="BO831" t="s">
        <v>196</v>
      </c>
      <c r="BP831" t="s">
        <v>74</v>
      </c>
      <c r="BQ831" t="s">
        <v>74</v>
      </c>
      <c r="BR831" t="s">
        <v>105</v>
      </c>
      <c r="BS831" t="s">
        <v>15192</v>
      </c>
      <c r="BT831" t="str">
        <f>HYPERLINK("https%3A%2F%2Fwww.webofscience.com%2Fwos%2Fwoscc%2Ffull-record%2FWOS:000312391400003","View Full Record in Web of Science")</f>
        <v>View Full Record in Web of Science</v>
      </c>
    </row>
    <row r="832" spans="1:72" x14ac:dyDescent="0.15">
      <c r="A832" t="s">
        <v>72</v>
      </c>
      <c r="B832" t="s">
        <v>15193</v>
      </c>
      <c r="C832" t="s">
        <v>74</v>
      </c>
      <c r="D832" t="s">
        <v>74</v>
      </c>
      <c r="E832" t="s">
        <v>74</v>
      </c>
      <c r="F832" t="s">
        <v>15194</v>
      </c>
      <c r="G832" t="s">
        <v>74</v>
      </c>
      <c r="H832" t="s">
        <v>74</v>
      </c>
      <c r="I832" t="s">
        <v>15195</v>
      </c>
      <c r="J832" t="s">
        <v>2482</v>
      </c>
      <c r="K832" t="s">
        <v>74</v>
      </c>
      <c r="L832" t="s">
        <v>74</v>
      </c>
      <c r="M832" t="s">
        <v>78</v>
      </c>
      <c r="N832" t="s">
        <v>79</v>
      </c>
      <c r="O832" t="s">
        <v>74</v>
      </c>
      <c r="P832" t="s">
        <v>74</v>
      </c>
      <c r="Q832" t="s">
        <v>74</v>
      </c>
      <c r="R832" t="s">
        <v>74</v>
      </c>
      <c r="S832" t="s">
        <v>74</v>
      </c>
      <c r="T832" t="s">
        <v>74</v>
      </c>
      <c r="U832" t="s">
        <v>15196</v>
      </c>
      <c r="V832" t="s">
        <v>15197</v>
      </c>
      <c r="W832" t="s">
        <v>15198</v>
      </c>
      <c r="X832" t="s">
        <v>15199</v>
      </c>
      <c r="Y832" t="s">
        <v>15200</v>
      </c>
      <c r="Z832" t="s">
        <v>15201</v>
      </c>
      <c r="AA832" t="s">
        <v>15202</v>
      </c>
      <c r="AB832" t="s">
        <v>15203</v>
      </c>
      <c r="AC832" t="s">
        <v>15204</v>
      </c>
      <c r="AD832" t="s">
        <v>15205</v>
      </c>
      <c r="AE832" t="s">
        <v>15206</v>
      </c>
      <c r="AF832" t="s">
        <v>74</v>
      </c>
      <c r="AG832">
        <v>22</v>
      </c>
      <c r="AH832">
        <v>4</v>
      </c>
      <c r="AI832">
        <v>4</v>
      </c>
      <c r="AJ832">
        <v>1</v>
      </c>
      <c r="AK832">
        <v>34</v>
      </c>
      <c r="AL832" t="s">
        <v>2494</v>
      </c>
      <c r="AM832" t="s">
        <v>786</v>
      </c>
      <c r="AN832" t="s">
        <v>2495</v>
      </c>
      <c r="AO832" t="s">
        <v>2496</v>
      </c>
      <c r="AP832" t="s">
        <v>74</v>
      </c>
      <c r="AQ832" t="s">
        <v>74</v>
      </c>
      <c r="AR832" t="s">
        <v>2498</v>
      </c>
      <c r="AS832" t="s">
        <v>2499</v>
      </c>
      <c r="AT832" t="s">
        <v>15034</v>
      </c>
      <c r="AU832">
        <v>2012</v>
      </c>
      <c r="AV832">
        <v>39</v>
      </c>
      <c r="AW832" t="s">
        <v>74</v>
      </c>
      <c r="AX832" t="s">
        <v>74</v>
      </c>
      <c r="AY832" t="s">
        <v>74</v>
      </c>
      <c r="AZ832" t="s">
        <v>74</v>
      </c>
      <c r="BA832" t="s">
        <v>74</v>
      </c>
      <c r="BB832" t="s">
        <v>74</v>
      </c>
      <c r="BC832" t="s">
        <v>74</v>
      </c>
      <c r="BD832" t="s">
        <v>15207</v>
      </c>
      <c r="BE832" t="s">
        <v>15208</v>
      </c>
      <c r="BF832" t="str">
        <f>HYPERLINK("http://dx.doi.org/10.1029/2012GL054158","http://dx.doi.org/10.1029/2012GL054158")</f>
        <v>http://dx.doi.org/10.1029/2012GL054158</v>
      </c>
      <c r="BG832" t="s">
        <v>74</v>
      </c>
      <c r="BH832" t="s">
        <v>74</v>
      </c>
      <c r="BI832">
        <v>6</v>
      </c>
      <c r="BJ832" t="s">
        <v>1604</v>
      </c>
      <c r="BK832" t="s">
        <v>102</v>
      </c>
      <c r="BL832" t="s">
        <v>1605</v>
      </c>
      <c r="BM832" t="s">
        <v>15191</v>
      </c>
      <c r="BN832" t="s">
        <v>74</v>
      </c>
      <c r="BO832" t="s">
        <v>74</v>
      </c>
      <c r="BP832" t="s">
        <v>74</v>
      </c>
      <c r="BQ832" t="s">
        <v>74</v>
      </c>
      <c r="BR832" t="s">
        <v>105</v>
      </c>
      <c r="BS832" t="s">
        <v>15209</v>
      </c>
      <c r="BT832" t="str">
        <f>HYPERLINK("https%3A%2F%2Fwww.webofscience.com%2Fwos%2Fwoscc%2Ffull-record%2FWOS:000312391400002","View Full Record in Web of Science")</f>
        <v>View Full Record in Web of Science</v>
      </c>
    </row>
    <row r="833" spans="1:72" x14ac:dyDescent="0.15">
      <c r="A833" t="s">
        <v>72</v>
      </c>
      <c r="B833" t="s">
        <v>15210</v>
      </c>
      <c r="C833" t="s">
        <v>74</v>
      </c>
      <c r="D833" t="s">
        <v>74</v>
      </c>
      <c r="E833" t="s">
        <v>74</v>
      </c>
      <c r="F833" t="s">
        <v>15211</v>
      </c>
      <c r="G833" t="s">
        <v>74</v>
      </c>
      <c r="H833" t="s">
        <v>74</v>
      </c>
      <c r="I833" t="s">
        <v>15212</v>
      </c>
      <c r="J833" t="s">
        <v>178</v>
      </c>
      <c r="K833" t="s">
        <v>74</v>
      </c>
      <c r="L833" t="s">
        <v>74</v>
      </c>
      <c r="M833" t="s">
        <v>78</v>
      </c>
      <c r="N833" t="s">
        <v>79</v>
      </c>
      <c r="O833" t="s">
        <v>74</v>
      </c>
      <c r="P833" t="s">
        <v>74</v>
      </c>
      <c r="Q833" t="s">
        <v>74</v>
      </c>
      <c r="R833" t="s">
        <v>74</v>
      </c>
      <c r="S833" t="s">
        <v>74</v>
      </c>
      <c r="T833" t="s">
        <v>74</v>
      </c>
      <c r="U833" t="s">
        <v>15213</v>
      </c>
      <c r="V833" t="s">
        <v>15214</v>
      </c>
      <c r="W833" t="s">
        <v>15215</v>
      </c>
      <c r="X833" t="s">
        <v>15216</v>
      </c>
      <c r="Y833" t="s">
        <v>15217</v>
      </c>
      <c r="Z833" t="s">
        <v>15218</v>
      </c>
      <c r="AA833" t="s">
        <v>15219</v>
      </c>
      <c r="AB833" t="s">
        <v>15220</v>
      </c>
      <c r="AC833" t="s">
        <v>15221</v>
      </c>
      <c r="AD833" t="s">
        <v>15222</v>
      </c>
      <c r="AE833" t="s">
        <v>15223</v>
      </c>
      <c r="AF833" t="s">
        <v>74</v>
      </c>
      <c r="AG833">
        <v>68</v>
      </c>
      <c r="AH833">
        <v>50</v>
      </c>
      <c r="AI833">
        <v>55</v>
      </c>
      <c r="AJ833">
        <v>5</v>
      </c>
      <c r="AK833">
        <v>37</v>
      </c>
      <c r="AL833" t="s">
        <v>91</v>
      </c>
      <c r="AM833" t="s">
        <v>92</v>
      </c>
      <c r="AN833" t="s">
        <v>93</v>
      </c>
      <c r="AO833" t="s">
        <v>190</v>
      </c>
      <c r="AP833" t="s">
        <v>191</v>
      </c>
      <c r="AQ833" t="s">
        <v>74</v>
      </c>
      <c r="AR833" t="s">
        <v>192</v>
      </c>
      <c r="AS833" t="s">
        <v>193</v>
      </c>
      <c r="AT833" t="s">
        <v>15034</v>
      </c>
      <c r="AU833">
        <v>2012</v>
      </c>
      <c r="AV833">
        <v>25</v>
      </c>
      <c r="AW833">
        <v>24</v>
      </c>
      <c r="AX833" t="s">
        <v>74</v>
      </c>
      <c r="AY833" t="s">
        <v>74</v>
      </c>
      <c r="AZ833" t="s">
        <v>74</v>
      </c>
      <c r="BA833" t="s">
        <v>74</v>
      </c>
      <c r="BB833">
        <v>8444</v>
      </c>
      <c r="BC833">
        <v>8461</v>
      </c>
      <c r="BD833" t="s">
        <v>74</v>
      </c>
      <c r="BE833" t="s">
        <v>15224</v>
      </c>
      <c r="BF833" t="str">
        <f>HYPERLINK("http://dx.doi.org/10.1175/JCLI-D-11-00613.1","http://dx.doi.org/10.1175/JCLI-D-11-00613.1")</f>
        <v>http://dx.doi.org/10.1175/JCLI-D-11-00613.1</v>
      </c>
      <c r="BG833" t="s">
        <v>74</v>
      </c>
      <c r="BH833" t="s">
        <v>74</v>
      </c>
      <c r="BI833">
        <v>18</v>
      </c>
      <c r="BJ833" t="s">
        <v>101</v>
      </c>
      <c r="BK833" t="s">
        <v>102</v>
      </c>
      <c r="BL833" t="s">
        <v>101</v>
      </c>
      <c r="BM833" t="s">
        <v>15225</v>
      </c>
      <c r="BN833" t="s">
        <v>74</v>
      </c>
      <c r="BO833" t="s">
        <v>104</v>
      </c>
      <c r="BP833" t="s">
        <v>74</v>
      </c>
      <c r="BQ833" t="s">
        <v>74</v>
      </c>
      <c r="BR833" t="s">
        <v>105</v>
      </c>
      <c r="BS833" t="s">
        <v>15226</v>
      </c>
      <c r="BT833" t="str">
        <f>HYPERLINK("https%3A%2F%2Fwww.webofscience.com%2Fwos%2Fwoscc%2Ffull-record%2FWOS:000312628400007","View Full Record in Web of Science")</f>
        <v>View Full Record in Web of Science</v>
      </c>
    </row>
    <row r="834" spans="1:72" x14ac:dyDescent="0.15">
      <c r="A834" t="s">
        <v>72</v>
      </c>
      <c r="B834" t="s">
        <v>15227</v>
      </c>
      <c r="C834" t="s">
        <v>74</v>
      </c>
      <c r="D834" t="s">
        <v>74</v>
      </c>
      <c r="E834" t="s">
        <v>74</v>
      </c>
      <c r="F834" t="s">
        <v>15228</v>
      </c>
      <c r="G834" t="s">
        <v>74</v>
      </c>
      <c r="H834" t="s">
        <v>74</v>
      </c>
      <c r="I834" t="s">
        <v>15229</v>
      </c>
      <c r="J834" t="s">
        <v>15230</v>
      </c>
      <c r="K834" t="s">
        <v>74</v>
      </c>
      <c r="L834" t="s">
        <v>74</v>
      </c>
      <c r="M834" t="s">
        <v>78</v>
      </c>
      <c r="N834" t="s">
        <v>79</v>
      </c>
      <c r="O834" t="s">
        <v>74</v>
      </c>
      <c r="P834" t="s">
        <v>74</v>
      </c>
      <c r="Q834" t="s">
        <v>74</v>
      </c>
      <c r="R834" t="s">
        <v>74</v>
      </c>
      <c r="S834" t="s">
        <v>74</v>
      </c>
      <c r="T834" t="s">
        <v>15231</v>
      </c>
      <c r="U834" t="s">
        <v>15232</v>
      </c>
      <c r="V834" t="s">
        <v>15233</v>
      </c>
      <c r="W834" t="s">
        <v>15234</v>
      </c>
      <c r="X834" t="s">
        <v>15235</v>
      </c>
      <c r="Y834" t="s">
        <v>15236</v>
      </c>
      <c r="Z834" t="s">
        <v>15237</v>
      </c>
      <c r="AA834" t="s">
        <v>15238</v>
      </c>
      <c r="AB834" t="s">
        <v>15239</v>
      </c>
      <c r="AC834" t="s">
        <v>15240</v>
      </c>
      <c r="AD834" t="s">
        <v>15240</v>
      </c>
      <c r="AE834" t="s">
        <v>15241</v>
      </c>
      <c r="AF834" t="s">
        <v>74</v>
      </c>
      <c r="AG834">
        <v>20</v>
      </c>
      <c r="AH834">
        <v>9</v>
      </c>
      <c r="AI834">
        <v>9</v>
      </c>
      <c r="AJ834">
        <v>0</v>
      </c>
      <c r="AK834">
        <v>34</v>
      </c>
      <c r="AL834" t="s">
        <v>473</v>
      </c>
      <c r="AM834" t="s">
        <v>474</v>
      </c>
      <c r="AN834" t="s">
        <v>475</v>
      </c>
      <c r="AO834" t="s">
        <v>15242</v>
      </c>
      <c r="AP834" t="s">
        <v>15243</v>
      </c>
      <c r="AQ834" t="s">
        <v>74</v>
      </c>
      <c r="AR834" t="s">
        <v>15244</v>
      </c>
      <c r="AS834" t="s">
        <v>15245</v>
      </c>
      <c r="AT834" t="s">
        <v>15034</v>
      </c>
      <c r="AU834">
        <v>2012</v>
      </c>
      <c r="AV834">
        <v>112</v>
      </c>
      <c r="AW834" t="s">
        <v>74</v>
      </c>
      <c r="AX834" t="s">
        <v>74</v>
      </c>
      <c r="AY834" t="s">
        <v>74</v>
      </c>
      <c r="AZ834" t="s">
        <v>74</v>
      </c>
      <c r="BA834" t="s">
        <v>74</v>
      </c>
      <c r="BB834">
        <v>415</v>
      </c>
      <c r="BC834">
        <v>428</v>
      </c>
      <c r="BD834" t="s">
        <v>74</v>
      </c>
      <c r="BE834" t="s">
        <v>15246</v>
      </c>
      <c r="BF834" t="str">
        <f>HYPERLINK("http://dx.doi.org/10.1016/j.jenvman.2012.08.008","http://dx.doi.org/10.1016/j.jenvman.2012.08.008")</f>
        <v>http://dx.doi.org/10.1016/j.jenvman.2012.08.008</v>
      </c>
      <c r="BG834" t="s">
        <v>74</v>
      </c>
      <c r="BH834" t="s">
        <v>74</v>
      </c>
      <c r="BI834">
        <v>14</v>
      </c>
      <c r="BJ834" t="s">
        <v>454</v>
      </c>
      <c r="BK834" t="s">
        <v>102</v>
      </c>
      <c r="BL834" t="s">
        <v>455</v>
      </c>
      <c r="BM834" t="s">
        <v>15247</v>
      </c>
      <c r="BN834">
        <v>23000478</v>
      </c>
      <c r="BO834" t="s">
        <v>74</v>
      </c>
      <c r="BP834" t="s">
        <v>74</v>
      </c>
      <c r="BQ834" t="s">
        <v>74</v>
      </c>
      <c r="BR834" t="s">
        <v>105</v>
      </c>
      <c r="BS834" t="s">
        <v>15248</v>
      </c>
      <c r="BT834" t="str">
        <f>HYPERLINK("https%3A%2F%2Fwww.webofscience.com%2Fwos%2Fwoscc%2Ffull-record%2FWOS:000311188300043","View Full Record in Web of Science")</f>
        <v>View Full Record in Web of Science</v>
      </c>
    </row>
    <row r="835" spans="1:72" x14ac:dyDescent="0.15">
      <c r="A835" t="s">
        <v>72</v>
      </c>
      <c r="B835" t="s">
        <v>15249</v>
      </c>
      <c r="C835" t="s">
        <v>74</v>
      </c>
      <c r="D835" t="s">
        <v>74</v>
      </c>
      <c r="E835" t="s">
        <v>74</v>
      </c>
      <c r="F835" t="s">
        <v>15250</v>
      </c>
      <c r="G835" t="s">
        <v>74</v>
      </c>
      <c r="H835" t="s">
        <v>74</v>
      </c>
      <c r="I835" t="s">
        <v>15251</v>
      </c>
      <c r="J835" t="s">
        <v>15252</v>
      </c>
      <c r="K835" t="s">
        <v>74</v>
      </c>
      <c r="L835" t="s">
        <v>74</v>
      </c>
      <c r="M835" t="s">
        <v>78</v>
      </c>
      <c r="N835" t="s">
        <v>79</v>
      </c>
      <c r="O835" t="s">
        <v>74</v>
      </c>
      <c r="P835" t="s">
        <v>74</v>
      </c>
      <c r="Q835" t="s">
        <v>74</v>
      </c>
      <c r="R835" t="s">
        <v>74</v>
      </c>
      <c r="S835" t="s">
        <v>74</v>
      </c>
      <c r="T835" t="s">
        <v>74</v>
      </c>
      <c r="U835" t="s">
        <v>15253</v>
      </c>
      <c r="V835" t="s">
        <v>15254</v>
      </c>
      <c r="W835" t="s">
        <v>15255</v>
      </c>
      <c r="X835" t="s">
        <v>15256</v>
      </c>
      <c r="Y835" t="s">
        <v>15257</v>
      </c>
      <c r="Z835" t="s">
        <v>15258</v>
      </c>
      <c r="AA835" t="s">
        <v>15259</v>
      </c>
      <c r="AB835" t="s">
        <v>15260</v>
      </c>
      <c r="AC835" t="s">
        <v>15261</v>
      </c>
      <c r="AD835" t="s">
        <v>15261</v>
      </c>
      <c r="AE835" t="s">
        <v>15262</v>
      </c>
      <c r="AF835" t="s">
        <v>74</v>
      </c>
      <c r="AG835">
        <v>59</v>
      </c>
      <c r="AH835">
        <v>5</v>
      </c>
      <c r="AI835">
        <v>6</v>
      </c>
      <c r="AJ835">
        <v>0</v>
      </c>
      <c r="AK835">
        <v>59</v>
      </c>
      <c r="AL835" t="s">
        <v>257</v>
      </c>
      <c r="AM835" t="s">
        <v>215</v>
      </c>
      <c r="AN835" t="s">
        <v>216</v>
      </c>
      <c r="AO835" t="s">
        <v>15263</v>
      </c>
      <c r="AP835" t="s">
        <v>15264</v>
      </c>
      <c r="AQ835" t="s">
        <v>74</v>
      </c>
      <c r="AR835" t="s">
        <v>15265</v>
      </c>
      <c r="AS835" t="s">
        <v>15266</v>
      </c>
      <c r="AT835" t="s">
        <v>15034</v>
      </c>
      <c r="AU835">
        <v>2012</v>
      </c>
      <c r="AV835">
        <v>26</v>
      </c>
      <c r="AW835">
        <v>23</v>
      </c>
      <c r="AX835" t="s">
        <v>74</v>
      </c>
      <c r="AY835" t="s">
        <v>74</v>
      </c>
      <c r="AZ835" t="s">
        <v>74</v>
      </c>
      <c r="BA835" t="s">
        <v>74</v>
      </c>
      <c r="BB835">
        <v>2657</v>
      </c>
      <c r="BC835">
        <v>2664</v>
      </c>
      <c r="BD835" t="s">
        <v>74</v>
      </c>
      <c r="BE835" t="s">
        <v>15267</v>
      </c>
      <c r="BF835" t="str">
        <f>HYPERLINK("http://dx.doi.org/10.1002/rcm.6389","http://dx.doi.org/10.1002/rcm.6389")</f>
        <v>http://dx.doi.org/10.1002/rcm.6389</v>
      </c>
      <c r="BG835" t="s">
        <v>74</v>
      </c>
      <c r="BH835" t="s">
        <v>74</v>
      </c>
      <c r="BI835">
        <v>8</v>
      </c>
      <c r="BJ835" t="s">
        <v>15268</v>
      </c>
      <c r="BK835" t="s">
        <v>102</v>
      </c>
      <c r="BL835" t="s">
        <v>15269</v>
      </c>
      <c r="BM835" t="s">
        <v>15270</v>
      </c>
      <c r="BN835">
        <v>23124655</v>
      </c>
      <c r="BO835" t="s">
        <v>74</v>
      </c>
      <c r="BP835" t="s">
        <v>74</v>
      </c>
      <c r="BQ835" t="s">
        <v>74</v>
      </c>
      <c r="BR835" t="s">
        <v>105</v>
      </c>
      <c r="BS835" t="s">
        <v>15271</v>
      </c>
      <c r="BT835" t="str">
        <f>HYPERLINK("https%3A%2F%2Fwww.webofscience.com%2Fwos%2Fwoscc%2Ffull-record%2FWOS:000310676700002","View Full Record in Web of Science")</f>
        <v>View Full Record in Web of Science</v>
      </c>
    </row>
    <row r="836" spans="1:72" x14ac:dyDescent="0.15">
      <c r="A836" t="s">
        <v>72</v>
      </c>
      <c r="B836" t="s">
        <v>15272</v>
      </c>
      <c r="C836" t="s">
        <v>74</v>
      </c>
      <c r="D836" t="s">
        <v>74</v>
      </c>
      <c r="E836" t="s">
        <v>74</v>
      </c>
      <c r="F836" t="s">
        <v>15273</v>
      </c>
      <c r="G836" t="s">
        <v>74</v>
      </c>
      <c r="H836" t="s">
        <v>74</v>
      </c>
      <c r="I836" t="s">
        <v>15274</v>
      </c>
      <c r="J836" t="s">
        <v>7619</v>
      </c>
      <c r="K836" t="s">
        <v>74</v>
      </c>
      <c r="L836" t="s">
        <v>74</v>
      </c>
      <c r="M836" t="s">
        <v>78</v>
      </c>
      <c r="N836" t="s">
        <v>79</v>
      </c>
      <c r="O836" t="s">
        <v>74</v>
      </c>
      <c r="P836" t="s">
        <v>74</v>
      </c>
      <c r="Q836" t="s">
        <v>74</v>
      </c>
      <c r="R836" t="s">
        <v>74</v>
      </c>
      <c r="S836" t="s">
        <v>74</v>
      </c>
      <c r="T836" t="s">
        <v>74</v>
      </c>
      <c r="U836" t="s">
        <v>15275</v>
      </c>
      <c r="V836" t="s">
        <v>15276</v>
      </c>
      <c r="W836" t="s">
        <v>15277</v>
      </c>
      <c r="X836" t="s">
        <v>15278</v>
      </c>
      <c r="Y836" t="s">
        <v>15279</v>
      </c>
      <c r="Z836" t="s">
        <v>74</v>
      </c>
      <c r="AA836" t="s">
        <v>15280</v>
      </c>
      <c r="AB836" t="s">
        <v>15281</v>
      </c>
      <c r="AC836" t="s">
        <v>15282</v>
      </c>
      <c r="AD836" t="s">
        <v>15283</v>
      </c>
      <c r="AE836" t="s">
        <v>15284</v>
      </c>
      <c r="AF836" t="s">
        <v>74</v>
      </c>
      <c r="AG836">
        <v>44</v>
      </c>
      <c r="AH836">
        <v>12</v>
      </c>
      <c r="AI836">
        <v>12</v>
      </c>
      <c r="AJ836">
        <v>0</v>
      </c>
      <c r="AK836">
        <v>6</v>
      </c>
      <c r="AL836" t="s">
        <v>2494</v>
      </c>
      <c r="AM836" t="s">
        <v>786</v>
      </c>
      <c r="AN836" t="s">
        <v>2495</v>
      </c>
      <c r="AO836" t="s">
        <v>7631</v>
      </c>
      <c r="AP836" t="s">
        <v>7632</v>
      </c>
      <c r="AQ836" t="s">
        <v>74</v>
      </c>
      <c r="AR836" t="s">
        <v>7633</v>
      </c>
      <c r="AS836" t="s">
        <v>7634</v>
      </c>
      <c r="AT836" t="s">
        <v>15285</v>
      </c>
      <c r="AU836">
        <v>2012</v>
      </c>
      <c r="AV836">
        <v>117</v>
      </c>
      <c r="AW836" t="s">
        <v>74</v>
      </c>
      <c r="AX836" t="s">
        <v>74</v>
      </c>
      <c r="AY836" t="s">
        <v>74</v>
      </c>
      <c r="AZ836" t="s">
        <v>74</v>
      </c>
      <c r="BA836" t="s">
        <v>74</v>
      </c>
      <c r="BB836" t="s">
        <v>74</v>
      </c>
      <c r="BC836" t="s">
        <v>74</v>
      </c>
      <c r="BD836" t="s">
        <v>15286</v>
      </c>
      <c r="BE836" t="s">
        <v>15287</v>
      </c>
      <c r="BF836" t="str">
        <f>HYPERLINK("http://dx.doi.org/10.1029/2012JA017609","http://dx.doi.org/10.1029/2012JA017609")</f>
        <v>http://dx.doi.org/10.1029/2012JA017609</v>
      </c>
      <c r="BG836" t="s">
        <v>74</v>
      </c>
      <c r="BH836" t="s">
        <v>74</v>
      </c>
      <c r="BI836">
        <v>16</v>
      </c>
      <c r="BJ836" t="s">
        <v>153</v>
      </c>
      <c r="BK836" t="s">
        <v>102</v>
      </c>
      <c r="BL836" t="s">
        <v>153</v>
      </c>
      <c r="BM836" t="s">
        <v>15288</v>
      </c>
      <c r="BN836" t="s">
        <v>74</v>
      </c>
      <c r="BO836" t="s">
        <v>15289</v>
      </c>
      <c r="BP836" t="s">
        <v>74</v>
      </c>
      <c r="BQ836" t="s">
        <v>74</v>
      </c>
      <c r="BR836" t="s">
        <v>105</v>
      </c>
      <c r="BS836" t="s">
        <v>15290</v>
      </c>
      <c r="BT836" t="str">
        <f>HYPERLINK("https%3A%2F%2Fwww.webofscience.com%2Fwos%2Fwoscc%2Ffull-record%2FWOS:000312397600001","View Full Record in Web of Science")</f>
        <v>View Full Record in Web of Science</v>
      </c>
    </row>
    <row r="837" spans="1:72" x14ac:dyDescent="0.15">
      <c r="A837" t="s">
        <v>72</v>
      </c>
      <c r="B837" t="s">
        <v>15291</v>
      </c>
      <c r="C837" t="s">
        <v>74</v>
      </c>
      <c r="D837" t="s">
        <v>74</v>
      </c>
      <c r="E837" t="s">
        <v>74</v>
      </c>
      <c r="F837" t="s">
        <v>15292</v>
      </c>
      <c r="G837" t="s">
        <v>74</v>
      </c>
      <c r="H837" t="s">
        <v>74</v>
      </c>
      <c r="I837" t="s">
        <v>15293</v>
      </c>
      <c r="J837" t="s">
        <v>2482</v>
      </c>
      <c r="K837" t="s">
        <v>74</v>
      </c>
      <c r="L837" t="s">
        <v>74</v>
      </c>
      <c r="M837" t="s">
        <v>78</v>
      </c>
      <c r="N837" t="s">
        <v>79</v>
      </c>
      <c r="O837" t="s">
        <v>74</v>
      </c>
      <c r="P837" t="s">
        <v>74</v>
      </c>
      <c r="Q837" t="s">
        <v>74</v>
      </c>
      <c r="R837" t="s">
        <v>74</v>
      </c>
      <c r="S837" t="s">
        <v>74</v>
      </c>
      <c r="T837" t="s">
        <v>74</v>
      </c>
      <c r="U837" t="s">
        <v>15294</v>
      </c>
      <c r="V837" t="s">
        <v>15295</v>
      </c>
      <c r="W837" t="s">
        <v>15296</v>
      </c>
      <c r="X837" t="s">
        <v>15297</v>
      </c>
      <c r="Y837" t="s">
        <v>15298</v>
      </c>
      <c r="Z837" t="s">
        <v>15299</v>
      </c>
      <c r="AA837" t="s">
        <v>15300</v>
      </c>
      <c r="AB837" t="s">
        <v>15301</v>
      </c>
      <c r="AC837" t="s">
        <v>15302</v>
      </c>
      <c r="AD837" t="s">
        <v>15303</v>
      </c>
      <c r="AE837" t="s">
        <v>15304</v>
      </c>
      <c r="AF837" t="s">
        <v>74</v>
      </c>
      <c r="AG837">
        <v>30</v>
      </c>
      <c r="AH837">
        <v>25</v>
      </c>
      <c r="AI837">
        <v>28</v>
      </c>
      <c r="AJ837">
        <v>1</v>
      </c>
      <c r="AK837">
        <v>22</v>
      </c>
      <c r="AL837" t="s">
        <v>2494</v>
      </c>
      <c r="AM837" t="s">
        <v>786</v>
      </c>
      <c r="AN837" t="s">
        <v>2495</v>
      </c>
      <c r="AO837" t="s">
        <v>2496</v>
      </c>
      <c r="AP837" t="s">
        <v>2497</v>
      </c>
      <c r="AQ837" t="s">
        <v>74</v>
      </c>
      <c r="AR837" t="s">
        <v>2498</v>
      </c>
      <c r="AS837" t="s">
        <v>2499</v>
      </c>
      <c r="AT837" t="s">
        <v>15305</v>
      </c>
      <c r="AU837">
        <v>2012</v>
      </c>
      <c r="AV837">
        <v>39</v>
      </c>
      <c r="AW837" t="s">
        <v>74</v>
      </c>
      <c r="AX837" t="s">
        <v>74</v>
      </c>
      <c r="AY837" t="s">
        <v>74</v>
      </c>
      <c r="AZ837" t="s">
        <v>74</v>
      </c>
      <c r="BA837" t="s">
        <v>74</v>
      </c>
      <c r="BB837" t="s">
        <v>74</v>
      </c>
      <c r="BC837" t="s">
        <v>74</v>
      </c>
      <c r="BD837" t="s">
        <v>15306</v>
      </c>
      <c r="BE837" t="s">
        <v>15307</v>
      </c>
      <c r="BF837" t="str">
        <f>HYPERLINK("http://dx.doi.org/10.1029/2012GL053628","http://dx.doi.org/10.1029/2012GL053628")</f>
        <v>http://dx.doi.org/10.1029/2012GL053628</v>
      </c>
      <c r="BG837" t="s">
        <v>74</v>
      </c>
      <c r="BH837" t="s">
        <v>74</v>
      </c>
      <c r="BI837">
        <v>6</v>
      </c>
      <c r="BJ837" t="s">
        <v>1604</v>
      </c>
      <c r="BK837" t="s">
        <v>102</v>
      </c>
      <c r="BL837" t="s">
        <v>1605</v>
      </c>
      <c r="BM837" t="s">
        <v>15308</v>
      </c>
      <c r="BN837" t="s">
        <v>74</v>
      </c>
      <c r="BO837" t="s">
        <v>2097</v>
      </c>
      <c r="BP837" t="s">
        <v>74</v>
      </c>
      <c r="BQ837" t="s">
        <v>74</v>
      </c>
      <c r="BR837" t="s">
        <v>105</v>
      </c>
      <c r="BS837" t="s">
        <v>15309</v>
      </c>
      <c r="BT837" t="str">
        <f>HYPERLINK("https%3A%2F%2Fwww.webofscience.com%2Fwos%2Fwoscc%2Ffull-record%2FWOS:000312390600001","View Full Record in Web of Science")</f>
        <v>View Full Record in Web of Science</v>
      </c>
    </row>
    <row r="838" spans="1:72" x14ac:dyDescent="0.15">
      <c r="A838" t="s">
        <v>72</v>
      </c>
      <c r="B838" t="s">
        <v>15310</v>
      </c>
      <c r="C838" t="s">
        <v>74</v>
      </c>
      <c r="D838" t="s">
        <v>74</v>
      </c>
      <c r="E838" t="s">
        <v>74</v>
      </c>
      <c r="F838" t="s">
        <v>15311</v>
      </c>
      <c r="G838" t="s">
        <v>74</v>
      </c>
      <c r="H838" t="s">
        <v>74</v>
      </c>
      <c r="I838" t="s">
        <v>15312</v>
      </c>
      <c r="J838" t="s">
        <v>2658</v>
      </c>
      <c r="K838" t="s">
        <v>74</v>
      </c>
      <c r="L838" t="s">
        <v>74</v>
      </c>
      <c r="M838" t="s">
        <v>78</v>
      </c>
      <c r="N838" t="s">
        <v>3051</v>
      </c>
      <c r="O838" t="s">
        <v>74</v>
      </c>
      <c r="P838" t="s">
        <v>74</v>
      </c>
      <c r="Q838" t="s">
        <v>74</v>
      </c>
      <c r="R838" t="s">
        <v>74</v>
      </c>
      <c r="S838" t="s">
        <v>74</v>
      </c>
      <c r="T838" t="s">
        <v>74</v>
      </c>
      <c r="U838" t="s">
        <v>74</v>
      </c>
      <c r="V838" t="s">
        <v>74</v>
      </c>
      <c r="W838" t="s">
        <v>15313</v>
      </c>
      <c r="X838" t="s">
        <v>1249</v>
      </c>
      <c r="Y838" t="s">
        <v>15314</v>
      </c>
      <c r="Z838" t="s">
        <v>5479</v>
      </c>
      <c r="AA838" t="s">
        <v>74</v>
      </c>
      <c r="AB838" t="s">
        <v>74</v>
      </c>
      <c r="AC838" t="s">
        <v>1549</v>
      </c>
      <c r="AD838" t="s">
        <v>1550</v>
      </c>
      <c r="AE838" t="s">
        <v>74</v>
      </c>
      <c r="AF838" t="s">
        <v>74</v>
      </c>
      <c r="AG838">
        <v>0</v>
      </c>
      <c r="AH838">
        <v>6</v>
      </c>
      <c r="AI838">
        <v>7</v>
      </c>
      <c r="AJ838">
        <v>0</v>
      </c>
      <c r="AK838">
        <v>14</v>
      </c>
      <c r="AL838" t="s">
        <v>2670</v>
      </c>
      <c r="AM838" t="s">
        <v>474</v>
      </c>
      <c r="AN838" t="s">
        <v>2671</v>
      </c>
      <c r="AO838" t="s">
        <v>2672</v>
      </c>
      <c r="AP838" t="s">
        <v>74</v>
      </c>
      <c r="AQ838" t="s">
        <v>74</v>
      </c>
      <c r="AR838" t="s">
        <v>2658</v>
      </c>
      <c r="AS838" t="s">
        <v>2674</v>
      </c>
      <c r="AT838" t="s">
        <v>15305</v>
      </c>
      <c r="AU838">
        <v>2012</v>
      </c>
      <c r="AV838">
        <v>492</v>
      </c>
      <c r="AW838">
        <v>7428</v>
      </c>
      <c r="AX838" t="s">
        <v>74</v>
      </c>
      <c r="AY838" t="s">
        <v>74</v>
      </c>
      <c r="AZ838" t="s">
        <v>74</v>
      </c>
      <c r="BA838" t="s">
        <v>74</v>
      </c>
      <c r="BB838">
        <v>186</v>
      </c>
      <c r="BC838">
        <v>186</v>
      </c>
      <c r="BD838" t="s">
        <v>74</v>
      </c>
      <c r="BE838" t="s">
        <v>15315</v>
      </c>
      <c r="BF838" t="str">
        <f>HYPERLINK("http://dx.doi.org/10.1038/492186b","http://dx.doi.org/10.1038/492186b")</f>
        <v>http://dx.doi.org/10.1038/492186b</v>
      </c>
      <c r="BG838" t="s">
        <v>74</v>
      </c>
      <c r="BH838" t="s">
        <v>74</v>
      </c>
      <c r="BI838">
        <v>1</v>
      </c>
      <c r="BJ838" t="s">
        <v>328</v>
      </c>
      <c r="BK838" t="s">
        <v>102</v>
      </c>
      <c r="BL838" t="s">
        <v>329</v>
      </c>
      <c r="BM838" t="s">
        <v>15316</v>
      </c>
      <c r="BN838">
        <v>23235865</v>
      </c>
      <c r="BO838" t="s">
        <v>1379</v>
      </c>
      <c r="BP838" t="s">
        <v>74</v>
      </c>
      <c r="BQ838" t="s">
        <v>74</v>
      </c>
      <c r="BR838" t="s">
        <v>105</v>
      </c>
      <c r="BS838" t="s">
        <v>15317</v>
      </c>
      <c r="BT838" t="str">
        <f>HYPERLINK("https%3A%2F%2Fwww.webofscience.com%2Fwos%2Fwoscc%2Ffull-record%2FWOS:000312259300019","View Full Record in Web of Science")</f>
        <v>View Full Record in Web of Science</v>
      </c>
    </row>
    <row r="839" spans="1:72" x14ac:dyDescent="0.15">
      <c r="A839" t="s">
        <v>72</v>
      </c>
      <c r="B839" t="s">
        <v>15318</v>
      </c>
      <c r="C839" t="s">
        <v>74</v>
      </c>
      <c r="D839" t="s">
        <v>74</v>
      </c>
      <c r="E839" t="s">
        <v>74</v>
      </c>
      <c r="F839" t="s">
        <v>15319</v>
      </c>
      <c r="G839" t="s">
        <v>74</v>
      </c>
      <c r="H839" t="s">
        <v>74</v>
      </c>
      <c r="I839" t="s">
        <v>15320</v>
      </c>
      <c r="J839" t="s">
        <v>2658</v>
      </c>
      <c r="K839" t="s">
        <v>74</v>
      </c>
      <c r="L839" t="s">
        <v>74</v>
      </c>
      <c r="M839" t="s">
        <v>78</v>
      </c>
      <c r="N839" t="s">
        <v>79</v>
      </c>
      <c r="O839" t="s">
        <v>74</v>
      </c>
      <c r="P839" t="s">
        <v>74</v>
      </c>
      <c r="Q839" t="s">
        <v>74</v>
      </c>
      <c r="R839" t="s">
        <v>74</v>
      </c>
      <c r="S839" t="s">
        <v>74</v>
      </c>
      <c r="T839" t="s">
        <v>74</v>
      </c>
      <c r="U839" t="s">
        <v>15321</v>
      </c>
      <c r="V839" t="s">
        <v>15322</v>
      </c>
      <c r="W839" t="s">
        <v>15323</v>
      </c>
      <c r="X839" t="s">
        <v>15324</v>
      </c>
      <c r="Y839" t="s">
        <v>15325</v>
      </c>
      <c r="Z839" t="s">
        <v>15326</v>
      </c>
      <c r="AA839" t="s">
        <v>15327</v>
      </c>
      <c r="AB839" t="s">
        <v>15328</v>
      </c>
      <c r="AC839" t="s">
        <v>15329</v>
      </c>
      <c r="AD839" t="s">
        <v>15330</v>
      </c>
      <c r="AE839" t="s">
        <v>15331</v>
      </c>
      <c r="AF839" t="s">
        <v>74</v>
      </c>
      <c r="AG839">
        <v>31</v>
      </c>
      <c r="AH839">
        <v>68</v>
      </c>
      <c r="AI839">
        <v>71</v>
      </c>
      <c r="AJ839">
        <v>3</v>
      </c>
      <c r="AK839">
        <v>138</v>
      </c>
      <c r="AL839" t="s">
        <v>2175</v>
      </c>
      <c r="AM839" t="s">
        <v>2176</v>
      </c>
      <c r="AN839" t="s">
        <v>2177</v>
      </c>
      <c r="AO839" t="s">
        <v>2672</v>
      </c>
      <c r="AP839" t="s">
        <v>2673</v>
      </c>
      <c r="AQ839" t="s">
        <v>74</v>
      </c>
      <c r="AR839" t="s">
        <v>2658</v>
      </c>
      <c r="AS839" t="s">
        <v>2674</v>
      </c>
      <c r="AT839" t="s">
        <v>15305</v>
      </c>
      <c r="AU839">
        <v>2012</v>
      </c>
      <c r="AV839">
        <v>492</v>
      </c>
      <c r="AW839">
        <v>7428</v>
      </c>
      <c r="AX839" t="s">
        <v>74</v>
      </c>
      <c r="AY839" t="s">
        <v>74</v>
      </c>
      <c r="AZ839" t="s">
        <v>74</v>
      </c>
      <c r="BA839" t="s">
        <v>74</v>
      </c>
      <c r="BB839">
        <v>239</v>
      </c>
      <c r="BC839" t="s">
        <v>99</v>
      </c>
      <c r="BD839" t="s">
        <v>74</v>
      </c>
      <c r="BE839" t="s">
        <v>15332</v>
      </c>
      <c r="BF839" t="str">
        <f>HYPERLINK("http://dx.doi.org/10.1038/nature11616","http://dx.doi.org/10.1038/nature11616")</f>
        <v>http://dx.doi.org/10.1038/nature11616</v>
      </c>
      <c r="BG839" t="s">
        <v>74</v>
      </c>
      <c r="BH839" t="s">
        <v>74</v>
      </c>
      <c r="BI839">
        <v>5</v>
      </c>
      <c r="BJ839" t="s">
        <v>328</v>
      </c>
      <c r="BK839" t="s">
        <v>102</v>
      </c>
      <c r="BL839" t="s">
        <v>329</v>
      </c>
      <c r="BM839" t="s">
        <v>15316</v>
      </c>
      <c r="BN839">
        <v>23235878</v>
      </c>
      <c r="BO839" t="s">
        <v>74</v>
      </c>
      <c r="BP839" t="s">
        <v>74</v>
      </c>
      <c r="BQ839" t="s">
        <v>74</v>
      </c>
      <c r="BR839" t="s">
        <v>105</v>
      </c>
      <c r="BS839" t="s">
        <v>15333</v>
      </c>
      <c r="BT839" t="str">
        <f>HYPERLINK("https%3A%2F%2Fwww.webofscience.com%2Fwos%2Fwoscc%2Ffull-record%2FWOS:000312259300039","View Full Record in Web of Science")</f>
        <v>View Full Record in Web of Science</v>
      </c>
    </row>
    <row r="840" spans="1:72" x14ac:dyDescent="0.15">
      <c r="A840" t="s">
        <v>72</v>
      </c>
      <c r="B840" t="s">
        <v>15334</v>
      </c>
      <c r="C840" t="s">
        <v>74</v>
      </c>
      <c r="D840" t="s">
        <v>74</v>
      </c>
      <c r="E840" t="s">
        <v>74</v>
      </c>
      <c r="F840" t="s">
        <v>15335</v>
      </c>
      <c r="G840" t="s">
        <v>74</v>
      </c>
      <c r="H840" t="s">
        <v>74</v>
      </c>
      <c r="I840" t="s">
        <v>15336</v>
      </c>
      <c r="J840" t="s">
        <v>3029</v>
      </c>
      <c r="K840" t="s">
        <v>74</v>
      </c>
      <c r="L840" t="s">
        <v>74</v>
      </c>
      <c r="M840" t="s">
        <v>78</v>
      </c>
      <c r="N840" t="s">
        <v>79</v>
      </c>
      <c r="O840" t="s">
        <v>74</v>
      </c>
      <c r="P840" t="s">
        <v>74</v>
      </c>
      <c r="Q840" t="s">
        <v>74</v>
      </c>
      <c r="R840" t="s">
        <v>74</v>
      </c>
      <c r="S840" t="s">
        <v>74</v>
      </c>
      <c r="T840" t="s">
        <v>15337</v>
      </c>
      <c r="U840" t="s">
        <v>15338</v>
      </c>
      <c r="V840" t="s">
        <v>15339</v>
      </c>
      <c r="W840" t="s">
        <v>11877</v>
      </c>
      <c r="X840" t="s">
        <v>1249</v>
      </c>
      <c r="Y840" t="s">
        <v>15340</v>
      </c>
      <c r="Z840" t="s">
        <v>15341</v>
      </c>
      <c r="AA840" t="s">
        <v>74</v>
      </c>
      <c r="AB840" t="s">
        <v>15342</v>
      </c>
      <c r="AC840" t="s">
        <v>15343</v>
      </c>
      <c r="AD840" t="s">
        <v>1550</v>
      </c>
      <c r="AE840" t="s">
        <v>74</v>
      </c>
      <c r="AF840" t="s">
        <v>74</v>
      </c>
      <c r="AG840">
        <v>149</v>
      </c>
      <c r="AH840">
        <v>5</v>
      </c>
      <c r="AI840">
        <v>5</v>
      </c>
      <c r="AJ840">
        <v>0</v>
      </c>
      <c r="AK840">
        <v>39</v>
      </c>
      <c r="AL840" t="s">
        <v>3038</v>
      </c>
      <c r="AM840" t="s">
        <v>474</v>
      </c>
      <c r="AN840" t="s">
        <v>3039</v>
      </c>
      <c r="AO840" t="s">
        <v>3040</v>
      </c>
      <c r="AP840" t="s">
        <v>3041</v>
      </c>
      <c r="AQ840" t="s">
        <v>74</v>
      </c>
      <c r="AR840" t="s">
        <v>3042</v>
      </c>
      <c r="AS840" t="s">
        <v>3043</v>
      </c>
      <c r="AT840" t="s">
        <v>15305</v>
      </c>
      <c r="AU840">
        <v>2012</v>
      </c>
      <c r="AV840">
        <v>370</v>
      </c>
      <c r="AW840">
        <v>1980</v>
      </c>
      <c r="AX840" t="s">
        <v>74</v>
      </c>
      <c r="AY840" t="s">
        <v>74</v>
      </c>
      <c r="AZ840" t="s">
        <v>221</v>
      </c>
      <c r="BA840" t="s">
        <v>74</v>
      </c>
      <c r="BB840">
        <v>5656</v>
      </c>
      <c r="BC840">
        <v>5681</v>
      </c>
      <c r="BD840" t="s">
        <v>74</v>
      </c>
      <c r="BE840" t="s">
        <v>15344</v>
      </c>
      <c r="BF840" t="str">
        <f>HYPERLINK("http://dx.doi.org/10.1098/rsta.2012.0402","http://dx.doi.org/10.1098/rsta.2012.0402")</f>
        <v>http://dx.doi.org/10.1098/rsta.2012.0402</v>
      </c>
      <c r="BG840" t="s">
        <v>74</v>
      </c>
      <c r="BH840" t="s">
        <v>74</v>
      </c>
      <c r="BI840">
        <v>26</v>
      </c>
      <c r="BJ840" t="s">
        <v>328</v>
      </c>
      <c r="BK840" t="s">
        <v>102</v>
      </c>
      <c r="BL840" t="s">
        <v>329</v>
      </c>
      <c r="BM840" t="s">
        <v>15345</v>
      </c>
      <c r="BN840">
        <v>23129716</v>
      </c>
      <c r="BO840" t="s">
        <v>128</v>
      </c>
      <c r="BP840" t="s">
        <v>74</v>
      </c>
      <c r="BQ840" t="s">
        <v>74</v>
      </c>
      <c r="BR840" t="s">
        <v>105</v>
      </c>
      <c r="BS840" t="s">
        <v>15346</v>
      </c>
      <c r="BT840" t="str">
        <f>HYPERLINK("https%3A%2F%2Fwww.webofscience.com%2Fwos%2Fwoscc%2Ffull-record%2FWOS:000310697500010","View Full Record in Web of Science")</f>
        <v>View Full Record in Web of Science</v>
      </c>
    </row>
    <row r="841" spans="1:72" x14ac:dyDescent="0.15">
      <c r="A841" t="s">
        <v>72</v>
      </c>
      <c r="B841" t="s">
        <v>15347</v>
      </c>
      <c r="C841" t="s">
        <v>74</v>
      </c>
      <c r="D841" t="s">
        <v>74</v>
      </c>
      <c r="E841" t="s">
        <v>74</v>
      </c>
      <c r="F841" t="s">
        <v>15348</v>
      </c>
      <c r="G841" t="s">
        <v>74</v>
      </c>
      <c r="H841" t="s">
        <v>74</v>
      </c>
      <c r="I841" t="s">
        <v>15349</v>
      </c>
      <c r="J841" t="s">
        <v>3029</v>
      </c>
      <c r="K841" t="s">
        <v>74</v>
      </c>
      <c r="L841" t="s">
        <v>74</v>
      </c>
      <c r="M841" t="s">
        <v>78</v>
      </c>
      <c r="N841" t="s">
        <v>79</v>
      </c>
      <c r="O841" t="s">
        <v>74</v>
      </c>
      <c r="P841" t="s">
        <v>74</v>
      </c>
      <c r="Q841" t="s">
        <v>74</v>
      </c>
      <c r="R841" t="s">
        <v>74</v>
      </c>
      <c r="S841" t="s">
        <v>74</v>
      </c>
      <c r="T841" t="s">
        <v>15350</v>
      </c>
      <c r="U841" t="s">
        <v>15351</v>
      </c>
      <c r="V841" t="s">
        <v>15352</v>
      </c>
      <c r="W841" t="s">
        <v>15353</v>
      </c>
      <c r="X841" t="s">
        <v>15354</v>
      </c>
      <c r="Y841" t="s">
        <v>13209</v>
      </c>
      <c r="Z841" t="s">
        <v>13210</v>
      </c>
      <c r="AA841" t="s">
        <v>74</v>
      </c>
      <c r="AB841" t="s">
        <v>74</v>
      </c>
      <c r="AC841" t="s">
        <v>74</v>
      </c>
      <c r="AD841" t="s">
        <v>74</v>
      </c>
      <c r="AE841" t="s">
        <v>74</v>
      </c>
      <c r="AF841" t="s">
        <v>74</v>
      </c>
      <c r="AG841">
        <v>124</v>
      </c>
      <c r="AH841">
        <v>17</v>
      </c>
      <c r="AI841">
        <v>18</v>
      </c>
      <c r="AJ841">
        <v>2</v>
      </c>
      <c r="AK841">
        <v>43</v>
      </c>
      <c r="AL841" t="s">
        <v>3038</v>
      </c>
      <c r="AM841" t="s">
        <v>474</v>
      </c>
      <c r="AN841" t="s">
        <v>3039</v>
      </c>
      <c r="AO841" t="s">
        <v>3040</v>
      </c>
      <c r="AP841" t="s">
        <v>3041</v>
      </c>
      <c r="AQ841" t="s">
        <v>74</v>
      </c>
      <c r="AR841" t="s">
        <v>3042</v>
      </c>
      <c r="AS841" t="s">
        <v>3043</v>
      </c>
      <c r="AT841" t="s">
        <v>15305</v>
      </c>
      <c r="AU841">
        <v>2012</v>
      </c>
      <c r="AV841">
        <v>370</v>
      </c>
      <c r="AW841">
        <v>1980</v>
      </c>
      <c r="AX841" t="s">
        <v>74</v>
      </c>
      <c r="AY841" t="s">
        <v>74</v>
      </c>
      <c r="AZ841" t="s">
        <v>221</v>
      </c>
      <c r="BA841" t="s">
        <v>74</v>
      </c>
      <c r="BB841">
        <v>5512</v>
      </c>
      <c r="BC841">
        <v>5539</v>
      </c>
      <c r="BD841" t="s">
        <v>74</v>
      </c>
      <c r="BE841" t="s">
        <v>15355</v>
      </c>
      <c r="BF841" t="str">
        <f>HYPERLINK("http://dx.doi.org/10.1098/rsta.2012.0398","http://dx.doi.org/10.1098/rsta.2012.0398")</f>
        <v>http://dx.doi.org/10.1098/rsta.2012.0398</v>
      </c>
      <c r="BG841" t="s">
        <v>74</v>
      </c>
      <c r="BH841" t="s">
        <v>74</v>
      </c>
      <c r="BI841">
        <v>28</v>
      </c>
      <c r="BJ841" t="s">
        <v>328</v>
      </c>
      <c r="BK841" t="s">
        <v>102</v>
      </c>
      <c r="BL841" t="s">
        <v>329</v>
      </c>
      <c r="BM841" t="s">
        <v>15345</v>
      </c>
      <c r="BN841">
        <v>23129711</v>
      </c>
      <c r="BO841" t="s">
        <v>128</v>
      </c>
      <c r="BP841" t="s">
        <v>74</v>
      </c>
      <c r="BQ841" t="s">
        <v>74</v>
      </c>
      <c r="BR841" t="s">
        <v>105</v>
      </c>
      <c r="BS841" t="s">
        <v>15356</v>
      </c>
      <c r="BT841" t="str">
        <f>HYPERLINK("https%3A%2F%2Fwww.webofscience.com%2Fwos%2Fwoscc%2Ffull-record%2FWOS:000310697500005","View Full Record in Web of Science")</f>
        <v>View Full Record in Web of Science</v>
      </c>
    </row>
    <row r="842" spans="1:72" x14ac:dyDescent="0.15">
      <c r="A842" t="s">
        <v>72</v>
      </c>
      <c r="B842" t="s">
        <v>15357</v>
      </c>
      <c r="C842" t="s">
        <v>74</v>
      </c>
      <c r="D842" t="s">
        <v>74</v>
      </c>
      <c r="E842" t="s">
        <v>74</v>
      </c>
      <c r="F842" t="s">
        <v>15358</v>
      </c>
      <c r="G842" t="s">
        <v>74</v>
      </c>
      <c r="H842" t="s">
        <v>74</v>
      </c>
      <c r="I842" t="s">
        <v>15359</v>
      </c>
      <c r="J842" t="s">
        <v>2341</v>
      </c>
      <c r="K842" t="s">
        <v>74</v>
      </c>
      <c r="L842" t="s">
        <v>74</v>
      </c>
      <c r="M842" t="s">
        <v>78</v>
      </c>
      <c r="N842" t="s">
        <v>79</v>
      </c>
      <c r="O842" t="s">
        <v>74</v>
      </c>
      <c r="P842" t="s">
        <v>74</v>
      </c>
      <c r="Q842" t="s">
        <v>74</v>
      </c>
      <c r="R842" t="s">
        <v>74</v>
      </c>
      <c r="S842" t="s">
        <v>74</v>
      </c>
      <c r="T842" t="s">
        <v>74</v>
      </c>
      <c r="U842" t="s">
        <v>15360</v>
      </c>
      <c r="V842" t="s">
        <v>15361</v>
      </c>
      <c r="W842" t="s">
        <v>15362</v>
      </c>
      <c r="X842" t="s">
        <v>15363</v>
      </c>
      <c r="Y842" t="s">
        <v>15364</v>
      </c>
      <c r="Z842" t="s">
        <v>15365</v>
      </c>
      <c r="AA842" t="s">
        <v>15366</v>
      </c>
      <c r="AB842" t="s">
        <v>15367</v>
      </c>
      <c r="AC842" t="s">
        <v>15368</v>
      </c>
      <c r="AD842" t="s">
        <v>15369</v>
      </c>
      <c r="AE842" t="s">
        <v>15370</v>
      </c>
      <c r="AF842" t="s">
        <v>74</v>
      </c>
      <c r="AG842">
        <v>52</v>
      </c>
      <c r="AH842">
        <v>9</v>
      </c>
      <c r="AI842">
        <v>9</v>
      </c>
      <c r="AJ842">
        <v>1</v>
      </c>
      <c r="AK842">
        <v>66</v>
      </c>
      <c r="AL842" t="s">
        <v>2350</v>
      </c>
      <c r="AM842" t="s">
        <v>2351</v>
      </c>
      <c r="AN842" t="s">
        <v>2352</v>
      </c>
      <c r="AO842" t="s">
        <v>2353</v>
      </c>
      <c r="AP842" t="s">
        <v>74</v>
      </c>
      <c r="AQ842" t="s">
        <v>74</v>
      </c>
      <c r="AR842" t="s">
        <v>2341</v>
      </c>
      <c r="AS842" t="s">
        <v>2354</v>
      </c>
      <c r="AT842" t="s">
        <v>15371</v>
      </c>
      <c r="AU842">
        <v>2012</v>
      </c>
      <c r="AV842">
        <v>7</v>
      </c>
      <c r="AW842">
        <v>12</v>
      </c>
      <c r="AX842" t="s">
        <v>74</v>
      </c>
      <c r="AY842" t="s">
        <v>74</v>
      </c>
      <c r="AZ842" t="s">
        <v>74</v>
      </c>
      <c r="BA842" t="s">
        <v>74</v>
      </c>
      <c r="BB842" t="s">
        <v>74</v>
      </c>
      <c r="BC842" t="s">
        <v>74</v>
      </c>
      <c r="BD842" t="s">
        <v>15372</v>
      </c>
      <c r="BE842" t="s">
        <v>15373</v>
      </c>
      <c r="BF842" t="str">
        <f>HYPERLINK("http://dx.doi.org/10.1371/journal.pone.0046554","http://dx.doi.org/10.1371/journal.pone.0046554")</f>
        <v>http://dx.doi.org/10.1371/journal.pone.0046554</v>
      </c>
      <c r="BG842" t="s">
        <v>74</v>
      </c>
      <c r="BH842" t="s">
        <v>74</v>
      </c>
      <c r="BI842">
        <v>9</v>
      </c>
      <c r="BJ842" t="s">
        <v>328</v>
      </c>
      <c r="BK842" t="s">
        <v>102</v>
      </c>
      <c r="BL842" t="s">
        <v>329</v>
      </c>
      <c r="BM842" t="s">
        <v>15374</v>
      </c>
      <c r="BN842">
        <v>23251326</v>
      </c>
      <c r="BO842" t="s">
        <v>5344</v>
      </c>
      <c r="BP842" t="s">
        <v>74</v>
      </c>
      <c r="BQ842" t="s">
        <v>74</v>
      </c>
      <c r="BR842" t="s">
        <v>105</v>
      </c>
      <c r="BS842" t="s">
        <v>15375</v>
      </c>
      <c r="BT842" t="str">
        <f>HYPERLINK("https%3A%2F%2Fwww.webofscience.com%2Fwos%2Fwoscc%2Ffull-record%2FWOS:000313236200001","View Full Record in Web of Science")</f>
        <v>View Full Record in Web of Science</v>
      </c>
    </row>
    <row r="843" spans="1:72" x14ac:dyDescent="0.15">
      <c r="A843" t="s">
        <v>72</v>
      </c>
      <c r="B843" t="s">
        <v>15376</v>
      </c>
      <c r="C843" t="s">
        <v>74</v>
      </c>
      <c r="D843" t="s">
        <v>74</v>
      </c>
      <c r="E843" t="s">
        <v>74</v>
      </c>
      <c r="F843" t="s">
        <v>15377</v>
      </c>
      <c r="G843" t="s">
        <v>74</v>
      </c>
      <c r="H843" t="s">
        <v>74</v>
      </c>
      <c r="I843" t="s">
        <v>15378</v>
      </c>
      <c r="J843" t="s">
        <v>7619</v>
      </c>
      <c r="K843" t="s">
        <v>74</v>
      </c>
      <c r="L843" t="s">
        <v>74</v>
      </c>
      <c r="M843" t="s">
        <v>78</v>
      </c>
      <c r="N843" t="s">
        <v>79</v>
      </c>
      <c r="O843" t="s">
        <v>74</v>
      </c>
      <c r="P843" t="s">
        <v>74</v>
      </c>
      <c r="Q843" t="s">
        <v>74</v>
      </c>
      <c r="R843" t="s">
        <v>74</v>
      </c>
      <c r="S843" t="s">
        <v>74</v>
      </c>
      <c r="T843" t="s">
        <v>74</v>
      </c>
      <c r="U843" t="s">
        <v>15379</v>
      </c>
      <c r="V843" t="s">
        <v>15380</v>
      </c>
      <c r="W843" t="s">
        <v>15381</v>
      </c>
      <c r="X843" t="s">
        <v>15382</v>
      </c>
      <c r="Y843" t="s">
        <v>15383</v>
      </c>
      <c r="Z843" t="s">
        <v>15384</v>
      </c>
      <c r="AA843" t="s">
        <v>15385</v>
      </c>
      <c r="AB843" t="s">
        <v>15386</v>
      </c>
      <c r="AC843" t="s">
        <v>15387</v>
      </c>
      <c r="AD843" t="s">
        <v>15388</v>
      </c>
      <c r="AE843" t="s">
        <v>15389</v>
      </c>
      <c r="AF843" t="s">
        <v>74</v>
      </c>
      <c r="AG843">
        <v>93</v>
      </c>
      <c r="AH843">
        <v>53</v>
      </c>
      <c r="AI843">
        <v>55</v>
      </c>
      <c r="AJ843">
        <v>0</v>
      </c>
      <c r="AK843">
        <v>20</v>
      </c>
      <c r="AL843" t="s">
        <v>2494</v>
      </c>
      <c r="AM843" t="s">
        <v>786</v>
      </c>
      <c r="AN843" t="s">
        <v>2495</v>
      </c>
      <c r="AO843" t="s">
        <v>7631</v>
      </c>
      <c r="AP843" t="s">
        <v>7632</v>
      </c>
      <c r="AQ843" t="s">
        <v>74</v>
      </c>
      <c r="AR843" t="s">
        <v>7633</v>
      </c>
      <c r="AS843" t="s">
        <v>7634</v>
      </c>
      <c r="AT843" t="s">
        <v>15371</v>
      </c>
      <c r="AU843">
        <v>2012</v>
      </c>
      <c r="AV843">
        <v>117</v>
      </c>
      <c r="AW843" t="s">
        <v>74</v>
      </c>
      <c r="AX843" t="s">
        <v>74</v>
      </c>
      <c r="AY843" t="s">
        <v>74</v>
      </c>
      <c r="AZ843" t="s">
        <v>74</v>
      </c>
      <c r="BA843" t="s">
        <v>74</v>
      </c>
      <c r="BB843" t="s">
        <v>74</v>
      </c>
      <c r="BC843" t="s">
        <v>74</v>
      </c>
      <c r="BD843" t="s">
        <v>15390</v>
      </c>
      <c r="BE843" t="s">
        <v>15391</v>
      </c>
      <c r="BF843" t="str">
        <f>HYPERLINK("http://dx.doi.org/10.1029/2012JA018187","http://dx.doi.org/10.1029/2012JA018187")</f>
        <v>http://dx.doi.org/10.1029/2012JA018187</v>
      </c>
      <c r="BG843" t="s">
        <v>74</v>
      </c>
      <c r="BH843" t="s">
        <v>74</v>
      </c>
      <c r="BI843">
        <v>17</v>
      </c>
      <c r="BJ843" t="s">
        <v>153</v>
      </c>
      <c r="BK843" t="s">
        <v>102</v>
      </c>
      <c r="BL843" t="s">
        <v>153</v>
      </c>
      <c r="BM843" t="s">
        <v>15392</v>
      </c>
      <c r="BN843" t="s">
        <v>74</v>
      </c>
      <c r="BO843" t="s">
        <v>1207</v>
      </c>
      <c r="BP843" t="s">
        <v>74</v>
      </c>
      <c r="BQ843" t="s">
        <v>74</v>
      </c>
      <c r="BR843" t="s">
        <v>105</v>
      </c>
      <c r="BS843" t="s">
        <v>15393</v>
      </c>
      <c r="BT843" t="str">
        <f>HYPERLINK("https%3A%2F%2Fwww.webofscience.com%2Fwos%2Fwoscc%2Ffull-record%2FWOS:000312397300004","View Full Record in Web of Science")</f>
        <v>View Full Record in Web of Science</v>
      </c>
    </row>
    <row r="844" spans="1:72" x14ac:dyDescent="0.15">
      <c r="A844" t="s">
        <v>72</v>
      </c>
      <c r="B844" t="s">
        <v>15394</v>
      </c>
      <c r="C844" t="s">
        <v>74</v>
      </c>
      <c r="D844" t="s">
        <v>74</v>
      </c>
      <c r="E844" t="s">
        <v>74</v>
      </c>
      <c r="F844" t="s">
        <v>15395</v>
      </c>
      <c r="G844" t="s">
        <v>74</v>
      </c>
      <c r="H844" t="s">
        <v>74</v>
      </c>
      <c r="I844" t="s">
        <v>15396</v>
      </c>
      <c r="J844" t="s">
        <v>2457</v>
      </c>
      <c r="K844" t="s">
        <v>74</v>
      </c>
      <c r="L844" t="s">
        <v>74</v>
      </c>
      <c r="M844" t="s">
        <v>78</v>
      </c>
      <c r="N844" t="s">
        <v>79</v>
      </c>
      <c r="O844" t="s">
        <v>74</v>
      </c>
      <c r="P844" t="s">
        <v>74</v>
      </c>
      <c r="Q844" t="s">
        <v>74</v>
      </c>
      <c r="R844" t="s">
        <v>74</v>
      </c>
      <c r="S844" t="s">
        <v>74</v>
      </c>
      <c r="T844" t="s">
        <v>15397</v>
      </c>
      <c r="U844" t="s">
        <v>15398</v>
      </c>
      <c r="V844" t="s">
        <v>15399</v>
      </c>
      <c r="W844" t="s">
        <v>15400</v>
      </c>
      <c r="X844" t="s">
        <v>15401</v>
      </c>
      <c r="Y844" t="s">
        <v>15402</v>
      </c>
      <c r="Z844" t="s">
        <v>15403</v>
      </c>
      <c r="AA844" t="s">
        <v>15404</v>
      </c>
      <c r="AB844" t="s">
        <v>15405</v>
      </c>
      <c r="AC844" t="s">
        <v>15406</v>
      </c>
      <c r="AD844" t="s">
        <v>15407</v>
      </c>
      <c r="AE844" t="s">
        <v>15408</v>
      </c>
      <c r="AF844" t="s">
        <v>74</v>
      </c>
      <c r="AG844">
        <v>44</v>
      </c>
      <c r="AH844">
        <v>123</v>
      </c>
      <c r="AI844">
        <v>145</v>
      </c>
      <c r="AJ844">
        <v>4</v>
      </c>
      <c r="AK844">
        <v>231</v>
      </c>
      <c r="AL844" t="s">
        <v>2470</v>
      </c>
      <c r="AM844" t="s">
        <v>786</v>
      </c>
      <c r="AN844" t="s">
        <v>2471</v>
      </c>
      <c r="AO844" t="s">
        <v>2472</v>
      </c>
      <c r="AP844" t="s">
        <v>74</v>
      </c>
      <c r="AQ844" t="s">
        <v>74</v>
      </c>
      <c r="AR844" t="s">
        <v>2473</v>
      </c>
      <c r="AS844" t="s">
        <v>2474</v>
      </c>
      <c r="AT844" t="s">
        <v>15409</v>
      </c>
      <c r="AU844">
        <v>2012</v>
      </c>
      <c r="AV844">
        <v>109</v>
      </c>
      <c r="AW844">
        <v>50</v>
      </c>
      <c r="AX844" t="s">
        <v>74</v>
      </c>
      <c r="AY844" t="s">
        <v>74</v>
      </c>
      <c r="AZ844" t="s">
        <v>74</v>
      </c>
      <c r="BA844" t="s">
        <v>74</v>
      </c>
      <c r="BB844">
        <v>20626</v>
      </c>
      <c r="BC844">
        <v>20631</v>
      </c>
      <c r="BD844" t="s">
        <v>74</v>
      </c>
      <c r="BE844" t="s">
        <v>15410</v>
      </c>
      <c r="BF844" t="str">
        <f>HYPERLINK("http://dx.doi.org/10.1073/pnas.1208607109","http://dx.doi.org/10.1073/pnas.1208607109")</f>
        <v>http://dx.doi.org/10.1073/pnas.1208607109</v>
      </c>
      <c r="BG844" t="s">
        <v>74</v>
      </c>
      <c r="BH844" t="s">
        <v>74</v>
      </c>
      <c r="BI844">
        <v>6</v>
      </c>
      <c r="BJ844" t="s">
        <v>328</v>
      </c>
      <c r="BK844" t="s">
        <v>102</v>
      </c>
      <c r="BL844" t="s">
        <v>329</v>
      </c>
      <c r="BM844" t="s">
        <v>15411</v>
      </c>
      <c r="BN844">
        <v>23185006</v>
      </c>
      <c r="BO844" t="s">
        <v>15412</v>
      </c>
      <c r="BP844" t="s">
        <v>74</v>
      </c>
      <c r="BQ844" t="s">
        <v>74</v>
      </c>
      <c r="BR844" t="s">
        <v>105</v>
      </c>
      <c r="BS844" t="s">
        <v>15413</v>
      </c>
      <c r="BT844" t="str">
        <f>HYPERLINK("https%3A%2F%2Fwww.webofscience.com%2Fwos%2Fwoscc%2Ffull-record%2FWOS:000312605600097","View Full Record in Web of Science")</f>
        <v>View Full Record in Web of Science</v>
      </c>
    </row>
    <row r="845" spans="1:72" x14ac:dyDescent="0.15">
      <c r="A845" t="s">
        <v>72</v>
      </c>
      <c r="B845" t="s">
        <v>15414</v>
      </c>
      <c r="C845" t="s">
        <v>74</v>
      </c>
      <c r="D845" t="s">
        <v>74</v>
      </c>
      <c r="E845" t="s">
        <v>74</v>
      </c>
      <c r="F845" t="s">
        <v>15415</v>
      </c>
      <c r="G845" t="s">
        <v>74</v>
      </c>
      <c r="H845" t="s">
        <v>74</v>
      </c>
      <c r="I845" t="s">
        <v>15416</v>
      </c>
      <c r="J845" t="s">
        <v>15417</v>
      </c>
      <c r="K845" t="s">
        <v>74</v>
      </c>
      <c r="L845" t="s">
        <v>74</v>
      </c>
      <c r="M845" t="s">
        <v>78</v>
      </c>
      <c r="N845" t="s">
        <v>79</v>
      </c>
      <c r="O845" t="s">
        <v>74</v>
      </c>
      <c r="P845" t="s">
        <v>74</v>
      </c>
      <c r="Q845" t="s">
        <v>74</v>
      </c>
      <c r="R845" t="s">
        <v>74</v>
      </c>
      <c r="S845" t="s">
        <v>74</v>
      </c>
      <c r="T845" t="s">
        <v>15418</v>
      </c>
      <c r="U845" t="s">
        <v>15419</v>
      </c>
      <c r="V845" t="s">
        <v>15420</v>
      </c>
      <c r="W845" t="s">
        <v>15421</v>
      </c>
      <c r="X845" t="s">
        <v>946</v>
      </c>
      <c r="Y845" t="s">
        <v>15422</v>
      </c>
      <c r="Z845" t="s">
        <v>15423</v>
      </c>
      <c r="AA845" t="s">
        <v>15424</v>
      </c>
      <c r="AB845" t="s">
        <v>15425</v>
      </c>
      <c r="AC845" t="s">
        <v>74</v>
      </c>
      <c r="AD845" t="s">
        <v>74</v>
      </c>
      <c r="AE845" t="s">
        <v>74</v>
      </c>
      <c r="AF845" t="s">
        <v>74</v>
      </c>
      <c r="AG845">
        <v>42</v>
      </c>
      <c r="AH845">
        <v>18</v>
      </c>
      <c r="AI845">
        <v>19</v>
      </c>
      <c r="AJ845">
        <v>0</v>
      </c>
      <c r="AK845">
        <v>17</v>
      </c>
      <c r="AL845" t="s">
        <v>586</v>
      </c>
      <c r="AM845" t="s">
        <v>542</v>
      </c>
      <c r="AN845" t="s">
        <v>587</v>
      </c>
      <c r="AO845" t="s">
        <v>15426</v>
      </c>
      <c r="AP845" t="s">
        <v>15427</v>
      </c>
      <c r="AQ845" t="s">
        <v>74</v>
      </c>
      <c r="AR845" t="s">
        <v>15417</v>
      </c>
      <c r="AS845" t="s">
        <v>15428</v>
      </c>
      <c r="AT845" t="s">
        <v>15409</v>
      </c>
      <c r="AU845">
        <v>2012</v>
      </c>
      <c r="AV845">
        <v>370</v>
      </c>
      <c r="AW845" t="s">
        <v>74</v>
      </c>
      <c r="AX845" t="s">
        <v>74</v>
      </c>
      <c r="AY845" t="s">
        <v>74</v>
      </c>
      <c r="AZ845" t="s">
        <v>74</v>
      </c>
      <c r="BA845" t="s">
        <v>74</v>
      </c>
      <c r="BB845">
        <v>68</v>
      </c>
      <c r="BC845">
        <v>75</v>
      </c>
      <c r="BD845" t="s">
        <v>74</v>
      </c>
      <c r="BE845" t="s">
        <v>15429</v>
      </c>
      <c r="BF845" t="str">
        <f>HYPERLINK("http://dx.doi.org/10.1016/j.aquaculture.2012.10.003","http://dx.doi.org/10.1016/j.aquaculture.2012.10.003")</f>
        <v>http://dx.doi.org/10.1016/j.aquaculture.2012.10.003</v>
      </c>
      <c r="BG845" t="s">
        <v>74</v>
      </c>
      <c r="BH845" t="s">
        <v>74</v>
      </c>
      <c r="BI845">
        <v>8</v>
      </c>
      <c r="BJ845" t="s">
        <v>5902</v>
      </c>
      <c r="BK845" t="s">
        <v>102</v>
      </c>
      <c r="BL845" t="s">
        <v>5902</v>
      </c>
      <c r="BM845" t="s">
        <v>15430</v>
      </c>
      <c r="BN845" t="s">
        <v>74</v>
      </c>
      <c r="BO845" t="s">
        <v>74</v>
      </c>
      <c r="BP845" t="s">
        <v>74</v>
      </c>
      <c r="BQ845" t="s">
        <v>74</v>
      </c>
      <c r="BR845" t="s">
        <v>105</v>
      </c>
      <c r="BS845" t="s">
        <v>15431</v>
      </c>
      <c r="BT845" t="str">
        <f>HYPERLINK("https%3A%2F%2Fwww.webofscience.com%2Fwos%2Fwoscc%2Ffull-record%2FWOS:000311215700010","View Full Record in Web of Science")</f>
        <v>View Full Record in Web of Science</v>
      </c>
    </row>
    <row r="846" spans="1:72" x14ac:dyDescent="0.15">
      <c r="A846" t="s">
        <v>72</v>
      </c>
      <c r="B846" t="s">
        <v>15432</v>
      </c>
      <c r="C846" t="s">
        <v>74</v>
      </c>
      <c r="D846" t="s">
        <v>74</v>
      </c>
      <c r="E846" t="s">
        <v>74</v>
      </c>
      <c r="F846" t="s">
        <v>15433</v>
      </c>
      <c r="G846" t="s">
        <v>74</v>
      </c>
      <c r="H846" t="s">
        <v>74</v>
      </c>
      <c r="I846" t="s">
        <v>15434</v>
      </c>
      <c r="J846" t="s">
        <v>2482</v>
      </c>
      <c r="K846" t="s">
        <v>74</v>
      </c>
      <c r="L846" t="s">
        <v>74</v>
      </c>
      <c r="M846" t="s">
        <v>78</v>
      </c>
      <c r="N846" t="s">
        <v>79</v>
      </c>
      <c r="O846" t="s">
        <v>74</v>
      </c>
      <c r="P846" t="s">
        <v>74</v>
      </c>
      <c r="Q846" t="s">
        <v>74</v>
      </c>
      <c r="R846" t="s">
        <v>74</v>
      </c>
      <c r="S846" t="s">
        <v>74</v>
      </c>
      <c r="T846" t="s">
        <v>74</v>
      </c>
      <c r="U846" t="s">
        <v>15435</v>
      </c>
      <c r="V846" t="s">
        <v>15436</v>
      </c>
      <c r="W846" t="s">
        <v>15437</v>
      </c>
      <c r="X846" t="s">
        <v>1249</v>
      </c>
      <c r="Y846" t="s">
        <v>15438</v>
      </c>
      <c r="Z846" t="s">
        <v>15439</v>
      </c>
      <c r="AA846" t="s">
        <v>15440</v>
      </c>
      <c r="AB846" t="s">
        <v>15441</v>
      </c>
      <c r="AC846" t="s">
        <v>15442</v>
      </c>
      <c r="AD846" t="s">
        <v>10366</v>
      </c>
      <c r="AE846" t="s">
        <v>15443</v>
      </c>
      <c r="AF846" t="s">
        <v>74</v>
      </c>
      <c r="AG846">
        <v>24</v>
      </c>
      <c r="AH846">
        <v>20</v>
      </c>
      <c r="AI846">
        <v>21</v>
      </c>
      <c r="AJ846">
        <v>0</v>
      </c>
      <c r="AK846">
        <v>16</v>
      </c>
      <c r="AL846" t="s">
        <v>2494</v>
      </c>
      <c r="AM846" t="s">
        <v>786</v>
      </c>
      <c r="AN846" t="s">
        <v>2495</v>
      </c>
      <c r="AO846" t="s">
        <v>2496</v>
      </c>
      <c r="AP846" t="s">
        <v>2497</v>
      </c>
      <c r="AQ846" t="s">
        <v>74</v>
      </c>
      <c r="AR846" t="s">
        <v>2498</v>
      </c>
      <c r="AS846" t="s">
        <v>2499</v>
      </c>
      <c r="AT846" t="s">
        <v>15409</v>
      </c>
      <c r="AU846">
        <v>2012</v>
      </c>
      <c r="AV846">
        <v>39</v>
      </c>
      <c r="AW846" t="s">
        <v>74</v>
      </c>
      <c r="AX846" t="s">
        <v>74</v>
      </c>
      <c r="AY846" t="s">
        <v>74</v>
      </c>
      <c r="AZ846" t="s">
        <v>74</v>
      </c>
      <c r="BA846" t="s">
        <v>74</v>
      </c>
      <c r="BB846" t="s">
        <v>74</v>
      </c>
      <c r="BC846" t="s">
        <v>74</v>
      </c>
      <c r="BD846" t="s">
        <v>15444</v>
      </c>
      <c r="BE846" t="s">
        <v>15445</v>
      </c>
      <c r="BF846" t="str">
        <f>HYPERLINK("http://dx.doi.org/10.1029/2012GL054244","http://dx.doi.org/10.1029/2012GL054244")</f>
        <v>http://dx.doi.org/10.1029/2012GL054244</v>
      </c>
      <c r="BG846" t="s">
        <v>74</v>
      </c>
      <c r="BH846" t="s">
        <v>74</v>
      </c>
      <c r="BI846">
        <v>5</v>
      </c>
      <c r="BJ846" t="s">
        <v>1604</v>
      </c>
      <c r="BK846" t="s">
        <v>102</v>
      </c>
      <c r="BL846" t="s">
        <v>1605</v>
      </c>
      <c r="BM846" t="s">
        <v>15446</v>
      </c>
      <c r="BN846" t="s">
        <v>74</v>
      </c>
      <c r="BO846" t="s">
        <v>2587</v>
      </c>
      <c r="BP846" t="s">
        <v>74</v>
      </c>
      <c r="BQ846" t="s">
        <v>74</v>
      </c>
      <c r="BR846" t="s">
        <v>105</v>
      </c>
      <c r="BS846" t="s">
        <v>15447</v>
      </c>
      <c r="BT846" t="str">
        <f>HYPERLINK("https%3A%2F%2Fwww.webofscience.com%2Fwos%2Fwoscc%2Ffull-record%2FWOS:000312390100001","View Full Record in Web of Science")</f>
        <v>View Full Record in Web of Science</v>
      </c>
    </row>
    <row r="847" spans="1:72" x14ac:dyDescent="0.15">
      <c r="A847" t="s">
        <v>72</v>
      </c>
      <c r="B847" t="s">
        <v>15448</v>
      </c>
      <c r="C847" t="s">
        <v>74</v>
      </c>
      <c r="D847" t="s">
        <v>74</v>
      </c>
      <c r="E847" t="s">
        <v>74</v>
      </c>
      <c r="F847" t="s">
        <v>15449</v>
      </c>
      <c r="G847" t="s">
        <v>74</v>
      </c>
      <c r="H847" t="s">
        <v>74</v>
      </c>
      <c r="I847" t="s">
        <v>15450</v>
      </c>
      <c r="J847" t="s">
        <v>7549</v>
      </c>
      <c r="K847" t="s">
        <v>74</v>
      </c>
      <c r="L847" t="s">
        <v>74</v>
      </c>
      <c r="M847" t="s">
        <v>78</v>
      </c>
      <c r="N847" t="s">
        <v>79</v>
      </c>
      <c r="O847" t="s">
        <v>74</v>
      </c>
      <c r="P847" t="s">
        <v>74</v>
      </c>
      <c r="Q847" t="s">
        <v>74</v>
      </c>
      <c r="R847" t="s">
        <v>74</v>
      </c>
      <c r="S847" t="s">
        <v>74</v>
      </c>
      <c r="T847" t="s">
        <v>74</v>
      </c>
      <c r="U847" t="s">
        <v>15451</v>
      </c>
      <c r="V847" t="s">
        <v>15452</v>
      </c>
      <c r="W847" t="s">
        <v>15453</v>
      </c>
      <c r="X847" t="s">
        <v>15454</v>
      </c>
      <c r="Y847" t="s">
        <v>15455</v>
      </c>
      <c r="Z847" t="s">
        <v>15456</v>
      </c>
      <c r="AA847" t="s">
        <v>15457</v>
      </c>
      <c r="AB847" t="s">
        <v>15458</v>
      </c>
      <c r="AC847" t="s">
        <v>15459</v>
      </c>
      <c r="AD847" t="s">
        <v>15460</v>
      </c>
      <c r="AE847" t="s">
        <v>15461</v>
      </c>
      <c r="AF847" t="s">
        <v>74</v>
      </c>
      <c r="AG847">
        <v>43</v>
      </c>
      <c r="AH847">
        <v>97</v>
      </c>
      <c r="AI847">
        <v>102</v>
      </c>
      <c r="AJ847">
        <v>2</v>
      </c>
      <c r="AK847">
        <v>63</v>
      </c>
      <c r="AL847" t="s">
        <v>2494</v>
      </c>
      <c r="AM847" t="s">
        <v>786</v>
      </c>
      <c r="AN847" t="s">
        <v>2495</v>
      </c>
      <c r="AO847" t="s">
        <v>7561</v>
      </c>
      <c r="AP847" t="s">
        <v>7562</v>
      </c>
      <c r="AQ847" t="s">
        <v>74</v>
      </c>
      <c r="AR847" t="s">
        <v>7563</v>
      </c>
      <c r="AS847" t="s">
        <v>7564</v>
      </c>
      <c r="AT847" t="s">
        <v>15409</v>
      </c>
      <c r="AU847">
        <v>2012</v>
      </c>
      <c r="AV847">
        <v>117</v>
      </c>
      <c r="AW847" t="s">
        <v>74</v>
      </c>
      <c r="AX847" t="s">
        <v>74</v>
      </c>
      <c r="AY847" t="s">
        <v>74</v>
      </c>
      <c r="AZ847" t="s">
        <v>74</v>
      </c>
      <c r="BA847" t="s">
        <v>74</v>
      </c>
      <c r="BB847" t="s">
        <v>74</v>
      </c>
      <c r="BC847" t="s">
        <v>74</v>
      </c>
      <c r="BD847" t="s">
        <v>15462</v>
      </c>
      <c r="BE847" t="s">
        <v>15463</v>
      </c>
      <c r="BF847" t="str">
        <f>HYPERLINK("http://dx.doi.org/10.1029/2012JC008412","http://dx.doi.org/10.1029/2012JC008412")</f>
        <v>http://dx.doi.org/10.1029/2012JC008412</v>
      </c>
      <c r="BG847" t="s">
        <v>74</v>
      </c>
      <c r="BH847" t="s">
        <v>74</v>
      </c>
      <c r="BI847">
        <v>19</v>
      </c>
      <c r="BJ847" t="s">
        <v>303</v>
      </c>
      <c r="BK847" t="s">
        <v>102</v>
      </c>
      <c r="BL847" t="s">
        <v>303</v>
      </c>
      <c r="BM847" t="s">
        <v>15464</v>
      </c>
      <c r="BN847" t="s">
        <v>74</v>
      </c>
      <c r="BO847" t="s">
        <v>15465</v>
      </c>
      <c r="BP847" t="s">
        <v>74</v>
      </c>
      <c r="BQ847" t="s">
        <v>74</v>
      </c>
      <c r="BR847" t="s">
        <v>105</v>
      </c>
      <c r="BS847" t="s">
        <v>15466</v>
      </c>
      <c r="BT847" t="str">
        <f>HYPERLINK("https%3A%2F%2Fwww.webofscience.com%2Fwos%2Fwoscc%2Ffull-record%2FWOS:000312396200002","View Full Record in Web of Science")</f>
        <v>View Full Record in Web of Science</v>
      </c>
    </row>
    <row r="848" spans="1:72" x14ac:dyDescent="0.15">
      <c r="A848" t="s">
        <v>72</v>
      </c>
      <c r="B848" t="s">
        <v>15467</v>
      </c>
      <c r="C848" t="s">
        <v>74</v>
      </c>
      <c r="D848" t="s">
        <v>74</v>
      </c>
      <c r="E848" t="s">
        <v>74</v>
      </c>
      <c r="F848" t="s">
        <v>15468</v>
      </c>
      <c r="G848" t="s">
        <v>74</v>
      </c>
      <c r="H848" t="s">
        <v>74</v>
      </c>
      <c r="I848" t="s">
        <v>15469</v>
      </c>
      <c r="J848" t="s">
        <v>7619</v>
      </c>
      <c r="K848" t="s">
        <v>74</v>
      </c>
      <c r="L848" t="s">
        <v>74</v>
      </c>
      <c r="M848" t="s">
        <v>78</v>
      </c>
      <c r="N848" t="s">
        <v>79</v>
      </c>
      <c r="O848" t="s">
        <v>74</v>
      </c>
      <c r="P848" t="s">
        <v>74</v>
      </c>
      <c r="Q848" t="s">
        <v>74</v>
      </c>
      <c r="R848" t="s">
        <v>74</v>
      </c>
      <c r="S848" t="s">
        <v>74</v>
      </c>
      <c r="T848" t="s">
        <v>74</v>
      </c>
      <c r="U848" t="s">
        <v>15470</v>
      </c>
      <c r="V848" t="s">
        <v>15471</v>
      </c>
      <c r="W848" t="s">
        <v>15472</v>
      </c>
      <c r="X848" t="s">
        <v>15473</v>
      </c>
      <c r="Y848" t="s">
        <v>15474</v>
      </c>
      <c r="Z848" t="s">
        <v>15475</v>
      </c>
      <c r="AA848" t="s">
        <v>15476</v>
      </c>
      <c r="AB848" t="s">
        <v>15477</v>
      </c>
      <c r="AC848" t="s">
        <v>15478</v>
      </c>
      <c r="AD848" t="s">
        <v>15479</v>
      </c>
      <c r="AE848" t="s">
        <v>15480</v>
      </c>
      <c r="AF848" t="s">
        <v>74</v>
      </c>
      <c r="AG848">
        <v>57</v>
      </c>
      <c r="AH848">
        <v>30</v>
      </c>
      <c r="AI848">
        <v>32</v>
      </c>
      <c r="AJ848">
        <v>0</v>
      </c>
      <c r="AK848">
        <v>12</v>
      </c>
      <c r="AL848" t="s">
        <v>2494</v>
      </c>
      <c r="AM848" t="s">
        <v>786</v>
      </c>
      <c r="AN848" t="s">
        <v>2495</v>
      </c>
      <c r="AO848" t="s">
        <v>7631</v>
      </c>
      <c r="AP848" t="s">
        <v>7632</v>
      </c>
      <c r="AQ848" t="s">
        <v>74</v>
      </c>
      <c r="AR848" t="s">
        <v>7633</v>
      </c>
      <c r="AS848" t="s">
        <v>7634</v>
      </c>
      <c r="AT848" t="s">
        <v>15409</v>
      </c>
      <c r="AU848">
        <v>2012</v>
      </c>
      <c r="AV848">
        <v>117</v>
      </c>
      <c r="AW848" t="s">
        <v>74</v>
      </c>
      <c r="AX848" t="s">
        <v>74</v>
      </c>
      <c r="AY848" t="s">
        <v>74</v>
      </c>
      <c r="AZ848" t="s">
        <v>74</v>
      </c>
      <c r="BA848" t="s">
        <v>74</v>
      </c>
      <c r="BB848" t="s">
        <v>74</v>
      </c>
      <c r="BC848" t="s">
        <v>74</v>
      </c>
      <c r="BD848" t="s">
        <v>15481</v>
      </c>
      <c r="BE848" t="s">
        <v>15482</v>
      </c>
      <c r="BF848" t="str">
        <f>HYPERLINK("http://dx.doi.org/10.1029/2012JA018175","http://dx.doi.org/10.1029/2012JA018175")</f>
        <v>http://dx.doi.org/10.1029/2012JA018175</v>
      </c>
      <c r="BG848" t="s">
        <v>74</v>
      </c>
      <c r="BH848" t="s">
        <v>74</v>
      </c>
      <c r="BI848">
        <v>16</v>
      </c>
      <c r="BJ848" t="s">
        <v>153</v>
      </c>
      <c r="BK848" t="s">
        <v>102</v>
      </c>
      <c r="BL848" t="s">
        <v>153</v>
      </c>
      <c r="BM848" t="s">
        <v>15483</v>
      </c>
      <c r="BN848" t="s">
        <v>74</v>
      </c>
      <c r="BO848" t="s">
        <v>1207</v>
      </c>
      <c r="BP848" t="s">
        <v>74</v>
      </c>
      <c r="BQ848" t="s">
        <v>74</v>
      </c>
      <c r="BR848" t="s">
        <v>105</v>
      </c>
      <c r="BS848" t="s">
        <v>15484</v>
      </c>
      <c r="BT848" t="str">
        <f>HYPERLINK("https%3A%2F%2Fwww.webofscience.com%2Fwos%2Fwoscc%2Ffull-record%2FWOS:000312397100003","View Full Record in Web of Science")</f>
        <v>View Full Record in Web of Science</v>
      </c>
    </row>
    <row r="849" spans="1:72" x14ac:dyDescent="0.15">
      <c r="A849" t="s">
        <v>72</v>
      </c>
      <c r="B849" t="s">
        <v>15485</v>
      </c>
      <c r="C849" t="s">
        <v>74</v>
      </c>
      <c r="D849" t="s">
        <v>74</v>
      </c>
      <c r="E849" t="s">
        <v>74</v>
      </c>
      <c r="F849" t="s">
        <v>15486</v>
      </c>
      <c r="G849" t="s">
        <v>74</v>
      </c>
      <c r="H849" t="s">
        <v>74</v>
      </c>
      <c r="I849" t="s">
        <v>15487</v>
      </c>
      <c r="J849" t="s">
        <v>2457</v>
      </c>
      <c r="K849" t="s">
        <v>74</v>
      </c>
      <c r="L849" t="s">
        <v>74</v>
      </c>
      <c r="M849" t="s">
        <v>78</v>
      </c>
      <c r="N849" t="s">
        <v>79</v>
      </c>
      <c r="O849" t="s">
        <v>74</v>
      </c>
      <c r="P849" t="s">
        <v>74</v>
      </c>
      <c r="Q849" t="s">
        <v>74</v>
      </c>
      <c r="R849" t="s">
        <v>74</v>
      </c>
      <c r="S849" t="s">
        <v>74</v>
      </c>
      <c r="T849" t="s">
        <v>15488</v>
      </c>
      <c r="U849" t="s">
        <v>15489</v>
      </c>
      <c r="V849" t="s">
        <v>15490</v>
      </c>
      <c r="W849" t="s">
        <v>15491</v>
      </c>
      <c r="X849" t="s">
        <v>15492</v>
      </c>
      <c r="Y849" t="s">
        <v>1934</v>
      </c>
      <c r="Z849" t="s">
        <v>15493</v>
      </c>
      <c r="AA849" t="s">
        <v>15494</v>
      </c>
      <c r="AB849" t="s">
        <v>15495</v>
      </c>
      <c r="AC849" t="s">
        <v>15496</v>
      </c>
      <c r="AD849" t="s">
        <v>15497</v>
      </c>
      <c r="AE849" t="s">
        <v>15498</v>
      </c>
      <c r="AF849" t="s">
        <v>74</v>
      </c>
      <c r="AG849">
        <v>44</v>
      </c>
      <c r="AH849">
        <v>89</v>
      </c>
      <c r="AI849">
        <v>95</v>
      </c>
      <c r="AJ849">
        <v>1</v>
      </c>
      <c r="AK849">
        <v>112</v>
      </c>
      <c r="AL849" t="s">
        <v>2470</v>
      </c>
      <c r="AM849" t="s">
        <v>786</v>
      </c>
      <c r="AN849" t="s">
        <v>2471</v>
      </c>
      <c r="AO849" t="s">
        <v>2472</v>
      </c>
      <c r="AP849" t="s">
        <v>15499</v>
      </c>
      <c r="AQ849" t="s">
        <v>74</v>
      </c>
      <c r="AR849" t="s">
        <v>2473</v>
      </c>
      <c r="AS849" t="s">
        <v>2474</v>
      </c>
      <c r="AT849" t="s">
        <v>15409</v>
      </c>
      <c r="AU849">
        <v>2012</v>
      </c>
      <c r="AV849">
        <v>109</v>
      </c>
      <c r="AW849">
        <v>50</v>
      </c>
      <c r="AX849" t="s">
        <v>74</v>
      </c>
      <c r="AY849" t="s">
        <v>74</v>
      </c>
      <c r="AZ849" t="s">
        <v>74</v>
      </c>
      <c r="BA849" t="s">
        <v>74</v>
      </c>
      <c r="BB849">
        <v>20744</v>
      </c>
      <c r="BC849">
        <v>20749</v>
      </c>
      <c r="BD849" t="s">
        <v>74</v>
      </c>
      <c r="BE849" t="s">
        <v>15500</v>
      </c>
      <c r="BF849" t="str">
        <f>HYPERLINK("http://dx.doi.org/10.1073/pnas.1218661109","http://dx.doi.org/10.1073/pnas.1218661109")</f>
        <v>http://dx.doi.org/10.1073/pnas.1218661109</v>
      </c>
      <c r="BG849" t="s">
        <v>74</v>
      </c>
      <c r="BH849" t="s">
        <v>74</v>
      </c>
      <c r="BI849">
        <v>6</v>
      </c>
      <c r="BJ849" t="s">
        <v>328</v>
      </c>
      <c r="BK849" t="s">
        <v>102</v>
      </c>
      <c r="BL849" t="s">
        <v>329</v>
      </c>
      <c r="BM849" t="s">
        <v>15411</v>
      </c>
      <c r="BN849">
        <v>23197828</v>
      </c>
      <c r="BO849" t="s">
        <v>2097</v>
      </c>
      <c r="BP849" t="s">
        <v>74</v>
      </c>
      <c r="BQ849" t="s">
        <v>74</v>
      </c>
      <c r="BR849" t="s">
        <v>105</v>
      </c>
      <c r="BS849" t="s">
        <v>15501</v>
      </c>
      <c r="BT849" t="str">
        <f>HYPERLINK("https%3A%2F%2Fwww.webofscience.com%2Fwos%2Fwoscc%2Ffull-record%2FWOS:000312605600117","View Full Record in Web of Science")</f>
        <v>View Full Record in Web of Science</v>
      </c>
    </row>
    <row r="850" spans="1:72" x14ac:dyDescent="0.15">
      <c r="A850" t="s">
        <v>72</v>
      </c>
      <c r="B850" t="s">
        <v>15502</v>
      </c>
      <c r="C850" t="s">
        <v>74</v>
      </c>
      <c r="D850" t="s">
        <v>74</v>
      </c>
      <c r="E850" t="s">
        <v>74</v>
      </c>
      <c r="F850" t="s">
        <v>15503</v>
      </c>
      <c r="G850" t="s">
        <v>74</v>
      </c>
      <c r="H850" t="s">
        <v>74</v>
      </c>
      <c r="I850" t="s">
        <v>15504</v>
      </c>
      <c r="J850" t="s">
        <v>15505</v>
      </c>
      <c r="K850" t="s">
        <v>74</v>
      </c>
      <c r="L850" t="s">
        <v>74</v>
      </c>
      <c r="M850" t="s">
        <v>78</v>
      </c>
      <c r="N850" t="s">
        <v>79</v>
      </c>
      <c r="O850" t="s">
        <v>74</v>
      </c>
      <c r="P850" t="s">
        <v>74</v>
      </c>
      <c r="Q850" t="s">
        <v>74</v>
      </c>
      <c r="R850" t="s">
        <v>74</v>
      </c>
      <c r="S850" t="s">
        <v>74</v>
      </c>
      <c r="T850" t="s">
        <v>74</v>
      </c>
      <c r="U850" t="s">
        <v>15506</v>
      </c>
      <c r="V850" t="s">
        <v>15507</v>
      </c>
      <c r="W850" t="s">
        <v>15508</v>
      </c>
      <c r="X850" t="s">
        <v>15509</v>
      </c>
      <c r="Y850" t="s">
        <v>15510</v>
      </c>
      <c r="Z850" t="s">
        <v>74</v>
      </c>
      <c r="AA850" t="s">
        <v>15511</v>
      </c>
      <c r="AB850" t="s">
        <v>15512</v>
      </c>
      <c r="AC850" t="s">
        <v>15513</v>
      </c>
      <c r="AD850" t="s">
        <v>15514</v>
      </c>
      <c r="AE850" t="s">
        <v>15515</v>
      </c>
      <c r="AF850" t="s">
        <v>74</v>
      </c>
      <c r="AG850">
        <v>41</v>
      </c>
      <c r="AH850">
        <v>30</v>
      </c>
      <c r="AI850">
        <v>33</v>
      </c>
      <c r="AJ850">
        <v>0</v>
      </c>
      <c r="AK850">
        <v>3</v>
      </c>
      <c r="AL850" t="s">
        <v>15516</v>
      </c>
      <c r="AM850" t="s">
        <v>15517</v>
      </c>
      <c r="AN850" t="s">
        <v>15518</v>
      </c>
      <c r="AO850" t="s">
        <v>15519</v>
      </c>
      <c r="AP850" t="s">
        <v>15520</v>
      </c>
      <c r="AQ850" t="s">
        <v>74</v>
      </c>
      <c r="AR850" t="s">
        <v>15521</v>
      </c>
      <c r="AS850" t="s">
        <v>15522</v>
      </c>
      <c r="AT850" t="s">
        <v>15523</v>
      </c>
      <c r="AU850">
        <v>2012</v>
      </c>
      <c r="AV850">
        <v>86</v>
      </c>
      <c r="AW850">
        <v>12</v>
      </c>
      <c r="AX850" t="s">
        <v>74</v>
      </c>
      <c r="AY850" t="s">
        <v>74</v>
      </c>
      <c r="AZ850" t="s">
        <v>74</v>
      </c>
      <c r="BA850" t="s">
        <v>74</v>
      </c>
      <c r="BB850" t="s">
        <v>74</v>
      </c>
      <c r="BC850" t="s">
        <v>74</v>
      </c>
      <c r="BD850">
        <v>123007</v>
      </c>
      <c r="BE850" t="s">
        <v>15524</v>
      </c>
      <c r="BF850" t="str">
        <f>HYPERLINK("http://dx.doi.org/10.1103/PhysRevD.86.123007","http://dx.doi.org/10.1103/PhysRevD.86.123007")</f>
        <v>http://dx.doi.org/10.1103/PhysRevD.86.123007</v>
      </c>
      <c r="BG850" t="s">
        <v>74</v>
      </c>
      <c r="BH850" t="s">
        <v>74</v>
      </c>
      <c r="BI850">
        <v>9</v>
      </c>
      <c r="BJ850" t="s">
        <v>15525</v>
      </c>
      <c r="BK850" t="s">
        <v>102</v>
      </c>
      <c r="BL850" t="s">
        <v>6504</v>
      </c>
      <c r="BM850" t="s">
        <v>15526</v>
      </c>
      <c r="BN850" t="s">
        <v>74</v>
      </c>
      <c r="BO850" t="s">
        <v>155</v>
      </c>
      <c r="BP850" t="s">
        <v>74</v>
      </c>
      <c r="BQ850" t="s">
        <v>74</v>
      </c>
      <c r="BR850" t="s">
        <v>105</v>
      </c>
      <c r="BS850" t="s">
        <v>15527</v>
      </c>
      <c r="BT850" t="str">
        <f>HYPERLINK("https%3A%2F%2Fwww.webofscience.com%2Fwos%2Fwoscc%2Ffull-record%2FWOS:000312067200002","View Full Record in Web of Science")</f>
        <v>View Full Record in Web of Science</v>
      </c>
    </row>
    <row r="851" spans="1:72" x14ac:dyDescent="0.15">
      <c r="A851" t="s">
        <v>72</v>
      </c>
      <c r="B851" t="s">
        <v>15528</v>
      </c>
      <c r="C851" t="s">
        <v>74</v>
      </c>
      <c r="D851" t="s">
        <v>74</v>
      </c>
      <c r="E851" t="s">
        <v>74</v>
      </c>
      <c r="F851" t="s">
        <v>15529</v>
      </c>
      <c r="G851" t="s">
        <v>74</v>
      </c>
      <c r="H851" t="s">
        <v>74</v>
      </c>
      <c r="I851" t="s">
        <v>15530</v>
      </c>
      <c r="J851" t="s">
        <v>15531</v>
      </c>
      <c r="K851" t="s">
        <v>74</v>
      </c>
      <c r="L851" t="s">
        <v>74</v>
      </c>
      <c r="M851" t="s">
        <v>78</v>
      </c>
      <c r="N851" t="s">
        <v>79</v>
      </c>
      <c r="O851" t="s">
        <v>74</v>
      </c>
      <c r="P851" t="s">
        <v>74</v>
      </c>
      <c r="Q851" t="s">
        <v>74</v>
      </c>
      <c r="R851" t="s">
        <v>74</v>
      </c>
      <c r="S851" t="s">
        <v>74</v>
      </c>
      <c r="T851" t="s">
        <v>74</v>
      </c>
      <c r="U851" t="s">
        <v>74</v>
      </c>
      <c r="V851" t="s">
        <v>74</v>
      </c>
      <c r="W851" t="s">
        <v>15532</v>
      </c>
      <c r="X851" t="s">
        <v>1249</v>
      </c>
      <c r="Y851" t="s">
        <v>74</v>
      </c>
      <c r="Z851" t="s">
        <v>74</v>
      </c>
      <c r="AA851" t="s">
        <v>74</v>
      </c>
      <c r="AB851" t="s">
        <v>74</v>
      </c>
      <c r="AC851" t="s">
        <v>74</v>
      </c>
      <c r="AD851" t="s">
        <v>74</v>
      </c>
      <c r="AE851" t="s">
        <v>74</v>
      </c>
      <c r="AF851" t="s">
        <v>74</v>
      </c>
      <c r="AG851">
        <v>0</v>
      </c>
      <c r="AH851">
        <v>0</v>
      </c>
      <c r="AI851">
        <v>0</v>
      </c>
      <c r="AJ851">
        <v>0</v>
      </c>
      <c r="AK851">
        <v>11</v>
      </c>
      <c r="AL851" t="s">
        <v>15533</v>
      </c>
      <c r="AM851" t="s">
        <v>15534</v>
      </c>
      <c r="AN851" t="s">
        <v>15535</v>
      </c>
      <c r="AO851" t="s">
        <v>15536</v>
      </c>
      <c r="AP851" t="s">
        <v>74</v>
      </c>
      <c r="AQ851" t="s">
        <v>74</v>
      </c>
      <c r="AR851" t="s">
        <v>15537</v>
      </c>
      <c r="AS851" t="s">
        <v>15538</v>
      </c>
      <c r="AT851" t="s">
        <v>15539</v>
      </c>
      <c r="AU851">
        <v>2012</v>
      </c>
      <c r="AV851">
        <v>216</v>
      </c>
      <c r="AW851">
        <v>2894</v>
      </c>
      <c r="AX851" t="s">
        <v>74</v>
      </c>
      <c r="AY851" t="s">
        <v>74</v>
      </c>
      <c r="AZ851" t="s">
        <v>74</v>
      </c>
      <c r="BA851" t="s">
        <v>74</v>
      </c>
      <c r="BB851">
        <v>46</v>
      </c>
      <c r="BC851">
        <v>47</v>
      </c>
      <c r="BD851" t="s">
        <v>74</v>
      </c>
      <c r="BE851" t="s">
        <v>15540</v>
      </c>
      <c r="BF851" t="str">
        <f>HYPERLINK("http://dx.doi.org/10.1016/S0262-4079(12)63143-1","http://dx.doi.org/10.1016/S0262-4079(12)63143-1")</f>
        <v>http://dx.doi.org/10.1016/S0262-4079(12)63143-1</v>
      </c>
      <c r="BG851" t="s">
        <v>74</v>
      </c>
      <c r="BH851" t="s">
        <v>74</v>
      </c>
      <c r="BI851">
        <v>2</v>
      </c>
      <c r="BJ851" t="s">
        <v>328</v>
      </c>
      <c r="BK851" t="s">
        <v>102</v>
      </c>
      <c r="BL851" t="s">
        <v>329</v>
      </c>
      <c r="BM851" t="s">
        <v>15541</v>
      </c>
      <c r="BN851" t="s">
        <v>74</v>
      </c>
      <c r="BO851" t="s">
        <v>74</v>
      </c>
      <c r="BP851" t="s">
        <v>74</v>
      </c>
      <c r="BQ851" t="s">
        <v>74</v>
      </c>
      <c r="BR851" t="s">
        <v>105</v>
      </c>
      <c r="BS851" t="s">
        <v>15542</v>
      </c>
      <c r="BT851" t="str">
        <f>HYPERLINK("https%3A%2F%2Fwww.webofscience.com%2Fwos%2Fwoscc%2Ffull-record%2FWOS:000312173700036","View Full Record in Web of Science")</f>
        <v>View Full Record in Web of Science</v>
      </c>
    </row>
    <row r="852" spans="1:72" x14ac:dyDescent="0.15">
      <c r="A852" t="s">
        <v>72</v>
      </c>
      <c r="B852" t="s">
        <v>15543</v>
      </c>
      <c r="C852" t="s">
        <v>74</v>
      </c>
      <c r="D852" t="s">
        <v>74</v>
      </c>
      <c r="E852" t="s">
        <v>74</v>
      </c>
      <c r="F852" t="s">
        <v>15544</v>
      </c>
      <c r="G852" t="s">
        <v>74</v>
      </c>
      <c r="H852" t="s">
        <v>74</v>
      </c>
      <c r="I852" t="s">
        <v>15545</v>
      </c>
      <c r="J852" t="s">
        <v>7549</v>
      </c>
      <c r="K852" t="s">
        <v>74</v>
      </c>
      <c r="L852" t="s">
        <v>74</v>
      </c>
      <c r="M852" t="s">
        <v>78</v>
      </c>
      <c r="N852" t="s">
        <v>79</v>
      </c>
      <c r="O852" t="s">
        <v>74</v>
      </c>
      <c r="P852" t="s">
        <v>74</v>
      </c>
      <c r="Q852" t="s">
        <v>74</v>
      </c>
      <c r="R852" t="s">
        <v>74</v>
      </c>
      <c r="S852" t="s">
        <v>74</v>
      </c>
      <c r="T852" t="s">
        <v>74</v>
      </c>
      <c r="U852" t="s">
        <v>15546</v>
      </c>
      <c r="V852" t="s">
        <v>15547</v>
      </c>
      <c r="W852" t="s">
        <v>15548</v>
      </c>
      <c r="X852" t="s">
        <v>15549</v>
      </c>
      <c r="Y852" t="s">
        <v>15550</v>
      </c>
      <c r="Z852" t="s">
        <v>15551</v>
      </c>
      <c r="AA852" t="s">
        <v>15552</v>
      </c>
      <c r="AB852" t="s">
        <v>15553</v>
      </c>
      <c r="AC852" t="s">
        <v>15554</v>
      </c>
      <c r="AD852" t="s">
        <v>15555</v>
      </c>
      <c r="AE852" t="s">
        <v>15556</v>
      </c>
      <c r="AF852" t="s">
        <v>74</v>
      </c>
      <c r="AG852">
        <v>40</v>
      </c>
      <c r="AH852">
        <v>13</v>
      </c>
      <c r="AI852">
        <v>14</v>
      </c>
      <c r="AJ852">
        <v>0</v>
      </c>
      <c r="AK852">
        <v>39</v>
      </c>
      <c r="AL852" t="s">
        <v>2494</v>
      </c>
      <c r="AM852" t="s">
        <v>786</v>
      </c>
      <c r="AN852" t="s">
        <v>2495</v>
      </c>
      <c r="AO852" t="s">
        <v>7561</v>
      </c>
      <c r="AP852" t="s">
        <v>7562</v>
      </c>
      <c r="AQ852" t="s">
        <v>74</v>
      </c>
      <c r="AR852" t="s">
        <v>7563</v>
      </c>
      <c r="AS852" t="s">
        <v>7564</v>
      </c>
      <c r="AT852" t="s">
        <v>15557</v>
      </c>
      <c r="AU852">
        <v>2012</v>
      </c>
      <c r="AV852">
        <v>117</v>
      </c>
      <c r="AW852" t="s">
        <v>74</v>
      </c>
      <c r="AX852" t="s">
        <v>74</v>
      </c>
      <c r="AY852" t="s">
        <v>74</v>
      </c>
      <c r="AZ852" t="s">
        <v>74</v>
      </c>
      <c r="BA852" t="s">
        <v>74</v>
      </c>
      <c r="BB852" t="s">
        <v>74</v>
      </c>
      <c r="BC852" t="s">
        <v>74</v>
      </c>
      <c r="BD852" t="s">
        <v>15558</v>
      </c>
      <c r="BE852" t="s">
        <v>15559</v>
      </c>
      <c r="BF852" t="str">
        <f>HYPERLINK("http://dx.doi.org/10.1029/2012JC008114","http://dx.doi.org/10.1029/2012JC008114")</f>
        <v>http://dx.doi.org/10.1029/2012JC008114</v>
      </c>
      <c r="BG852" t="s">
        <v>74</v>
      </c>
      <c r="BH852" t="s">
        <v>74</v>
      </c>
      <c r="BI852">
        <v>12</v>
      </c>
      <c r="BJ852" t="s">
        <v>303</v>
      </c>
      <c r="BK852" t="s">
        <v>102</v>
      </c>
      <c r="BL852" t="s">
        <v>303</v>
      </c>
      <c r="BM852" t="s">
        <v>15560</v>
      </c>
      <c r="BN852" t="s">
        <v>74</v>
      </c>
      <c r="BO852" t="s">
        <v>74</v>
      </c>
      <c r="BP852" t="s">
        <v>74</v>
      </c>
      <c r="BQ852" t="s">
        <v>74</v>
      </c>
      <c r="BR852" t="s">
        <v>105</v>
      </c>
      <c r="BS852" t="s">
        <v>15561</v>
      </c>
      <c r="BT852" t="str">
        <f>HYPERLINK("https%3A%2F%2Fwww.webofscience.com%2Fwos%2Fwoscc%2Ffull-record%2FWOS:000312093700002","View Full Record in Web of Science")</f>
        <v>View Full Record in Web of Science</v>
      </c>
    </row>
    <row r="853" spans="1:72" x14ac:dyDescent="0.15">
      <c r="A853" t="s">
        <v>72</v>
      </c>
      <c r="B853" t="s">
        <v>15562</v>
      </c>
      <c r="C853" t="s">
        <v>74</v>
      </c>
      <c r="D853" t="s">
        <v>74</v>
      </c>
      <c r="E853" t="s">
        <v>74</v>
      </c>
      <c r="F853" t="s">
        <v>15563</v>
      </c>
      <c r="G853" t="s">
        <v>74</v>
      </c>
      <c r="H853" t="s">
        <v>74</v>
      </c>
      <c r="I853" t="s">
        <v>15564</v>
      </c>
      <c r="J853" t="s">
        <v>15565</v>
      </c>
      <c r="K853" t="s">
        <v>74</v>
      </c>
      <c r="L853" t="s">
        <v>74</v>
      </c>
      <c r="M853" t="s">
        <v>78</v>
      </c>
      <c r="N853" t="s">
        <v>1120</v>
      </c>
      <c r="O853" t="s">
        <v>74</v>
      </c>
      <c r="P853" t="s">
        <v>74</v>
      </c>
      <c r="Q853" t="s">
        <v>74</v>
      </c>
      <c r="R853" t="s">
        <v>74</v>
      </c>
      <c r="S853" t="s">
        <v>74</v>
      </c>
      <c r="T853" t="s">
        <v>15566</v>
      </c>
      <c r="U853" t="s">
        <v>15567</v>
      </c>
      <c r="V853" t="s">
        <v>15568</v>
      </c>
      <c r="W853" t="s">
        <v>15569</v>
      </c>
      <c r="X853" t="s">
        <v>3239</v>
      </c>
      <c r="Y853" t="s">
        <v>15570</v>
      </c>
      <c r="Z853" t="s">
        <v>15571</v>
      </c>
      <c r="AA853" t="s">
        <v>15572</v>
      </c>
      <c r="AB853" t="s">
        <v>15573</v>
      </c>
      <c r="AC853" t="s">
        <v>15574</v>
      </c>
      <c r="AD853" t="s">
        <v>15575</v>
      </c>
      <c r="AE853" t="s">
        <v>15576</v>
      </c>
      <c r="AF853" t="s">
        <v>74</v>
      </c>
      <c r="AG853">
        <v>53</v>
      </c>
      <c r="AH853">
        <v>10</v>
      </c>
      <c r="AI853">
        <v>11</v>
      </c>
      <c r="AJ853">
        <v>0</v>
      </c>
      <c r="AK853">
        <v>62</v>
      </c>
      <c r="AL853" t="s">
        <v>586</v>
      </c>
      <c r="AM853" t="s">
        <v>542</v>
      </c>
      <c r="AN853" t="s">
        <v>587</v>
      </c>
      <c r="AO853" t="s">
        <v>15577</v>
      </c>
      <c r="AP853" t="s">
        <v>15578</v>
      </c>
      <c r="AQ853" t="s">
        <v>74</v>
      </c>
      <c r="AR853" t="s">
        <v>15579</v>
      </c>
      <c r="AS853" t="s">
        <v>15580</v>
      </c>
      <c r="AT853" t="s">
        <v>15557</v>
      </c>
      <c r="AU853">
        <v>2012</v>
      </c>
      <c r="AV853">
        <v>1267</v>
      </c>
      <c r="AW853" t="s">
        <v>74</v>
      </c>
      <c r="AX853" t="s">
        <v>74</v>
      </c>
      <c r="AY853" t="s">
        <v>74</v>
      </c>
      <c r="AZ853" t="s">
        <v>221</v>
      </c>
      <c r="BA853" t="s">
        <v>74</v>
      </c>
      <c r="BB853">
        <v>2</v>
      </c>
      <c r="BC853">
        <v>9</v>
      </c>
      <c r="BD853" t="s">
        <v>74</v>
      </c>
      <c r="BE853" t="s">
        <v>15581</v>
      </c>
      <c r="BF853" t="str">
        <f>HYPERLINK("http://dx.doi.org/10.1016/j.chroma.2012.08.017","http://dx.doi.org/10.1016/j.chroma.2012.08.017")</f>
        <v>http://dx.doi.org/10.1016/j.chroma.2012.08.017</v>
      </c>
      <c r="BG853" t="s">
        <v>74</v>
      </c>
      <c r="BH853" t="s">
        <v>74</v>
      </c>
      <c r="BI853">
        <v>8</v>
      </c>
      <c r="BJ853" t="s">
        <v>10197</v>
      </c>
      <c r="BK853" t="s">
        <v>102</v>
      </c>
      <c r="BL853" t="s">
        <v>10198</v>
      </c>
      <c r="BM853" t="s">
        <v>15582</v>
      </c>
      <c r="BN853">
        <v>22944384</v>
      </c>
      <c r="BO853" t="s">
        <v>74</v>
      </c>
      <c r="BP853" t="s">
        <v>74</v>
      </c>
      <c r="BQ853" t="s">
        <v>74</v>
      </c>
      <c r="BR853" t="s">
        <v>105</v>
      </c>
      <c r="BS853" t="s">
        <v>15583</v>
      </c>
      <c r="BT853" t="str">
        <f>HYPERLINK("https%3A%2F%2Fwww.webofscience.com%2Fwos%2Fwoscc%2Ffull-record%2FWOS:000311658100002","View Full Record in Web of Science")</f>
        <v>View Full Record in Web of Science</v>
      </c>
    </row>
    <row r="854" spans="1:72" x14ac:dyDescent="0.15">
      <c r="A854" t="s">
        <v>72</v>
      </c>
      <c r="B854" t="s">
        <v>15584</v>
      </c>
      <c r="C854" t="s">
        <v>74</v>
      </c>
      <c r="D854" t="s">
        <v>74</v>
      </c>
      <c r="E854" t="s">
        <v>74</v>
      </c>
      <c r="F854" t="s">
        <v>15585</v>
      </c>
      <c r="G854" t="s">
        <v>74</v>
      </c>
      <c r="H854" t="s">
        <v>74</v>
      </c>
      <c r="I854" t="s">
        <v>15586</v>
      </c>
      <c r="J854" t="s">
        <v>2341</v>
      </c>
      <c r="K854" t="s">
        <v>74</v>
      </c>
      <c r="L854" t="s">
        <v>74</v>
      </c>
      <c r="M854" t="s">
        <v>78</v>
      </c>
      <c r="N854" t="s">
        <v>79</v>
      </c>
      <c r="O854" t="s">
        <v>74</v>
      </c>
      <c r="P854" t="s">
        <v>74</v>
      </c>
      <c r="Q854" t="s">
        <v>74</v>
      </c>
      <c r="R854" t="s">
        <v>74</v>
      </c>
      <c r="S854" t="s">
        <v>74</v>
      </c>
      <c r="T854" t="s">
        <v>74</v>
      </c>
      <c r="U854" t="s">
        <v>15587</v>
      </c>
      <c r="V854" t="s">
        <v>15588</v>
      </c>
      <c r="W854" t="s">
        <v>15589</v>
      </c>
      <c r="X854" t="s">
        <v>15590</v>
      </c>
      <c r="Y854" t="s">
        <v>15591</v>
      </c>
      <c r="Z854" t="s">
        <v>15592</v>
      </c>
      <c r="AA854" t="s">
        <v>15593</v>
      </c>
      <c r="AB854" t="s">
        <v>15594</v>
      </c>
      <c r="AC854" t="s">
        <v>15595</v>
      </c>
      <c r="AD854" t="s">
        <v>15596</v>
      </c>
      <c r="AE854" t="s">
        <v>15597</v>
      </c>
      <c r="AF854" t="s">
        <v>74</v>
      </c>
      <c r="AG854">
        <v>59</v>
      </c>
      <c r="AH854">
        <v>59</v>
      </c>
      <c r="AI854">
        <v>63</v>
      </c>
      <c r="AJ854">
        <v>2</v>
      </c>
      <c r="AK854">
        <v>54</v>
      </c>
      <c r="AL854" t="s">
        <v>2350</v>
      </c>
      <c r="AM854" t="s">
        <v>2351</v>
      </c>
      <c r="AN854" t="s">
        <v>2352</v>
      </c>
      <c r="AO854" t="s">
        <v>2353</v>
      </c>
      <c r="AP854" t="s">
        <v>74</v>
      </c>
      <c r="AQ854" t="s">
        <v>74</v>
      </c>
      <c r="AR854" t="s">
        <v>2341</v>
      </c>
      <c r="AS854" t="s">
        <v>2354</v>
      </c>
      <c r="AT854" t="s">
        <v>15598</v>
      </c>
      <c r="AU854">
        <v>2012</v>
      </c>
      <c r="AV854">
        <v>7</v>
      </c>
      <c r="AW854">
        <v>12</v>
      </c>
      <c r="AX854" t="s">
        <v>74</v>
      </c>
      <c r="AY854" t="s">
        <v>74</v>
      </c>
      <c r="AZ854" t="s">
        <v>74</v>
      </c>
      <c r="BA854" t="s">
        <v>74</v>
      </c>
      <c r="BB854" t="s">
        <v>74</v>
      </c>
      <c r="BC854" t="s">
        <v>74</v>
      </c>
      <c r="BD854" t="s">
        <v>15599</v>
      </c>
      <c r="BE854" t="s">
        <v>15600</v>
      </c>
      <c r="BF854" t="str">
        <f>HYPERLINK("http://dx.doi.org/10.1371/journal.pone.0050847","http://dx.doi.org/10.1371/journal.pone.0050847")</f>
        <v>http://dx.doi.org/10.1371/journal.pone.0050847</v>
      </c>
      <c r="BG854" t="s">
        <v>74</v>
      </c>
      <c r="BH854" t="s">
        <v>74</v>
      </c>
      <c r="BI854">
        <v>7</v>
      </c>
      <c r="BJ854" t="s">
        <v>328</v>
      </c>
      <c r="BK854" t="s">
        <v>102</v>
      </c>
      <c r="BL854" t="s">
        <v>329</v>
      </c>
      <c r="BM854" t="s">
        <v>15601</v>
      </c>
      <c r="BN854">
        <v>23227215</v>
      </c>
      <c r="BO854" t="s">
        <v>11239</v>
      </c>
      <c r="BP854" t="s">
        <v>74</v>
      </c>
      <c r="BQ854" t="s">
        <v>74</v>
      </c>
      <c r="BR854" t="s">
        <v>105</v>
      </c>
      <c r="BS854" t="s">
        <v>15602</v>
      </c>
      <c r="BT854" t="str">
        <f>HYPERLINK("https%3A%2F%2Fwww.webofscience.com%2Fwos%2Fwoscc%2Ffull-record%2FWOS:000312588200076","View Full Record in Web of Science")</f>
        <v>View Full Record in Web of Science</v>
      </c>
    </row>
    <row r="855" spans="1:72" x14ac:dyDescent="0.15">
      <c r="A855" t="s">
        <v>72</v>
      </c>
      <c r="B855" t="s">
        <v>15603</v>
      </c>
      <c r="C855" t="s">
        <v>74</v>
      </c>
      <c r="D855" t="s">
        <v>74</v>
      </c>
      <c r="E855" t="s">
        <v>74</v>
      </c>
      <c r="F855" t="s">
        <v>15604</v>
      </c>
      <c r="G855" t="s">
        <v>74</v>
      </c>
      <c r="H855" t="s">
        <v>74</v>
      </c>
      <c r="I855" t="s">
        <v>15605</v>
      </c>
      <c r="J855" t="s">
        <v>15606</v>
      </c>
      <c r="K855" t="s">
        <v>74</v>
      </c>
      <c r="L855" t="s">
        <v>74</v>
      </c>
      <c r="M855" t="s">
        <v>78</v>
      </c>
      <c r="N855" t="s">
        <v>79</v>
      </c>
      <c r="O855" t="s">
        <v>74</v>
      </c>
      <c r="P855" t="s">
        <v>74</v>
      </c>
      <c r="Q855" t="s">
        <v>74</v>
      </c>
      <c r="R855" t="s">
        <v>74</v>
      </c>
      <c r="S855" t="s">
        <v>74</v>
      </c>
      <c r="T855" t="s">
        <v>74</v>
      </c>
      <c r="U855" t="s">
        <v>15607</v>
      </c>
      <c r="V855" t="s">
        <v>15608</v>
      </c>
      <c r="W855" t="s">
        <v>15609</v>
      </c>
      <c r="X855" t="s">
        <v>15610</v>
      </c>
      <c r="Y855" t="s">
        <v>15611</v>
      </c>
      <c r="Z855" t="s">
        <v>15612</v>
      </c>
      <c r="AA855" t="s">
        <v>15613</v>
      </c>
      <c r="AB855" t="s">
        <v>15614</v>
      </c>
      <c r="AC855" t="s">
        <v>15615</v>
      </c>
      <c r="AD855" t="s">
        <v>15616</v>
      </c>
      <c r="AE855" t="s">
        <v>15617</v>
      </c>
      <c r="AF855" t="s">
        <v>74</v>
      </c>
      <c r="AG855">
        <v>26</v>
      </c>
      <c r="AH855">
        <v>20</v>
      </c>
      <c r="AI855">
        <v>20</v>
      </c>
      <c r="AJ855">
        <v>0</v>
      </c>
      <c r="AK855">
        <v>33</v>
      </c>
      <c r="AL855" t="s">
        <v>2418</v>
      </c>
      <c r="AM855" t="s">
        <v>786</v>
      </c>
      <c r="AN855" t="s">
        <v>2419</v>
      </c>
      <c r="AO855" t="s">
        <v>15618</v>
      </c>
      <c r="AP855" t="s">
        <v>15619</v>
      </c>
      <c r="AQ855" t="s">
        <v>74</v>
      </c>
      <c r="AR855" t="s">
        <v>15620</v>
      </c>
      <c r="AS855" t="s">
        <v>15621</v>
      </c>
      <c r="AT855" t="s">
        <v>15622</v>
      </c>
      <c r="AU855">
        <v>2012</v>
      </c>
      <c r="AV855">
        <v>84</v>
      </c>
      <c r="AW855">
        <v>23</v>
      </c>
      <c r="AX855" t="s">
        <v>74</v>
      </c>
      <c r="AY855" t="s">
        <v>74</v>
      </c>
      <c r="AZ855" t="s">
        <v>74</v>
      </c>
      <c r="BA855" t="s">
        <v>74</v>
      </c>
      <c r="BB855">
        <v>10199</v>
      </c>
      <c r="BC855">
        <v>10206</v>
      </c>
      <c r="BD855" t="s">
        <v>74</v>
      </c>
      <c r="BE855" t="s">
        <v>15623</v>
      </c>
      <c r="BF855" t="str">
        <f>HYPERLINK("http://dx.doi.org/10.1021/ac301099u","http://dx.doi.org/10.1021/ac301099u")</f>
        <v>http://dx.doi.org/10.1021/ac301099u</v>
      </c>
      <c r="BG855" t="s">
        <v>74</v>
      </c>
      <c r="BH855" t="s">
        <v>74</v>
      </c>
      <c r="BI855">
        <v>8</v>
      </c>
      <c r="BJ855" t="s">
        <v>15624</v>
      </c>
      <c r="BK855" t="s">
        <v>102</v>
      </c>
      <c r="BL855" t="s">
        <v>4420</v>
      </c>
      <c r="BM855" t="s">
        <v>15625</v>
      </c>
      <c r="BN855">
        <v>23121456</v>
      </c>
      <c r="BO855" t="s">
        <v>74</v>
      </c>
      <c r="BP855" t="s">
        <v>74</v>
      </c>
      <c r="BQ855" t="s">
        <v>74</v>
      </c>
      <c r="BR855" t="s">
        <v>105</v>
      </c>
      <c r="BS855" t="s">
        <v>15626</v>
      </c>
      <c r="BT855" t="str">
        <f>HYPERLINK("https%3A%2F%2Fwww.webofscience.com%2Fwos%2Fwoscc%2Ffull-record%2FWOS:000311815300010","View Full Record in Web of Science")</f>
        <v>View Full Record in Web of Science</v>
      </c>
    </row>
    <row r="856" spans="1:72" x14ac:dyDescent="0.15">
      <c r="A856" t="s">
        <v>72</v>
      </c>
      <c r="B856" t="s">
        <v>15627</v>
      </c>
      <c r="C856" t="s">
        <v>74</v>
      </c>
      <c r="D856" t="s">
        <v>74</v>
      </c>
      <c r="E856" t="s">
        <v>74</v>
      </c>
      <c r="F856" t="s">
        <v>15628</v>
      </c>
      <c r="G856" t="s">
        <v>74</v>
      </c>
      <c r="H856" t="s">
        <v>74</v>
      </c>
      <c r="I856" t="s">
        <v>15629</v>
      </c>
      <c r="J856" t="s">
        <v>2244</v>
      </c>
      <c r="K856" t="s">
        <v>74</v>
      </c>
      <c r="L856" t="s">
        <v>74</v>
      </c>
      <c r="M856" t="s">
        <v>78</v>
      </c>
      <c r="N856" t="s">
        <v>79</v>
      </c>
      <c r="O856" t="s">
        <v>74</v>
      </c>
      <c r="P856" t="s">
        <v>74</v>
      </c>
      <c r="Q856" t="s">
        <v>74</v>
      </c>
      <c r="R856" t="s">
        <v>74</v>
      </c>
      <c r="S856" t="s">
        <v>74</v>
      </c>
      <c r="T856" t="s">
        <v>15630</v>
      </c>
      <c r="U856" t="s">
        <v>15631</v>
      </c>
      <c r="V856" t="s">
        <v>15632</v>
      </c>
      <c r="W856" t="s">
        <v>15633</v>
      </c>
      <c r="X856" t="s">
        <v>1387</v>
      </c>
      <c r="Y856" t="s">
        <v>15634</v>
      </c>
      <c r="Z856" t="s">
        <v>15635</v>
      </c>
      <c r="AA856" t="s">
        <v>74</v>
      </c>
      <c r="AB856" t="s">
        <v>15636</v>
      </c>
      <c r="AC856" t="s">
        <v>74</v>
      </c>
      <c r="AD856" t="s">
        <v>74</v>
      </c>
      <c r="AE856" t="s">
        <v>74</v>
      </c>
      <c r="AF856" t="s">
        <v>74</v>
      </c>
      <c r="AG856">
        <v>36</v>
      </c>
      <c r="AH856">
        <v>55</v>
      </c>
      <c r="AI856">
        <v>64</v>
      </c>
      <c r="AJ856">
        <v>1</v>
      </c>
      <c r="AK856">
        <v>59</v>
      </c>
      <c r="AL856" t="s">
        <v>146</v>
      </c>
      <c r="AM856" t="s">
        <v>147</v>
      </c>
      <c r="AN856" t="s">
        <v>148</v>
      </c>
      <c r="AO856" t="s">
        <v>2257</v>
      </c>
      <c r="AP856" t="s">
        <v>74</v>
      </c>
      <c r="AQ856" t="s">
        <v>74</v>
      </c>
      <c r="AR856" t="s">
        <v>2258</v>
      </c>
      <c r="AS856" t="s">
        <v>2259</v>
      </c>
      <c r="AT856" t="s">
        <v>15622</v>
      </c>
      <c r="AU856">
        <v>2012</v>
      </c>
      <c r="AV856">
        <v>57</v>
      </c>
      <c r="AW856" t="s">
        <v>74</v>
      </c>
      <c r="AX856" t="s">
        <v>74</v>
      </c>
      <c r="AY856" t="s">
        <v>74</v>
      </c>
      <c r="AZ856" t="s">
        <v>74</v>
      </c>
      <c r="BA856" t="s">
        <v>74</v>
      </c>
      <c r="BB856">
        <v>17</v>
      </c>
      <c r="BC856">
        <v>25</v>
      </c>
      <c r="BD856" t="s">
        <v>74</v>
      </c>
      <c r="BE856" t="s">
        <v>15637</v>
      </c>
      <c r="BF856" t="str">
        <f>HYPERLINK("http://dx.doi.org/10.1016/j.quascirev.2012.09.024","http://dx.doi.org/10.1016/j.quascirev.2012.09.024")</f>
        <v>http://dx.doi.org/10.1016/j.quascirev.2012.09.024</v>
      </c>
      <c r="BG856" t="s">
        <v>74</v>
      </c>
      <c r="BH856" t="s">
        <v>74</v>
      </c>
      <c r="BI856">
        <v>9</v>
      </c>
      <c r="BJ856" t="s">
        <v>2261</v>
      </c>
      <c r="BK856" t="s">
        <v>102</v>
      </c>
      <c r="BL856" t="s">
        <v>2262</v>
      </c>
      <c r="BM856" t="s">
        <v>15638</v>
      </c>
      <c r="BN856" t="s">
        <v>74</v>
      </c>
      <c r="BO856" t="s">
        <v>429</v>
      </c>
      <c r="BP856" t="s">
        <v>74</v>
      </c>
      <c r="BQ856" t="s">
        <v>74</v>
      </c>
      <c r="BR856" t="s">
        <v>105</v>
      </c>
      <c r="BS856" t="s">
        <v>15639</v>
      </c>
      <c r="BT856" t="str">
        <f>HYPERLINK("https%3A%2F%2Fwww.webofscience.com%2Fwos%2Fwoscc%2Ffull-record%2FWOS:000312355900002","View Full Record in Web of Science")</f>
        <v>View Full Record in Web of Science</v>
      </c>
    </row>
    <row r="857" spans="1:72" x14ac:dyDescent="0.15">
      <c r="A857" t="s">
        <v>72</v>
      </c>
      <c r="B857" t="s">
        <v>15640</v>
      </c>
      <c r="C857" t="s">
        <v>74</v>
      </c>
      <c r="D857" t="s">
        <v>74</v>
      </c>
      <c r="E857" t="s">
        <v>74</v>
      </c>
      <c r="F857" t="s">
        <v>15641</v>
      </c>
      <c r="G857" t="s">
        <v>74</v>
      </c>
      <c r="H857" t="s">
        <v>74</v>
      </c>
      <c r="I857" t="s">
        <v>15642</v>
      </c>
      <c r="J857" t="s">
        <v>2244</v>
      </c>
      <c r="K857" t="s">
        <v>74</v>
      </c>
      <c r="L857" t="s">
        <v>74</v>
      </c>
      <c r="M857" t="s">
        <v>78</v>
      </c>
      <c r="N857" t="s">
        <v>79</v>
      </c>
      <c r="O857" t="s">
        <v>74</v>
      </c>
      <c r="P857" t="s">
        <v>74</v>
      </c>
      <c r="Q857" t="s">
        <v>74</v>
      </c>
      <c r="R857" t="s">
        <v>74</v>
      </c>
      <c r="S857" t="s">
        <v>74</v>
      </c>
      <c r="T857" t="s">
        <v>15643</v>
      </c>
      <c r="U857" t="s">
        <v>15644</v>
      </c>
      <c r="V857" t="s">
        <v>15645</v>
      </c>
      <c r="W857" t="s">
        <v>15646</v>
      </c>
      <c r="X857" t="s">
        <v>15647</v>
      </c>
      <c r="Y857" t="s">
        <v>15648</v>
      </c>
      <c r="Z857" t="s">
        <v>15649</v>
      </c>
      <c r="AA857" t="s">
        <v>15650</v>
      </c>
      <c r="AB857" t="s">
        <v>15651</v>
      </c>
      <c r="AC857" t="s">
        <v>15652</v>
      </c>
      <c r="AD857" t="s">
        <v>15653</v>
      </c>
      <c r="AE857" t="s">
        <v>15654</v>
      </c>
      <c r="AF857" t="s">
        <v>74</v>
      </c>
      <c r="AG857">
        <v>91</v>
      </c>
      <c r="AH857">
        <v>19</v>
      </c>
      <c r="AI857">
        <v>20</v>
      </c>
      <c r="AJ857">
        <v>0</v>
      </c>
      <c r="AK857">
        <v>31</v>
      </c>
      <c r="AL857" t="s">
        <v>146</v>
      </c>
      <c r="AM857" t="s">
        <v>147</v>
      </c>
      <c r="AN857" t="s">
        <v>148</v>
      </c>
      <c r="AO857" t="s">
        <v>2257</v>
      </c>
      <c r="AP857" t="s">
        <v>74</v>
      </c>
      <c r="AQ857" t="s">
        <v>74</v>
      </c>
      <c r="AR857" t="s">
        <v>2258</v>
      </c>
      <c r="AS857" t="s">
        <v>2259</v>
      </c>
      <c r="AT857" t="s">
        <v>15622</v>
      </c>
      <c r="AU857">
        <v>2012</v>
      </c>
      <c r="AV857">
        <v>57</v>
      </c>
      <c r="AW857" t="s">
        <v>74</v>
      </c>
      <c r="AX857" t="s">
        <v>74</v>
      </c>
      <c r="AY857" t="s">
        <v>74</v>
      </c>
      <c r="AZ857" t="s">
        <v>74</v>
      </c>
      <c r="BA857" t="s">
        <v>74</v>
      </c>
      <c r="BB857">
        <v>46</v>
      </c>
      <c r="BC857">
        <v>57</v>
      </c>
      <c r="BD857" t="s">
        <v>74</v>
      </c>
      <c r="BE857" t="s">
        <v>15655</v>
      </c>
      <c r="BF857" t="str">
        <f>HYPERLINK("http://dx.doi.org/10.1016/j.quascirev.2012.10.002","http://dx.doi.org/10.1016/j.quascirev.2012.10.002")</f>
        <v>http://dx.doi.org/10.1016/j.quascirev.2012.10.002</v>
      </c>
      <c r="BG857" t="s">
        <v>74</v>
      </c>
      <c r="BH857" t="s">
        <v>74</v>
      </c>
      <c r="BI857">
        <v>12</v>
      </c>
      <c r="BJ857" t="s">
        <v>2261</v>
      </c>
      <c r="BK857" t="s">
        <v>102</v>
      </c>
      <c r="BL857" t="s">
        <v>2262</v>
      </c>
      <c r="BM857" t="s">
        <v>15638</v>
      </c>
      <c r="BN857" t="s">
        <v>74</v>
      </c>
      <c r="BO857" t="s">
        <v>74</v>
      </c>
      <c r="BP857" t="s">
        <v>74</v>
      </c>
      <c r="BQ857" t="s">
        <v>74</v>
      </c>
      <c r="BR857" t="s">
        <v>105</v>
      </c>
      <c r="BS857" t="s">
        <v>15656</v>
      </c>
      <c r="BT857" t="str">
        <f>HYPERLINK("https%3A%2F%2Fwww.webofscience.com%2Fwos%2Fwoscc%2Ffull-record%2FWOS:000312355900004","View Full Record in Web of Science")</f>
        <v>View Full Record in Web of Science</v>
      </c>
    </row>
    <row r="858" spans="1:72" x14ac:dyDescent="0.15">
      <c r="A858" t="s">
        <v>72</v>
      </c>
      <c r="B858" t="s">
        <v>15657</v>
      </c>
      <c r="C858" t="s">
        <v>74</v>
      </c>
      <c r="D858" t="s">
        <v>74</v>
      </c>
      <c r="E858" t="s">
        <v>74</v>
      </c>
      <c r="F858" t="s">
        <v>15658</v>
      </c>
      <c r="G858" t="s">
        <v>74</v>
      </c>
      <c r="H858" t="s">
        <v>74</v>
      </c>
      <c r="I858" t="s">
        <v>15659</v>
      </c>
      <c r="J858" t="s">
        <v>2244</v>
      </c>
      <c r="K858" t="s">
        <v>74</v>
      </c>
      <c r="L858" t="s">
        <v>74</v>
      </c>
      <c r="M858" t="s">
        <v>78</v>
      </c>
      <c r="N858" t="s">
        <v>79</v>
      </c>
      <c r="O858" t="s">
        <v>74</v>
      </c>
      <c r="P858" t="s">
        <v>74</v>
      </c>
      <c r="Q858" t="s">
        <v>74</v>
      </c>
      <c r="R858" t="s">
        <v>74</v>
      </c>
      <c r="S858" t="s">
        <v>74</v>
      </c>
      <c r="T858" t="s">
        <v>15660</v>
      </c>
      <c r="U858" t="s">
        <v>15661</v>
      </c>
      <c r="V858" t="s">
        <v>15662</v>
      </c>
      <c r="W858" t="s">
        <v>15663</v>
      </c>
      <c r="X858" t="s">
        <v>15664</v>
      </c>
      <c r="Y858" t="s">
        <v>15665</v>
      </c>
      <c r="Z858" t="s">
        <v>15666</v>
      </c>
      <c r="AA858" t="s">
        <v>15667</v>
      </c>
      <c r="AB858" t="s">
        <v>15668</v>
      </c>
      <c r="AC858" t="s">
        <v>15669</v>
      </c>
      <c r="AD858" t="s">
        <v>15670</v>
      </c>
      <c r="AE858" t="s">
        <v>15671</v>
      </c>
      <c r="AF858" t="s">
        <v>74</v>
      </c>
      <c r="AG858">
        <v>83</v>
      </c>
      <c r="AH858">
        <v>16</v>
      </c>
      <c r="AI858">
        <v>17</v>
      </c>
      <c r="AJ858">
        <v>0</v>
      </c>
      <c r="AK858">
        <v>28</v>
      </c>
      <c r="AL858" t="s">
        <v>146</v>
      </c>
      <c r="AM858" t="s">
        <v>147</v>
      </c>
      <c r="AN858" t="s">
        <v>148</v>
      </c>
      <c r="AO858" t="s">
        <v>2257</v>
      </c>
      <c r="AP858" t="s">
        <v>15672</v>
      </c>
      <c r="AQ858" t="s">
        <v>74</v>
      </c>
      <c r="AR858" t="s">
        <v>2258</v>
      </c>
      <c r="AS858" t="s">
        <v>2259</v>
      </c>
      <c r="AT858" t="s">
        <v>15622</v>
      </c>
      <c r="AU858">
        <v>2012</v>
      </c>
      <c r="AV858">
        <v>57</v>
      </c>
      <c r="AW858" t="s">
        <v>74</v>
      </c>
      <c r="AX858" t="s">
        <v>74</v>
      </c>
      <c r="AY858" t="s">
        <v>74</v>
      </c>
      <c r="AZ858" t="s">
        <v>74</v>
      </c>
      <c r="BA858" t="s">
        <v>74</v>
      </c>
      <c r="BB858">
        <v>85</v>
      </c>
      <c r="BC858">
        <v>94</v>
      </c>
      <c r="BD858" t="s">
        <v>74</v>
      </c>
      <c r="BE858" t="s">
        <v>15673</v>
      </c>
      <c r="BF858" t="str">
        <f>HYPERLINK("http://dx.doi.org/10.1016/j.quascirev.2012.09.026","http://dx.doi.org/10.1016/j.quascirev.2012.09.026")</f>
        <v>http://dx.doi.org/10.1016/j.quascirev.2012.09.026</v>
      </c>
      <c r="BG858" t="s">
        <v>74</v>
      </c>
      <c r="BH858" t="s">
        <v>74</v>
      </c>
      <c r="BI858">
        <v>10</v>
      </c>
      <c r="BJ858" t="s">
        <v>2261</v>
      </c>
      <c r="BK858" t="s">
        <v>102</v>
      </c>
      <c r="BL858" t="s">
        <v>2262</v>
      </c>
      <c r="BM858" t="s">
        <v>15638</v>
      </c>
      <c r="BN858" t="s">
        <v>74</v>
      </c>
      <c r="BO858" t="s">
        <v>74</v>
      </c>
      <c r="BP858" t="s">
        <v>74</v>
      </c>
      <c r="BQ858" t="s">
        <v>74</v>
      </c>
      <c r="BR858" t="s">
        <v>105</v>
      </c>
      <c r="BS858" t="s">
        <v>15674</v>
      </c>
      <c r="BT858" t="str">
        <f>HYPERLINK("https%3A%2F%2Fwww.webofscience.com%2Fwos%2Fwoscc%2Ffull-record%2FWOS:000312355900007","View Full Record in Web of Science")</f>
        <v>View Full Record in Web of Science</v>
      </c>
    </row>
    <row r="859" spans="1:72" x14ac:dyDescent="0.15">
      <c r="A859" t="s">
        <v>72</v>
      </c>
      <c r="B859" t="s">
        <v>15675</v>
      </c>
      <c r="C859" t="s">
        <v>74</v>
      </c>
      <c r="D859" t="s">
        <v>74</v>
      </c>
      <c r="E859" t="s">
        <v>74</v>
      </c>
      <c r="F859" t="s">
        <v>15676</v>
      </c>
      <c r="G859" t="s">
        <v>74</v>
      </c>
      <c r="H859" t="s">
        <v>74</v>
      </c>
      <c r="I859" t="s">
        <v>15677</v>
      </c>
      <c r="J859" t="s">
        <v>2341</v>
      </c>
      <c r="K859" t="s">
        <v>74</v>
      </c>
      <c r="L859" t="s">
        <v>74</v>
      </c>
      <c r="M859" t="s">
        <v>78</v>
      </c>
      <c r="N859" t="s">
        <v>79</v>
      </c>
      <c r="O859" t="s">
        <v>74</v>
      </c>
      <c r="P859" t="s">
        <v>74</v>
      </c>
      <c r="Q859" t="s">
        <v>74</v>
      </c>
      <c r="R859" t="s">
        <v>74</v>
      </c>
      <c r="S859" t="s">
        <v>74</v>
      </c>
      <c r="T859" t="s">
        <v>74</v>
      </c>
      <c r="U859" t="s">
        <v>15678</v>
      </c>
      <c r="V859" t="s">
        <v>15679</v>
      </c>
      <c r="W859" t="s">
        <v>15680</v>
      </c>
      <c r="X859" t="s">
        <v>15681</v>
      </c>
      <c r="Y859" t="s">
        <v>15682</v>
      </c>
      <c r="Z859" t="s">
        <v>15683</v>
      </c>
      <c r="AA859" t="s">
        <v>15684</v>
      </c>
      <c r="AB859" t="s">
        <v>15685</v>
      </c>
      <c r="AC859" t="s">
        <v>15686</v>
      </c>
      <c r="AD859" t="s">
        <v>15687</v>
      </c>
      <c r="AE859" t="s">
        <v>15688</v>
      </c>
      <c r="AF859" t="s">
        <v>74</v>
      </c>
      <c r="AG859">
        <v>68</v>
      </c>
      <c r="AH859">
        <v>26</v>
      </c>
      <c r="AI859">
        <v>26</v>
      </c>
      <c r="AJ859">
        <v>0</v>
      </c>
      <c r="AK859">
        <v>61</v>
      </c>
      <c r="AL859" t="s">
        <v>2350</v>
      </c>
      <c r="AM859" t="s">
        <v>2351</v>
      </c>
      <c r="AN859" t="s">
        <v>2352</v>
      </c>
      <c r="AO859" t="s">
        <v>2353</v>
      </c>
      <c r="AP859" t="s">
        <v>74</v>
      </c>
      <c r="AQ859" t="s">
        <v>74</v>
      </c>
      <c r="AR859" t="s">
        <v>2341</v>
      </c>
      <c r="AS859" t="s">
        <v>2354</v>
      </c>
      <c r="AT859" t="s">
        <v>15689</v>
      </c>
      <c r="AU859">
        <v>2012</v>
      </c>
      <c r="AV859">
        <v>7</v>
      </c>
      <c r="AW859">
        <v>12</v>
      </c>
      <c r="AX859" t="s">
        <v>74</v>
      </c>
      <c r="AY859" t="s">
        <v>74</v>
      </c>
      <c r="AZ859" t="s">
        <v>74</v>
      </c>
      <c r="BA859" t="s">
        <v>74</v>
      </c>
      <c r="BB859" t="s">
        <v>74</v>
      </c>
      <c r="BC859" t="s">
        <v>74</v>
      </c>
      <c r="BD859" t="s">
        <v>15690</v>
      </c>
      <c r="BE859" t="s">
        <v>15691</v>
      </c>
      <c r="BF859" t="str">
        <f>HYPERLINK("http://dx.doi.org/10.1371/journal.pone.0044508","http://dx.doi.org/10.1371/journal.pone.0044508")</f>
        <v>http://dx.doi.org/10.1371/journal.pone.0044508</v>
      </c>
      <c r="BG859" t="s">
        <v>74</v>
      </c>
      <c r="BH859" t="s">
        <v>74</v>
      </c>
      <c r="BI859">
        <v>11</v>
      </c>
      <c r="BJ859" t="s">
        <v>328</v>
      </c>
      <c r="BK859" t="s">
        <v>102</v>
      </c>
      <c r="BL859" t="s">
        <v>329</v>
      </c>
      <c r="BM859" t="s">
        <v>15692</v>
      </c>
      <c r="BN859">
        <v>23226490</v>
      </c>
      <c r="BO859" t="s">
        <v>2629</v>
      </c>
      <c r="BP859" t="s">
        <v>74</v>
      </c>
      <c r="BQ859" t="s">
        <v>74</v>
      </c>
      <c r="BR859" t="s">
        <v>105</v>
      </c>
      <c r="BS859" t="s">
        <v>15693</v>
      </c>
      <c r="BT859" t="str">
        <f>HYPERLINK("https%3A%2F%2Fwww.webofscience.com%2Fwos%2Fwoscc%2Ffull-record%2FWOS:000312104700001","View Full Record in Web of Science")</f>
        <v>View Full Record in Web of Science</v>
      </c>
    </row>
    <row r="860" spans="1:72" x14ac:dyDescent="0.15">
      <c r="A860" t="s">
        <v>72</v>
      </c>
      <c r="B860" t="s">
        <v>15694</v>
      </c>
      <c r="C860" t="s">
        <v>74</v>
      </c>
      <c r="D860" t="s">
        <v>74</v>
      </c>
      <c r="E860" t="s">
        <v>74</v>
      </c>
      <c r="F860" t="s">
        <v>15695</v>
      </c>
      <c r="G860" t="s">
        <v>74</v>
      </c>
      <c r="H860" t="s">
        <v>74</v>
      </c>
      <c r="I860" t="s">
        <v>15696</v>
      </c>
      <c r="J860" t="s">
        <v>15697</v>
      </c>
      <c r="K860" t="s">
        <v>74</v>
      </c>
      <c r="L860" t="s">
        <v>74</v>
      </c>
      <c r="M860" t="s">
        <v>78</v>
      </c>
      <c r="N860" t="s">
        <v>79</v>
      </c>
      <c r="O860" t="s">
        <v>74</v>
      </c>
      <c r="P860" t="s">
        <v>74</v>
      </c>
      <c r="Q860" t="s">
        <v>74</v>
      </c>
      <c r="R860" t="s">
        <v>74</v>
      </c>
      <c r="S860" t="s">
        <v>74</v>
      </c>
      <c r="T860" t="s">
        <v>15698</v>
      </c>
      <c r="U860" t="s">
        <v>15699</v>
      </c>
      <c r="V860" t="s">
        <v>15700</v>
      </c>
      <c r="W860" t="s">
        <v>15701</v>
      </c>
      <c r="X860" t="s">
        <v>15702</v>
      </c>
      <c r="Y860" t="s">
        <v>2995</v>
      </c>
      <c r="Z860" t="s">
        <v>2996</v>
      </c>
      <c r="AA860" t="s">
        <v>74</v>
      </c>
      <c r="AB860" t="s">
        <v>74</v>
      </c>
      <c r="AC860" t="s">
        <v>74</v>
      </c>
      <c r="AD860" t="s">
        <v>74</v>
      </c>
      <c r="AE860" t="s">
        <v>74</v>
      </c>
      <c r="AF860" t="s">
        <v>74</v>
      </c>
      <c r="AG860">
        <v>25</v>
      </c>
      <c r="AH860">
        <v>3</v>
      </c>
      <c r="AI860">
        <v>3</v>
      </c>
      <c r="AJ860">
        <v>0</v>
      </c>
      <c r="AK860">
        <v>3</v>
      </c>
      <c r="AL860" t="s">
        <v>500</v>
      </c>
      <c r="AM860" t="s">
        <v>296</v>
      </c>
      <c r="AN860" t="s">
        <v>501</v>
      </c>
      <c r="AO860" t="s">
        <v>15703</v>
      </c>
      <c r="AP860" t="s">
        <v>15704</v>
      </c>
      <c r="AQ860" t="s">
        <v>74</v>
      </c>
      <c r="AR860" t="s">
        <v>15705</v>
      </c>
      <c r="AS860" t="s">
        <v>15706</v>
      </c>
      <c r="AT860" t="s">
        <v>15707</v>
      </c>
      <c r="AU860">
        <v>2012</v>
      </c>
      <c r="AV860">
        <v>7</v>
      </c>
      <c r="AW860">
        <v>2</v>
      </c>
      <c r="AX860" t="s">
        <v>74</v>
      </c>
      <c r="AY860" t="s">
        <v>74</v>
      </c>
      <c r="AZ860" t="s">
        <v>74</v>
      </c>
      <c r="BA860" t="s">
        <v>74</v>
      </c>
      <c r="BB860">
        <v>223</v>
      </c>
      <c r="BC860">
        <v>230</v>
      </c>
      <c r="BD860" t="s">
        <v>74</v>
      </c>
      <c r="BE860" t="s">
        <v>15708</v>
      </c>
      <c r="BF860" t="str">
        <f>HYPERLINK("http://dx.doi.org/10.1007/s11457-012-9085-x","http://dx.doi.org/10.1007/s11457-012-9085-x")</f>
        <v>http://dx.doi.org/10.1007/s11457-012-9085-x</v>
      </c>
      <c r="BG860" t="s">
        <v>74</v>
      </c>
      <c r="BH860" t="s">
        <v>74</v>
      </c>
      <c r="BI860">
        <v>8</v>
      </c>
      <c r="BJ860" t="s">
        <v>15709</v>
      </c>
      <c r="BK860" t="s">
        <v>15710</v>
      </c>
      <c r="BL860" t="s">
        <v>15709</v>
      </c>
      <c r="BM860" t="s">
        <v>15711</v>
      </c>
      <c r="BN860" t="s">
        <v>74</v>
      </c>
      <c r="BO860" t="s">
        <v>74</v>
      </c>
      <c r="BP860" t="s">
        <v>74</v>
      </c>
      <c r="BQ860" t="s">
        <v>74</v>
      </c>
      <c r="BR860" t="s">
        <v>105</v>
      </c>
      <c r="BS860" t="s">
        <v>15712</v>
      </c>
      <c r="BT860" t="str">
        <f>HYPERLINK("https%3A%2F%2Fwww.webofscience.com%2Fwos%2Fwoscc%2Ffull-record%2FWOS:000320457600001","View Full Record in Web of Science")</f>
        <v>View Full Record in Web of Science</v>
      </c>
    </row>
    <row r="861" spans="1:72" x14ac:dyDescent="0.15">
      <c r="A861" t="s">
        <v>72</v>
      </c>
      <c r="B861" t="s">
        <v>15713</v>
      </c>
      <c r="C861" t="s">
        <v>74</v>
      </c>
      <c r="D861" t="s">
        <v>74</v>
      </c>
      <c r="E861" t="s">
        <v>74</v>
      </c>
      <c r="F861" t="s">
        <v>15714</v>
      </c>
      <c r="G861" t="s">
        <v>74</v>
      </c>
      <c r="H861" t="s">
        <v>74</v>
      </c>
      <c r="I861" t="s">
        <v>15715</v>
      </c>
      <c r="J861" t="s">
        <v>3299</v>
      </c>
      <c r="K861" t="s">
        <v>74</v>
      </c>
      <c r="L861" t="s">
        <v>74</v>
      </c>
      <c r="M861" t="s">
        <v>78</v>
      </c>
      <c r="N861" t="s">
        <v>79</v>
      </c>
      <c r="O861" t="s">
        <v>74</v>
      </c>
      <c r="P861" t="s">
        <v>74</v>
      </c>
      <c r="Q861" t="s">
        <v>74</v>
      </c>
      <c r="R861" t="s">
        <v>74</v>
      </c>
      <c r="S861" t="s">
        <v>74</v>
      </c>
      <c r="T861" t="s">
        <v>74</v>
      </c>
      <c r="U861" t="s">
        <v>15716</v>
      </c>
      <c r="V861" t="s">
        <v>15717</v>
      </c>
      <c r="W861" t="s">
        <v>15718</v>
      </c>
      <c r="X861" t="s">
        <v>15719</v>
      </c>
      <c r="Y861" t="s">
        <v>15720</v>
      </c>
      <c r="Z861" t="s">
        <v>15721</v>
      </c>
      <c r="AA861" t="s">
        <v>15722</v>
      </c>
      <c r="AB861" t="s">
        <v>74</v>
      </c>
      <c r="AC861" t="s">
        <v>74</v>
      </c>
      <c r="AD861" t="s">
        <v>74</v>
      </c>
      <c r="AE861" t="s">
        <v>74</v>
      </c>
      <c r="AF861" t="s">
        <v>74</v>
      </c>
      <c r="AG861">
        <v>39</v>
      </c>
      <c r="AH861">
        <v>20</v>
      </c>
      <c r="AI861">
        <v>20</v>
      </c>
      <c r="AJ861">
        <v>1</v>
      </c>
      <c r="AK861">
        <v>22</v>
      </c>
      <c r="AL861" t="s">
        <v>3310</v>
      </c>
      <c r="AM861" t="s">
        <v>3311</v>
      </c>
      <c r="AN861" t="s">
        <v>3312</v>
      </c>
      <c r="AO861" t="s">
        <v>3313</v>
      </c>
      <c r="AP861" t="s">
        <v>74</v>
      </c>
      <c r="AQ861" t="s">
        <v>74</v>
      </c>
      <c r="AR861" t="s">
        <v>3314</v>
      </c>
      <c r="AS861" t="s">
        <v>3315</v>
      </c>
      <c r="AT861" t="s">
        <v>15707</v>
      </c>
      <c r="AU861">
        <v>2012</v>
      </c>
      <c r="AV861">
        <v>62</v>
      </c>
      <c r="AW861">
        <v>4</v>
      </c>
      <c r="AX861" t="s">
        <v>74</v>
      </c>
      <c r="AY861" t="s">
        <v>74</v>
      </c>
      <c r="AZ861" t="s">
        <v>74</v>
      </c>
      <c r="BA861" t="s">
        <v>74</v>
      </c>
      <c r="BB861">
        <v>247</v>
      </c>
      <c r="BC861">
        <v>261</v>
      </c>
      <c r="BD861" t="s">
        <v>74</v>
      </c>
      <c r="BE861" t="s">
        <v>74</v>
      </c>
      <c r="BF861" t="s">
        <v>74</v>
      </c>
      <c r="BG861" t="s">
        <v>74</v>
      </c>
      <c r="BH861" t="s">
        <v>74</v>
      </c>
      <c r="BI861">
        <v>15</v>
      </c>
      <c r="BJ861" t="s">
        <v>617</v>
      </c>
      <c r="BK861" t="s">
        <v>102</v>
      </c>
      <c r="BL861" t="s">
        <v>617</v>
      </c>
      <c r="BM861" t="s">
        <v>15723</v>
      </c>
      <c r="BN861" t="s">
        <v>74</v>
      </c>
      <c r="BO861" t="s">
        <v>74</v>
      </c>
      <c r="BP861" t="s">
        <v>74</v>
      </c>
      <c r="BQ861" t="s">
        <v>74</v>
      </c>
      <c r="BR861" t="s">
        <v>105</v>
      </c>
      <c r="BS861" t="s">
        <v>15724</v>
      </c>
      <c r="BT861" t="str">
        <f>HYPERLINK("https%3A%2F%2Fwww.webofscience.com%2Fwos%2Fwoscc%2Ffull-record%2FWOS:000318749900005","View Full Record in Web of Science")</f>
        <v>View Full Record in Web of Science</v>
      </c>
    </row>
    <row r="862" spans="1:72" x14ac:dyDescent="0.15">
      <c r="A862" t="s">
        <v>72</v>
      </c>
      <c r="B862" t="s">
        <v>15725</v>
      </c>
      <c r="C862" t="s">
        <v>74</v>
      </c>
      <c r="D862" t="s">
        <v>74</v>
      </c>
      <c r="E862" t="s">
        <v>74</v>
      </c>
      <c r="F862" t="s">
        <v>15726</v>
      </c>
      <c r="G862" t="s">
        <v>74</v>
      </c>
      <c r="H862" t="s">
        <v>74</v>
      </c>
      <c r="I862" t="s">
        <v>15727</v>
      </c>
      <c r="J862" t="s">
        <v>15728</v>
      </c>
      <c r="K862" t="s">
        <v>74</v>
      </c>
      <c r="L862" t="s">
        <v>74</v>
      </c>
      <c r="M862" t="s">
        <v>78</v>
      </c>
      <c r="N862" t="s">
        <v>79</v>
      </c>
      <c r="O862" t="s">
        <v>74</v>
      </c>
      <c r="P862" t="s">
        <v>74</v>
      </c>
      <c r="Q862" t="s">
        <v>74</v>
      </c>
      <c r="R862" t="s">
        <v>74</v>
      </c>
      <c r="S862" t="s">
        <v>74</v>
      </c>
      <c r="T862" t="s">
        <v>15729</v>
      </c>
      <c r="U862" t="s">
        <v>15730</v>
      </c>
      <c r="V862" t="s">
        <v>15731</v>
      </c>
      <c r="W862" t="s">
        <v>15732</v>
      </c>
      <c r="X862" t="s">
        <v>15733</v>
      </c>
      <c r="Y862" t="s">
        <v>15734</v>
      </c>
      <c r="Z862" t="s">
        <v>15735</v>
      </c>
      <c r="AA862" t="s">
        <v>15736</v>
      </c>
      <c r="AB862" t="s">
        <v>15737</v>
      </c>
      <c r="AC862" t="s">
        <v>15738</v>
      </c>
      <c r="AD862" t="s">
        <v>15739</v>
      </c>
      <c r="AE862" t="s">
        <v>15740</v>
      </c>
      <c r="AF862" t="s">
        <v>74</v>
      </c>
      <c r="AG862">
        <v>80</v>
      </c>
      <c r="AH862">
        <v>24</v>
      </c>
      <c r="AI862">
        <v>29</v>
      </c>
      <c r="AJ862">
        <v>1</v>
      </c>
      <c r="AK862">
        <v>32</v>
      </c>
      <c r="AL862" t="s">
        <v>15741</v>
      </c>
      <c r="AM862" t="s">
        <v>10249</v>
      </c>
      <c r="AN862" t="s">
        <v>15742</v>
      </c>
      <c r="AO862" t="s">
        <v>15743</v>
      </c>
      <c r="AP862" t="s">
        <v>15744</v>
      </c>
      <c r="AQ862" t="s">
        <v>74</v>
      </c>
      <c r="AR862" t="s">
        <v>15745</v>
      </c>
      <c r="AS862" t="s">
        <v>15746</v>
      </c>
      <c r="AT862" t="s">
        <v>15707</v>
      </c>
      <c r="AU862">
        <v>2012</v>
      </c>
      <c r="AV862">
        <v>85</v>
      </c>
      <c r="AW862">
        <v>4</v>
      </c>
      <c r="AX862" t="s">
        <v>74</v>
      </c>
      <c r="AY862" t="s">
        <v>74</v>
      </c>
      <c r="AZ862" t="s">
        <v>74</v>
      </c>
      <c r="BA862" t="s">
        <v>74</v>
      </c>
      <c r="BB862">
        <v>369</v>
      </c>
      <c r="BC862">
        <v>392</v>
      </c>
      <c r="BD862" t="s">
        <v>74</v>
      </c>
      <c r="BE862" t="s">
        <v>15747</v>
      </c>
      <c r="BF862" t="str">
        <f>HYPERLINK("http://dx.doi.org/10.4067/S0716-078X2012000400002","http://dx.doi.org/10.4067/S0716-078X2012000400002")</f>
        <v>http://dx.doi.org/10.4067/S0716-078X2012000400002</v>
      </c>
      <c r="BG862" t="s">
        <v>74</v>
      </c>
      <c r="BH862" t="s">
        <v>74</v>
      </c>
      <c r="BI862">
        <v>24</v>
      </c>
      <c r="BJ862" t="s">
        <v>981</v>
      </c>
      <c r="BK862" t="s">
        <v>102</v>
      </c>
      <c r="BL862" t="s">
        <v>958</v>
      </c>
      <c r="BM862" t="s">
        <v>15748</v>
      </c>
      <c r="BN862" t="s">
        <v>74</v>
      </c>
      <c r="BO862" t="s">
        <v>4621</v>
      </c>
      <c r="BP862" t="s">
        <v>74</v>
      </c>
      <c r="BQ862" t="s">
        <v>74</v>
      </c>
      <c r="BR862" t="s">
        <v>105</v>
      </c>
      <c r="BS862" t="s">
        <v>15749</v>
      </c>
      <c r="BT862" t="str">
        <f>HYPERLINK("https%3A%2F%2Fwww.webofscience.com%2Fwos%2Fwoscc%2Ffull-record%2FWOS:000316580900002","View Full Record in Web of Science")</f>
        <v>View Full Record in Web of Science</v>
      </c>
    </row>
    <row r="863" spans="1:72" x14ac:dyDescent="0.15">
      <c r="A863" t="s">
        <v>72</v>
      </c>
      <c r="B863" t="s">
        <v>15750</v>
      </c>
      <c r="C863" t="s">
        <v>74</v>
      </c>
      <c r="D863" t="s">
        <v>74</v>
      </c>
      <c r="E863" t="s">
        <v>74</v>
      </c>
      <c r="F863" t="s">
        <v>15751</v>
      </c>
      <c r="G863" t="s">
        <v>74</v>
      </c>
      <c r="H863" t="s">
        <v>74</v>
      </c>
      <c r="I863" t="s">
        <v>15752</v>
      </c>
      <c r="J863" t="s">
        <v>15728</v>
      </c>
      <c r="K863" t="s">
        <v>74</v>
      </c>
      <c r="L863" t="s">
        <v>74</v>
      </c>
      <c r="M863" t="s">
        <v>78</v>
      </c>
      <c r="N863" t="s">
        <v>79</v>
      </c>
      <c r="O863" t="s">
        <v>74</v>
      </c>
      <c r="P863" t="s">
        <v>74</v>
      </c>
      <c r="Q863" t="s">
        <v>74</v>
      </c>
      <c r="R863" t="s">
        <v>74</v>
      </c>
      <c r="S863" t="s">
        <v>74</v>
      </c>
      <c r="T863" t="s">
        <v>15753</v>
      </c>
      <c r="U863" t="s">
        <v>15754</v>
      </c>
      <c r="V863" t="s">
        <v>15755</v>
      </c>
      <c r="W863" t="s">
        <v>15756</v>
      </c>
      <c r="X863" t="s">
        <v>367</v>
      </c>
      <c r="Y863" t="s">
        <v>15757</v>
      </c>
      <c r="Z863" t="s">
        <v>4615</v>
      </c>
      <c r="AA863" t="s">
        <v>15758</v>
      </c>
      <c r="AB863" t="s">
        <v>15759</v>
      </c>
      <c r="AC863" t="s">
        <v>15760</v>
      </c>
      <c r="AD863" t="s">
        <v>15760</v>
      </c>
      <c r="AE863" t="s">
        <v>15761</v>
      </c>
      <c r="AF863" t="s">
        <v>74</v>
      </c>
      <c r="AG863">
        <v>42</v>
      </c>
      <c r="AH863">
        <v>10</v>
      </c>
      <c r="AI863">
        <v>10</v>
      </c>
      <c r="AJ863">
        <v>1</v>
      </c>
      <c r="AK863">
        <v>23</v>
      </c>
      <c r="AL863" t="s">
        <v>15741</v>
      </c>
      <c r="AM863" t="s">
        <v>10249</v>
      </c>
      <c r="AN863" t="s">
        <v>15742</v>
      </c>
      <c r="AO863" t="s">
        <v>15743</v>
      </c>
      <c r="AP863" t="s">
        <v>74</v>
      </c>
      <c r="AQ863" t="s">
        <v>74</v>
      </c>
      <c r="AR863" t="s">
        <v>15745</v>
      </c>
      <c r="AS863" t="s">
        <v>15746</v>
      </c>
      <c r="AT863" t="s">
        <v>15707</v>
      </c>
      <c r="AU863">
        <v>2012</v>
      </c>
      <c r="AV863">
        <v>85</v>
      </c>
      <c r="AW863">
        <v>4</v>
      </c>
      <c r="AX863" t="s">
        <v>74</v>
      </c>
      <c r="AY863" t="s">
        <v>74</v>
      </c>
      <c r="AZ863" t="s">
        <v>74</v>
      </c>
      <c r="BA863" t="s">
        <v>74</v>
      </c>
      <c r="BB863">
        <v>393</v>
      </c>
      <c r="BC863">
        <v>407</v>
      </c>
      <c r="BD863" t="s">
        <v>74</v>
      </c>
      <c r="BE863" t="s">
        <v>15762</v>
      </c>
      <c r="BF863" t="str">
        <f>HYPERLINK("http://dx.doi.org/10.4067/S0716-078X2012000400003","http://dx.doi.org/10.4067/S0716-078X2012000400003")</f>
        <v>http://dx.doi.org/10.4067/S0716-078X2012000400003</v>
      </c>
      <c r="BG863" t="s">
        <v>74</v>
      </c>
      <c r="BH863" t="s">
        <v>74</v>
      </c>
      <c r="BI863">
        <v>15</v>
      </c>
      <c r="BJ863" t="s">
        <v>981</v>
      </c>
      <c r="BK863" t="s">
        <v>102</v>
      </c>
      <c r="BL863" t="s">
        <v>958</v>
      </c>
      <c r="BM863" t="s">
        <v>15748</v>
      </c>
      <c r="BN863" t="s">
        <v>74</v>
      </c>
      <c r="BO863" t="s">
        <v>4132</v>
      </c>
      <c r="BP863" t="s">
        <v>74</v>
      </c>
      <c r="BQ863" t="s">
        <v>74</v>
      </c>
      <c r="BR863" t="s">
        <v>105</v>
      </c>
      <c r="BS863" t="s">
        <v>15763</v>
      </c>
      <c r="BT863" t="str">
        <f>HYPERLINK("https%3A%2F%2Fwww.webofscience.com%2Fwos%2Fwoscc%2Ffull-record%2FWOS:000316580900003","View Full Record in Web of Science")</f>
        <v>View Full Record in Web of Science</v>
      </c>
    </row>
    <row r="864" spans="1:72" x14ac:dyDescent="0.15">
      <c r="A864" t="s">
        <v>72</v>
      </c>
      <c r="B864" t="s">
        <v>15764</v>
      </c>
      <c r="C864" t="s">
        <v>74</v>
      </c>
      <c r="D864" t="s">
        <v>74</v>
      </c>
      <c r="E864" t="s">
        <v>74</v>
      </c>
      <c r="F864" t="s">
        <v>15765</v>
      </c>
      <c r="G864" t="s">
        <v>74</v>
      </c>
      <c r="H864" t="s">
        <v>74</v>
      </c>
      <c r="I864" t="s">
        <v>15766</v>
      </c>
      <c r="J864" t="s">
        <v>15728</v>
      </c>
      <c r="K864" t="s">
        <v>74</v>
      </c>
      <c r="L864" t="s">
        <v>74</v>
      </c>
      <c r="M864" t="s">
        <v>78</v>
      </c>
      <c r="N864" t="s">
        <v>79</v>
      </c>
      <c r="O864" t="s">
        <v>74</v>
      </c>
      <c r="P864" t="s">
        <v>74</v>
      </c>
      <c r="Q864" t="s">
        <v>74</v>
      </c>
      <c r="R864" t="s">
        <v>74</v>
      </c>
      <c r="S864" t="s">
        <v>74</v>
      </c>
      <c r="T864" t="s">
        <v>15767</v>
      </c>
      <c r="U864" t="s">
        <v>15768</v>
      </c>
      <c r="V864" t="s">
        <v>15769</v>
      </c>
      <c r="W864" t="s">
        <v>15770</v>
      </c>
      <c r="X864" t="s">
        <v>15771</v>
      </c>
      <c r="Y864" t="s">
        <v>15772</v>
      </c>
      <c r="Z864" t="s">
        <v>15773</v>
      </c>
      <c r="AA864" t="s">
        <v>15774</v>
      </c>
      <c r="AB864" t="s">
        <v>15775</v>
      </c>
      <c r="AC864" t="s">
        <v>15776</v>
      </c>
      <c r="AD864" t="s">
        <v>15777</v>
      </c>
      <c r="AE864" t="s">
        <v>15778</v>
      </c>
      <c r="AF864" t="s">
        <v>74</v>
      </c>
      <c r="AG864">
        <v>48</v>
      </c>
      <c r="AH864">
        <v>4</v>
      </c>
      <c r="AI864">
        <v>4</v>
      </c>
      <c r="AJ864">
        <v>1</v>
      </c>
      <c r="AK864">
        <v>50</v>
      </c>
      <c r="AL864" t="s">
        <v>15741</v>
      </c>
      <c r="AM864" t="s">
        <v>10249</v>
      </c>
      <c r="AN864" t="s">
        <v>15742</v>
      </c>
      <c r="AO864" t="s">
        <v>15743</v>
      </c>
      <c r="AP864" t="s">
        <v>15744</v>
      </c>
      <c r="AQ864" t="s">
        <v>74</v>
      </c>
      <c r="AR864" t="s">
        <v>15745</v>
      </c>
      <c r="AS864" t="s">
        <v>15746</v>
      </c>
      <c r="AT864" t="s">
        <v>15707</v>
      </c>
      <c r="AU864">
        <v>2012</v>
      </c>
      <c r="AV864">
        <v>85</v>
      </c>
      <c r="AW864">
        <v>4</v>
      </c>
      <c r="AX864" t="s">
        <v>74</v>
      </c>
      <c r="AY864" t="s">
        <v>74</v>
      </c>
      <c r="AZ864" t="s">
        <v>74</v>
      </c>
      <c r="BA864" t="s">
        <v>74</v>
      </c>
      <c r="BB864">
        <v>409</v>
      </c>
      <c r="BC864">
        <v>418</v>
      </c>
      <c r="BD864" t="s">
        <v>74</v>
      </c>
      <c r="BE864" t="s">
        <v>15779</v>
      </c>
      <c r="BF864" t="str">
        <f>HYPERLINK("http://dx.doi.org/10.4067/S0716-078X2012000400004","http://dx.doi.org/10.4067/S0716-078X2012000400004")</f>
        <v>http://dx.doi.org/10.4067/S0716-078X2012000400004</v>
      </c>
      <c r="BG864" t="s">
        <v>74</v>
      </c>
      <c r="BH864" t="s">
        <v>74</v>
      </c>
      <c r="BI864">
        <v>10</v>
      </c>
      <c r="BJ864" t="s">
        <v>981</v>
      </c>
      <c r="BK864" t="s">
        <v>102</v>
      </c>
      <c r="BL864" t="s">
        <v>958</v>
      </c>
      <c r="BM864" t="s">
        <v>15748</v>
      </c>
      <c r="BN864" t="s">
        <v>74</v>
      </c>
      <c r="BO864" t="s">
        <v>4132</v>
      </c>
      <c r="BP864" t="s">
        <v>74</v>
      </c>
      <c r="BQ864" t="s">
        <v>74</v>
      </c>
      <c r="BR864" t="s">
        <v>105</v>
      </c>
      <c r="BS864" t="s">
        <v>15780</v>
      </c>
      <c r="BT864" t="str">
        <f>HYPERLINK("https%3A%2F%2Fwww.webofscience.com%2Fwos%2Fwoscc%2Ffull-record%2FWOS:000316580900004","View Full Record in Web of Science")</f>
        <v>View Full Record in Web of Science</v>
      </c>
    </row>
    <row r="865" spans="1:72" x14ac:dyDescent="0.15">
      <c r="A865" t="s">
        <v>72</v>
      </c>
      <c r="B865" t="s">
        <v>15781</v>
      </c>
      <c r="C865" t="s">
        <v>74</v>
      </c>
      <c r="D865" t="s">
        <v>74</v>
      </c>
      <c r="E865" t="s">
        <v>74</v>
      </c>
      <c r="F865" t="s">
        <v>15782</v>
      </c>
      <c r="G865" t="s">
        <v>74</v>
      </c>
      <c r="H865" t="s">
        <v>74</v>
      </c>
      <c r="I865" t="s">
        <v>15783</v>
      </c>
      <c r="J865" t="s">
        <v>15728</v>
      </c>
      <c r="K865" t="s">
        <v>74</v>
      </c>
      <c r="L865" t="s">
        <v>74</v>
      </c>
      <c r="M865" t="s">
        <v>4282</v>
      </c>
      <c r="N865" t="s">
        <v>79</v>
      </c>
      <c r="O865" t="s">
        <v>74</v>
      </c>
      <c r="P865" t="s">
        <v>74</v>
      </c>
      <c r="Q865" t="s">
        <v>74</v>
      </c>
      <c r="R865" t="s">
        <v>74</v>
      </c>
      <c r="S865" t="s">
        <v>74</v>
      </c>
      <c r="T865" t="s">
        <v>15784</v>
      </c>
      <c r="U865" t="s">
        <v>15785</v>
      </c>
      <c r="V865" t="s">
        <v>15786</v>
      </c>
      <c r="W865" t="s">
        <v>15787</v>
      </c>
      <c r="X865" t="s">
        <v>15788</v>
      </c>
      <c r="Y865" t="s">
        <v>15789</v>
      </c>
      <c r="Z865" t="s">
        <v>15790</v>
      </c>
      <c r="AA865" t="s">
        <v>15791</v>
      </c>
      <c r="AB865" t="s">
        <v>15792</v>
      </c>
      <c r="AC865" t="s">
        <v>74</v>
      </c>
      <c r="AD865" t="s">
        <v>74</v>
      </c>
      <c r="AE865" t="s">
        <v>74</v>
      </c>
      <c r="AF865" t="s">
        <v>74</v>
      </c>
      <c r="AG865">
        <v>59</v>
      </c>
      <c r="AH865">
        <v>9</v>
      </c>
      <c r="AI865">
        <v>9</v>
      </c>
      <c r="AJ865">
        <v>0</v>
      </c>
      <c r="AK865">
        <v>29</v>
      </c>
      <c r="AL865" t="s">
        <v>15741</v>
      </c>
      <c r="AM865" t="s">
        <v>10249</v>
      </c>
      <c r="AN865" t="s">
        <v>15742</v>
      </c>
      <c r="AO865" t="s">
        <v>15743</v>
      </c>
      <c r="AP865" t="s">
        <v>15744</v>
      </c>
      <c r="AQ865" t="s">
        <v>74</v>
      </c>
      <c r="AR865" t="s">
        <v>15745</v>
      </c>
      <c r="AS865" t="s">
        <v>15746</v>
      </c>
      <c r="AT865" t="s">
        <v>15707</v>
      </c>
      <c r="AU865">
        <v>2012</v>
      </c>
      <c r="AV865">
        <v>85</v>
      </c>
      <c r="AW865">
        <v>4</v>
      </c>
      <c r="AX865" t="s">
        <v>74</v>
      </c>
      <c r="AY865" t="s">
        <v>74</v>
      </c>
      <c r="AZ865" t="s">
        <v>74</v>
      </c>
      <c r="BA865" t="s">
        <v>74</v>
      </c>
      <c r="BB865">
        <v>419</v>
      </c>
      <c r="BC865">
        <v>433</v>
      </c>
      <c r="BD865" t="s">
        <v>74</v>
      </c>
      <c r="BE865" t="s">
        <v>15793</v>
      </c>
      <c r="BF865" t="str">
        <f>HYPERLINK("http://dx.doi.org/10.4067/S0716-078X2012000400005","http://dx.doi.org/10.4067/S0716-078X2012000400005")</f>
        <v>http://dx.doi.org/10.4067/S0716-078X2012000400005</v>
      </c>
      <c r="BG865" t="s">
        <v>74</v>
      </c>
      <c r="BH865" t="s">
        <v>74</v>
      </c>
      <c r="BI865">
        <v>15</v>
      </c>
      <c r="BJ865" t="s">
        <v>981</v>
      </c>
      <c r="BK865" t="s">
        <v>102</v>
      </c>
      <c r="BL865" t="s">
        <v>958</v>
      </c>
      <c r="BM865" t="s">
        <v>15748</v>
      </c>
      <c r="BN865" t="s">
        <v>74</v>
      </c>
      <c r="BO865" t="s">
        <v>4132</v>
      </c>
      <c r="BP865" t="s">
        <v>74</v>
      </c>
      <c r="BQ865" t="s">
        <v>74</v>
      </c>
      <c r="BR865" t="s">
        <v>105</v>
      </c>
      <c r="BS865" t="s">
        <v>15794</v>
      </c>
      <c r="BT865" t="str">
        <f>HYPERLINK("https%3A%2F%2Fwww.webofscience.com%2Fwos%2Fwoscc%2Ffull-record%2FWOS:000316580900005","View Full Record in Web of Science")</f>
        <v>View Full Record in Web of Science</v>
      </c>
    </row>
    <row r="866" spans="1:72" x14ac:dyDescent="0.15">
      <c r="A866" t="s">
        <v>72</v>
      </c>
      <c r="B866" t="s">
        <v>15795</v>
      </c>
      <c r="C866" t="s">
        <v>74</v>
      </c>
      <c r="D866" t="s">
        <v>74</v>
      </c>
      <c r="E866" t="s">
        <v>74</v>
      </c>
      <c r="F866" t="s">
        <v>15796</v>
      </c>
      <c r="G866" t="s">
        <v>74</v>
      </c>
      <c r="H866" t="s">
        <v>74</v>
      </c>
      <c r="I866" t="s">
        <v>15797</v>
      </c>
      <c r="J866" t="s">
        <v>15728</v>
      </c>
      <c r="K866" t="s">
        <v>74</v>
      </c>
      <c r="L866" t="s">
        <v>74</v>
      </c>
      <c r="M866" t="s">
        <v>78</v>
      </c>
      <c r="N866" t="s">
        <v>79</v>
      </c>
      <c r="O866" t="s">
        <v>74</v>
      </c>
      <c r="P866" t="s">
        <v>74</v>
      </c>
      <c r="Q866" t="s">
        <v>74</v>
      </c>
      <c r="R866" t="s">
        <v>74</v>
      </c>
      <c r="S866" t="s">
        <v>74</v>
      </c>
      <c r="T866" t="s">
        <v>15798</v>
      </c>
      <c r="U866" t="s">
        <v>15799</v>
      </c>
      <c r="V866" t="s">
        <v>15800</v>
      </c>
      <c r="W866" t="s">
        <v>15801</v>
      </c>
      <c r="X866" t="s">
        <v>15802</v>
      </c>
      <c r="Y866" t="s">
        <v>15803</v>
      </c>
      <c r="Z866" t="s">
        <v>15804</v>
      </c>
      <c r="AA866" t="s">
        <v>74</v>
      </c>
      <c r="AB866" t="s">
        <v>74</v>
      </c>
      <c r="AC866" t="s">
        <v>15805</v>
      </c>
      <c r="AD866" t="s">
        <v>15806</v>
      </c>
      <c r="AE866" t="s">
        <v>15807</v>
      </c>
      <c r="AF866" t="s">
        <v>74</v>
      </c>
      <c r="AG866">
        <v>49</v>
      </c>
      <c r="AH866">
        <v>4</v>
      </c>
      <c r="AI866">
        <v>4</v>
      </c>
      <c r="AJ866">
        <v>1</v>
      </c>
      <c r="AK866">
        <v>41</v>
      </c>
      <c r="AL866" t="s">
        <v>15741</v>
      </c>
      <c r="AM866" t="s">
        <v>10249</v>
      </c>
      <c r="AN866" t="s">
        <v>15742</v>
      </c>
      <c r="AO866" t="s">
        <v>15743</v>
      </c>
      <c r="AP866" t="s">
        <v>15744</v>
      </c>
      <c r="AQ866" t="s">
        <v>74</v>
      </c>
      <c r="AR866" t="s">
        <v>15745</v>
      </c>
      <c r="AS866" t="s">
        <v>15746</v>
      </c>
      <c r="AT866" t="s">
        <v>15707</v>
      </c>
      <c r="AU866">
        <v>2012</v>
      </c>
      <c r="AV866">
        <v>85</v>
      </c>
      <c r="AW866">
        <v>4</v>
      </c>
      <c r="AX866" t="s">
        <v>74</v>
      </c>
      <c r="AY866" t="s">
        <v>74</v>
      </c>
      <c r="AZ866" t="s">
        <v>74</v>
      </c>
      <c r="BA866" t="s">
        <v>74</v>
      </c>
      <c r="BB866">
        <v>435</v>
      </c>
      <c r="BC866">
        <v>443</v>
      </c>
      <c r="BD866" t="s">
        <v>74</v>
      </c>
      <c r="BE866" t="s">
        <v>15808</v>
      </c>
      <c r="BF866" t="str">
        <f>HYPERLINK("http://dx.doi.org/10.4067/S0716-078X2012000400006","http://dx.doi.org/10.4067/S0716-078X2012000400006")</f>
        <v>http://dx.doi.org/10.4067/S0716-078X2012000400006</v>
      </c>
      <c r="BG866" t="s">
        <v>74</v>
      </c>
      <c r="BH866" t="s">
        <v>74</v>
      </c>
      <c r="BI866">
        <v>9</v>
      </c>
      <c r="BJ866" t="s">
        <v>981</v>
      </c>
      <c r="BK866" t="s">
        <v>102</v>
      </c>
      <c r="BL866" t="s">
        <v>958</v>
      </c>
      <c r="BM866" t="s">
        <v>15748</v>
      </c>
      <c r="BN866" t="s">
        <v>74</v>
      </c>
      <c r="BO866" t="s">
        <v>4132</v>
      </c>
      <c r="BP866" t="s">
        <v>74</v>
      </c>
      <c r="BQ866" t="s">
        <v>74</v>
      </c>
      <c r="BR866" t="s">
        <v>105</v>
      </c>
      <c r="BS866" t="s">
        <v>15809</v>
      </c>
      <c r="BT866" t="str">
        <f>HYPERLINK("https%3A%2F%2Fwww.webofscience.com%2Fwos%2Fwoscc%2Ffull-record%2FWOS:000316580900006","View Full Record in Web of Science")</f>
        <v>View Full Record in Web of Science</v>
      </c>
    </row>
    <row r="867" spans="1:72" x14ac:dyDescent="0.15">
      <c r="A867" t="s">
        <v>72</v>
      </c>
      <c r="B867" t="s">
        <v>15810</v>
      </c>
      <c r="C867" t="s">
        <v>74</v>
      </c>
      <c r="D867" t="s">
        <v>74</v>
      </c>
      <c r="E867" t="s">
        <v>74</v>
      </c>
      <c r="F867" t="s">
        <v>15811</v>
      </c>
      <c r="G867" t="s">
        <v>74</v>
      </c>
      <c r="H867" t="s">
        <v>74</v>
      </c>
      <c r="I867" t="s">
        <v>15812</v>
      </c>
      <c r="J867" t="s">
        <v>15728</v>
      </c>
      <c r="K867" t="s">
        <v>74</v>
      </c>
      <c r="L867" t="s">
        <v>74</v>
      </c>
      <c r="M867" t="s">
        <v>78</v>
      </c>
      <c r="N867" t="s">
        <v>79</v>
      </c>
      <c r="O867" t="s">
        <v>74</v>
      </c>
      <c r="P867" t="s">
        <v>74</v>
      </c>
      <c r="Q867" t="s">
        <v>74</v>
      </c>
      <c r="R867" t="s">
        <v>74</v>
      </c>
      <c r="S867" t="s">
        <v>74</v>
      </c>
      <c r="T867" t="s">
        <v>15813</v>
      </c>
      <c r="U867" t="s">
        <v>15814</v>
      </c>
      <c r="V867" t="s">
        <v>15815</v>
      </c>
      <c r="W867" t="s">
        <v>15816</v>
      </c>
      <c r="X867" t="s">
        <v>15817</v>
      </c>
      <c r="Y867" t="s">
        <v>15818</v>
      </c>
      <c r="Z867" t="s">
        <v>15819</v>
      </c>
      <c r="AA867" t="s">
        <v>15820</v>
      </c>
      <c r="AB867" t="s">
        <v>15821</v>
      </c>
      <c r="AC867" t="s">
        <v>15822</v>
      </c>
      <c r="AD867" t="s">
        <v>15823</v>
      </c>
      <c r="AE867" t="s">
        <v>15824</v>
      </c>
      <c r="AF867" t="s">
        <v>74</v>
      </c>
      <c r="AG867">
        <v>112</v>
      </c>
      <c r="AH867">
        <v>28</v>
      </c>
      <c r="AI867">
        <v>31</v>
      </c>
      <c r="AJ867">
        <v>1</v>
      </c>
      <c r="AK867">
        <v>40</v>
      </c>
      <c r="AL867" t="s">
        <v>15741</v>
      </c>
      <c r="AM867" t="s">
        <v>10249</v>
      </c>
      <c r="AN867" t="s">
        <v>15742</v>
      </c>
      <c r="AO867" t="s">
        <v>15743</v>
      </c>
      <c r="AP867" t="s">
        <v>15744</v>
      </c>
      <c r="AQ867" t="s">
        <v>74</v>
      </c>
      <c r="AR867" t="s">
        <v>15745</v>
      </c>
      <c r="AS867" t="s">
        <v>15746</v>
      </c>
      <c r="AT867" t="s">
        <v>15707</v>
      </c>
      <c r="AU867">
        <v>2012</v>
      </c>
      <c r="AV867">
        <v>85</v>
      </c>
      <c r="AW867">
        <v>4</v>
      </c>
      <c r="AX867" t="s">
        <v>74</v>
      </c>
      <c r="AY867" t="s">
        <v>74</v>
      </c>
      <c r="AZ867" t="s">
        <v>74</v>
      </c>
      <c r="BA867" t="s">
        <v>74</v>
      </c>
      <c r="BB867">
        <v>445</v>
      </c>
      <c r="BC867">
        <v>456</v>
      </c>
      <c r="BD867" t="s">
        <v>74</v>
      </c>
      <c r="BE867" t="s">
        <v>15825</v>
      </c>
      <c r="BF867" t="str">
        <f>HYPERLINK("http://dx.doi.org/10.4067/S0716-078X2012000400007","http://dx.doi.org/10.4067/S0716-078X2012000400007")</f>
        <v>http://dx.doi.org/10.4067/S0716-078X2012000400007</v>
      </c>
      <c r="BG867" t="s">
        <v>74</v>
      </c>
      <c r="BH867" t="s">
        <v>74</v>
      </c>
      <c r="BI867">
        <v>12</v>
      </c>
      <c r="BJ867" t="s">
        <v>981</v>
      </c>
      <c r="BK867" t="s">
        <v>102</v>
      </c>
      <c r="BL867" t="s">
        <v>958</v>
      </c>
      <c r="BM867" t="s">
        <v>15748</v>
      </c>
      <c r="BN867" t="s">
        <v>74</v>
      </c>
      <c r="BO867" t="s">
        <v>4132</v>
      </c>
      <c r="BP867" t="s">
        <v>74</v>
      </c>
      <c r="BQ867" t="s">
        <v>74</v>
      </c>
      <c r="BR867" t="s">
        <v>105</v>
      </c>
      <c r="BS867" t="s">
        <v>15826</v>
      </c>
      <c r="BT867" t="str">
        <f>HYPERLINK("https%3A%2F%2Fwww.webofscience.com%2Fwos%2Fwoscc%2Ffull-record%2FWOS:000316580900007","View Full Record in Web of Science")</f>
        <v>View Full Record in Web of Science</v>
      </c>
    </row>
    <row r="868" spans="1:72" x14ac:dyDescent="0.15">
      <c r="A868" t="s">
        <v>72</v>
      </c>
      <c r="B868" t="s">
        <v>15827</v>
      </c>
      <c r="C868" t="s">
        <v>74</v>
      </c>
      <c r="D868" t="s">
        <v>74</v>
      </c>
      <c r="E868" t="s">
        <v>74</v>
      </c>
      <c r="F868" t="s">
        <v>15828</v>
      </c>
      <c r="G868" t="s">
        <v>74</v>
      </c>
      <c r="H868" t="s">
        <v>74</v>
      </c>
      <c r="I868" t="s">
        <v>15829</v>
      </c>
      <c r="J868" t="s">
        <v>15728</v>
      </c>
      <c r="K868" t="s">
        <v>74</v>
      </c>
      <c r="L868" t="s">
        <v>74</v>
      </c>
      <c r="M868" t="s">
        <v>78</v>
      </c>
      <c r="N868" t="s">
        <v>79</v>
      </c>
      <c r="O868" t="s">
        <v>74</v>
      </c>
      <c r="P868" t="s">
        <v>74</v>
      </c>
      <c r="Q868" t="s">
        <v>74</v>
      </c>
      <c r="R868" t="s">
        <v>74</v>
      </c>
      <c r="S868" t="s">
        <v>74</v>
      </c>
      <c r="T868" t="s">
        <v>15830</v>
      </c>
      <c r="U868" t="s">
        <v>15831</v>
      </c>
      <c r="V868" t="s">
        <v>15832</v>
      </c>
      <c r="W868" t="s">
        <v>15833</v>
      </c>
      <c r="X868" t="s">
        <v>15834</v>
      </c>
      <c r="Y868" t="s">
        <v>15835</v>
      </c>
      <c r="Z868" t="s">
        <v>15836</v>
      </c>
      <c r="AA868" t="s">
        <v>15837</v>
      </c>
      <c r="AB868" t="s">
        <v>15838</v>
      </c>
      <c r="AC868" t="s">
        <v>15839</v>
      </c>
      <c r="AD868" t="s">
        <v>15840</v>
      </c>
      <c r="AE868" t="s">
        <v>15841</v>
      </c>
      <c r="AF868" t="s">
        <v>74</v>
      </c>
      <c r="AG868">
        <v>60</v>
      </c>
      <c r="AH868">
        <v>11</v>
      </c>
      <c r="AI868">
        <v>11</v>
      </c>
      <c r="AJ868">
        <v>0</v>
      </c>
      <c r="AK868">
        <v>24</v>
      </c>
      <c r="AL868" t="s">
        <v>15741</v>
      </c>
      <c r="AM868" t="s">
        <v>10249</v>
      </c>
      <c r="AN868" t="s">
        <v>15742</v>
      </c>
      <c r="AO868" t="s">
        <v>15743</v>
      </c>
      <c r="AP868" t="s">
        <v>15744</v>
      </c>
      <c r="AQ868" t="s">
        <v>74</v>
      </c>
      <c r="AR868" t="s">
        <v>15745</v>
      </c>
      <c r="AS868" t="s">
        <v>15746</v>
      </c>
      <c r="AT868" t="s">
        <v>15707</v>
      </c>
      <c r="AU868">
        <v>2012</v>
      </c>
      <c r="AV868">
        <v>85</v>
      </c>
      <c r="AW868">
        <v>4</v>
      </c>
      <c r="AX868" t="s">
        <v>74</v>
      </c>
      <c r="AY868" t="s">
        <v>74</v>
      </c>
      <c r="AZ868" t="s">
        <v>74</v>
      </c>
      <c r="BA868" t="s">
        <v>74</v>
      </c>
      <c r="BB868">
        <v>457</v>
      </c>
      <c r="BC868">
        <v>468</v>
      </c>
      <c r="BD868" t="s">
        <v>74</v>
      </c>
      <c r="BE868" t="s">
        <v>15842</v>
      </c>
      <c r="BF868" t="str">
        <f>HYPERLINK("http://dx.doi.org/10.4067/S0716-078X2012000400008","http://dx.doi.org/10.4067/S0716-078X2012000400008")</f>
        <v>http://dx.doi.org/10.4067/S0716-078X2012000400008</v>
      </c>
      <c r="BG868" t="s">
        <v>74</v>
      </c>
      <c r="BH868" t="s">
        <v>74</v>
      </c>
      <c r="BI868">
        <v>12</v>
      </c>
      <c r="BJ868" t="s">
        <v>981</v>
      </c>
      <c r="BK868" t="s">
        <v>102</v>
      </c>
      <c r="BL868" t="s">
        <v>958</v>
      </c>
      <c r="BM868" t="s">
        <v>15748</v>
      </c>
      <c r="BN868" t="s">
        <v>74</v>
      </c>
      <c r="BO868" t="s">
        <v>4132</v>
      </c>
      <c r="BP868" t="s">
        <v>74</v>
      </c>
      <c r="BQ868" t="s">
        <v>74</v>
      </c>
      <c r="BR868" t="s">
        <v>105</v>
      </c>
      <c r="BS868" t="s">
        <v>15843</v>
      </c>
      <c r="BT868" t="str">
        <f>HYPERLINK("https%3A%2F%2Fwww.webofscience.com%2Fwos%2Fwoscc%2Ffull-record%2FWOS:000316580900008","View Full Record in Web of Science")</f>
        <v>View Full Record in Web of Science</v>
      </c>
    </row>
    <row r="869" spans="1:72" x14ac:dyDescent="0.15">
      <c r="A869" t="s">
        <v>72</v>
      </c>
      <c r="B869" t="s">
        <v>15844</v>
      </c>
      <c r="C869" t="s">
        <v>74</v>
      </c>
      <c r="D869" t="s">
        <v>74</v>
      </c>
      <c r="E869" t="s">
        <v>74</v>
      </c>
      <c r="F869" t="s">
        <v>15845</v>
      </c>
      <c r="G869" t="s">
        <v>74</v>
      </c>
      <c r="H869" t="s">
        <v>74</v>
      </c>
      <c r="I869" t="s">
        <v>15846</v>
      </c>
      <c r="J869" t="s">
        <v>15847</v>
      </c>
      <c r="K869" t="s">
        <v>74</v>
      </c>
      <c r="L869" t="s">
        <v>74</v>
      </c>
      <c r="M869" t="s">
        <v>78</v>
      </c>
      <c r="N869" t="s">
        <v>79</v>
      </c>
      <c r="O869" t="s">
        <v>74</v>
      </c>
      <c r="P869" t="s">
        <v>74</v>
      </c>
      <c r="Q869" t="s">
        <v>74</v>
      </c>
      <c r="R869" t="s">
        <v>74</v>
      </c>
      <c r="S869" t="s">
        <v>74</v>
      </c>
      <c r="T869" t="s">
        <v>15848</v>
      </c>
      <c r="U869" t="s">
        <v>15849</v>
      </c>
      <c r="V869" t="s">
        <v>15850</v>
      </c>
      <c r="W869" t="s">
        <v>15851</v>
      </c>
      <c r="X869" t="s">
        <v>15852</v>
      </c>
      <c r="Y869" t="s">
        <v>15853</v>
      </c>
      <c r="Z869" t="s">
        <v>15854</v>
      </c>
      <c r="AA869" t="s">
        <v>74</v>
      </c>
      <c r="AB869" t="s">
        <v>74</v>
      </c>
      <c r="AC869" t="s">
        <v>15855</v>
      </c>
      <c r="AD869" t="s">
        <v>8219</v>
      </c>
      <c r="AE869" t="s">
        <v>15856</v>
      </c>
      <c r="AF869" t="s">
        <v>74</v>
      </c>
      <c r="AG869">
        <v>48</v>
      </c>
      <c r="AH869">
        <v>27</v>
      </c>
      <c r="AI869">
        <v>28</v>
      </c>
      <c r="AJ869">
        <v>0</v>
      </c>
      <c r="AK869">
        <v>60</v>
      </c>
      <c r="AL869" t="s">
        <v>500</v>
      </c>
      <c r="AM869" t="s">
        <v>950</v>
      </c>
      <c r="AN869" t="s">
        <v>951</v>
      </c>
      <c r="AO869" t="s">
        <v>15857</v>
      </c>
      <c r="AP869" t="s">
        <v>15858</v>
      </c>
      <c r="AQ869" t="s">
        <v>74</v>
      </c>
      <c r="AR869" t="s">
        <v>15847</v>
      </c>
      <c r="AS869" t="s">
        <v>15859</v>
      </c>
      <c r="AT869" t="s">
        <v>15707</v>
      </c>
      <c r="AU869">
        <v>2012</v>
      </c>
      <c r="AV869">
        <v>58</v>
      </c>
      <c r="AW869" t="s">
        <v>15860</v>
      </c>
      <c r="AX869" t="s">
        <v>74</v>
      </c>
      <c r="AY869" t="s">
        <v>74</v>
      </c>
      <c r="AZ869" t="s">
        <v>74</v>
      </c>
      <c r="BA869" t="s">
        <v>74</v>
      </c>
      <c r="BB869">
        <v>81</v>
      </c>
      <c r="BC869">
        <v>90</v>
      </c>
      <c r="BD869" t="s">
        <v>74</v>
      </c>
      <c r="BE869" t="s">
        <v>15861</v>
      </c>
      <c r="BF869" t="str">
        <f>HYPERLINK("http://dx.doi.org/10.1007/s13199-012-0198-7","http://dx.doi.org/10.1007/s13199-012-0198-7")</f>
        <v>http://dx.doi.org/10.1007/s13199-012-0198-7</v>
      </c>
      <c r="BG869" t="s">
        <v>74</v>
      </c>
      <c r="BH869" t="s">
        <v>74</v>
      </c>
      <c r="BI869">
        <v>10</v>
      </c>
      <c r="BJ869" t="s">
        <v>1139</v>
      </c>
      <c r="BK869" t="s">
        <v>102</v>
      </c>
      <c r="BL869" t="s">
        <v>1139</v>
      </c>
      <c r="BM869" t="s">
        <v>15862</v>
      </c>
      <c r="BN869" t="s">
        <v>74</v>
      </c>
      <c r="BO869" t="s">
        <v>74</v>
      </c>
      <c r="BP869" t="s">
        <v>74</v>
      </c>
      <c r="BQ869" t="s">
        <v>74</v>
      </c>
      <c r="BR869" t="s">
        <v>105</v>
      </c>
      <c r="BS869" t="s">
        <v>15863</v>
      </c>
      <c r="BT869" t="str">
        <f>HYPERLINK("https%3A%2F%2Fwww.webofscience.com%2Fwos%2Fwoscc%2Ffull-record%2FWOS:000316022700010","View Full Record in Web of Science")</f>
        <v>View Full Record in Web of Science</v>
      </c>
    </row>
    <row r="870" spans="1:72" x14ac:dyDescent="0.15">
      <c r="A870" t="s">
        <v>72</v>
      </c>
      <c r="B870" t="s">
        <v>15864</v>
      </c>
      <c r="C870" t="s">
        <v>74</v>
      </c>
      <c r="D870" t="s">
        <v>74</v>
      </c>
      <c r="E870" t="s">
        <v>74</v>
      </c>
      <c r="F870" t="s">
        <v>15865</v>
      </c>
      <c r="G870" t="s">
        <v>74</v>
      </c>
      <c r="H870" t="s">
        <v>74</v>
      </c>
      <c r="I870" t="s">
        <v>15866</v>
      </c>
      <c r="J870" t="s">
        <v>15867</v>
      </c>
      <c r="K870" t="s">
        <v>74</v>
      </c>
      <c r="L870" t="s">
        <v>74</v>
      </c>
      <c r="M870" t="s">
        <v>78</v>
      </c>
      <c r="N870" t="s">
        <v>79</v>
      </c>
      <c r="O870" t="s">
        <v>74</v>
      </c>
      <c r="P870" t="s">
        <v>74</v>
      </c>
      <c r="Q870" t="s">
        <v>74</v>
      </c>
      <c r="R870" t="s">
        <v>74</v>
      </c>
      <c r="S870" t="s">
        <v>74</v>
      </c>
      <c r="T870" t="s">
        <v>15868</v>
      </c>
      <c r="U870" t="s">
        <v>15869</v>
      </c>
      <c r="V870" t="s">
        <v>15870</v>
      </c>
      <c r="W870" t="s">
        <v>15871</v>
      </c>
      <c r="X870" t="s">
        <v>15872</v>
      </c>
      <c r="Y870" t="s">
        <v>15873</v>
      </c>
      <c r="Z870" t="s">
        <v>15874</v>
      </c>
      <c r="AA870" t="s">
        <v>15875</v>
      </c>
      <c r="AB870" t="s">
        <v>15876</v>
      </c>
      <c r="AC870" t="s">
        <v>15877</v>
      </c>
      <c r="AD870" t="s">
        <v>15878</v>
      </c>
      <c r="AE870" t="s">
        <v>15879</v>
      </c>
      <c r="AF870" t="s">
        <v>74</v>
      </c>
      <c r="AG870">
        <v>39</v>
      </c>
      <c r="AH870">
        <v>5</v>
      </c>
      <c r="AI870">
        <v>6</v>
      </c>
      <c r="AJ870">
        <v>0</v>
      </c>
      <c r="AK870">
        <v>16</v>
      </c>
      <c r="AL870" t="s">
        <v>15880</v>
      </c>
      <c r="AM870" t="s">
        <v>15881</v>
      </c>
      <c r="AN870" t="s">
        <v>15882</v>
      </c>
      <c r="AO870" t="s">
        <v>15883</v>
      </c>
      <c r="AP870" t="s">
        <v>15884</v>
      </c>
      <c r="AQ870" t="s">
        <v>74</v>
      </c>
      <c r="AR870" t="s">
        <v>15885</v>
      </c>
      <c r="AS870" t="s">
        <v>15886</v>
      </c>
      <c r="AT870" t="s">
        <v>15707</v>
      </c>
      <c r="AU870">
        <v>2012</v>
      </c>
      <c r="AV870">
        <v>47</v>
      </c>
      <c r="AW870">
        <v>3</v>
      </c>
      <c r="AX870" t="s">
        <v>74</v>
      </c>
      <c r="AY870" t="s">
        <v>74</v>
      </c>
      <c r="AZ870" t="s">
        <v>74</v>
      </c>
      <c r="BA870" t="s">
        <v>74</v>
      </c>
      <c r="BB870">
        <v>439</v>
      </c>
      <c r="BC870">
        <v>450</v>
      </c>
      <c r="BD870" t="s">
        <v>74</v>
      </c>
      <c r="BE870" t="s">
        <v>15887</v>
      </c>
      <c r="BF870" t="str">
        <f>HYPERLINK("http://dx.doi.org/10.4067/S0718-19572012000300007","http://dx.doi.org/10.4067/S0718-19572012000300007")</f>
        <v>http://dx.doi.org/10.4067/S0718-19572012000300007</v>
      </c>
      <c r="BG870" t="s">
        <v>74</v>
      </c>
      <c r="BH870" t="s">
        <v>74</v>
      </c>
      <c r="BI870">
        <v>12</v>
      </c>
      <c r="BJ870" t="s">
        <v>2095</v>
      </c>
      <c r="BK870" t="s">
        <v>102</v>
      </c>
      <c r="BL870" t="s">
        <v>2095</v>
      </c>
      <c r="BM870" t="s">
        <v>15888</v>
      </c>
      <c r="BN870" t="s">
        <v>74</v>
      </c>
      <c r="BO870" t="s">
        <v>4621</v>
      </c>
      <c r="BP870" t="s">
        <v>74</v>
      </c>
      <c r="BQ870" t="s">
        <v>74</v>
      </c>
      <c r="BR870" t="s">
        <v>105</v>
      </c>
      <c r="BS870" t="s">
        <v>15889</v>
      </c>
      <c r="BT870" t="str">
        <f>HYPERLINK("https%3A%2F%2Fwww.webofscience.com%2Fwos%2Fwoscc%2Ffull-record%2FWOS:000315586800007","View Full Record in Web of Science")</f>
        <v>View Full Record in Web of Science</v>
      </c>
    </row>
    <row r="871" spans="1:72" x14ac:dyDescent="0.15">
      <c r="A871" t="s">
        <v>72</v>
      </c>
      <c r="B871" t="s">
        <v>15890</v>
      </c>
      <c r="C871" t="s">
        <v>74</v>
      </c>
      <c r="D871" t="s">
        <v>74</v>
      </c>
      <c r="E871" t="s">
        <v>74</v>
      </c>
      <c r="F871" t="s">
        <v>15891</v>
      </c>
      <c r="G871" t="s">
        <v>74</v>
      </c>
      <c r="H871" t="s">
        <v>74</v>
      </c>
      <c r="I871" t="s">
        <v>15892</v>
      </c>
      <c r="J871" t="s">
        <v>1860</v>
      </c>
      <c r="K871" t="s">
        <v>74</v>
      </c>
      <c r="L871" t="s">
        <v>74</v>
      </c>
      <c r="M871" t="s">
        <v>78</v>
      </c>
      <c r="N871" t="s">
        <v>79</v>
      </c>
      <c r="O871" t="s">
        <v>74</v>
      </c>
      <c r="P871" t="s">
        <v>74</v>
      </c>
      <c r="Q871" t="s">
        <v>74</v>
      </c>
      <c r="R871" t="s">
        <v>74</v>
      </c>
      <c r="S871" t="s">
        <v>74</v>
      </c>
      <c r="T871" t="s">
        <v>74</v>
      </c>
      <c r="U871" t="s">
        <v>15893</v>
      </c>
      <c r="V871" t="s">
        <v>15894</v>
      </c>
      <c r="W871" t="s">
        <v>15895</v>
      </c>
      <c r="X871" t="s">
        <v>15896</v>
      </c>
      <c r="Y871" t="s">
        <v>15897</v>
      </c>
      <c r="Z871" t="s">
        <v>15898</v>
      </c>
      <c r="AA871" t="s">
        <v>15899</v>
      </c>
      <c r="AB871" t="s">
        <v>15900</v>
      </c>
      <c r="AC871" t="s">
        <v>15901</v>
      </c>
      <c r="AD871" t="s">
        <v>15902</v>
      </c>
      <c r="AE871" t="s">
        <v>15903</v>
      </c>
      <c r="AF871" t="s">
        <v>74</v>
      </c>
      <c r="AG871">
        <v>38</v>
      </c>
      <c r="AH871">
        <v>16</v>
      </c>
      <c r="AI871">
        <v>17</v>
      </c>
      <c r="AJ871">
        <v>0</v>
      </c>
      <c r="AK871">
        <v>6</v>
      </c>
      <c r="AL871" t="s">
        <v>15904</v>
      </c>
      <c r="AM871" t="s">
        <v>15905</v>
      </c>
      <c r="AN871" t="s">
        <v>15906</v>
      </c>
      <c r="AO871" t="s">
        <v>1874</v>
      </c>
      <c r="AP871" t="s">
        <v>74</v>
      </c>
      <c r="AQ871" t="s">
        <v>74</v>
      </c>
      <c r="AR871" t="s">
        <v>1876</v>
      </c>
      <c r="AS871" t="s">
        <v>1877</v>
      </c>
      <c r="AT871" t="s">
        <v>15707</v>
      </c>
      <c r="AU871">
        <v>2012</v>
      </c>
      <c r="AV871">
        <v>62</v>
      </c>
      <c r="AW871" t="s">
        <v>74</v>
      </c>
      <c r="AX871">
        <v>12</v>
      </c>
      <c r="AY871" t="s">
        <v>74</v>
      </c>
      <c r="AZ871" t="s">
        <v>74</v>
      </c>
      <c r="BA871" t="s">
        <v>74</v>
      </c>
      <c r="BB871">
        <v>2897</v>
      </c>
      <c r="BC871">
        <v>2902</v>
      </c>
      <c r="BD871" t="s">
        <v>74</v>
      </c>
      <c r="BE871" t="s">
        <v>15907</v>
      </c>
      <c r="BF871" t="str">
        <f>HYPERLINK("http://dx.doi.org/10.1099/ijs.0.035691-0","http://dx.doi.org/10.1099/ijs.0.035691-0")</f>
        <v>http://dx.doi.org/10.1099/ijs.0.035691-0</v>
      </c>
      <c r="BG871" t="s">
        <v>74</v>
      </c>
      <c r="BH871" t="s">
        <v>74</v>
      </c>
      <c r="BI871">
        <v>6</v>
      </c>
      <c r="BJ871" t="s">
        <v>1139</v>
      </c>
      <c r="BK871" t="s">
        <v>102</v>
      </c>
      <c r="BL871" t="s">
        <v>1139</v>
      </c>
      <c r="BM871" t="s">
        <v>15908</v>
      </c>
      <c r="BN871">
        <v>22247214</v>
      </c>
      <c r="BO871" t="s">
        <v>128</v>
      </c>
      <c r="BP871" t="s">
        <v>74</v>
      </c>
      <c r="BQ871" t="s">
        <v>74</v>
      </c>
      <c r="BR871" t="s">
        <v>105</v>
      </c>
      <c r="BS871" t="s">
        <v>15909</v>
      </c>
      <c r="BT871" t="str">
        <f>HYPERLINK("https%3A%2F%2Fwww.webofscience.com%2Fwos%2Fwoscc%2Ffull-record%2FWOS:000315070000013","View Full Record in Web of Science")</f>
        <v>View Full Record in Web of Science</v>
      </c>
    </row>
    <row r="872" spans="1:72" x14ac:dyDescent="0.15">
      <c r="A872" t="s">
        <v>72</v>
      </c>
      <c r="B872" t="s">
        <v>15910</v>
      </c>
      <c r="C872" t="s">
        <v>74</v>
      </c>
      <c r="D872" t="s">
        <v>74</v>
      </c>
      <c r="E872" t="s">
        <v>74</v>
      </c>
      <c r="F872" t="s">
        <v>15911</v>
      </c>
      <c r="G872" t="s">
        <v>74</v>
      </c>
      <c r="H872" t="s">
        <v>74</v>
      </c>
      <c r="I872" t="s">
        <v>15912</v>
      </c>
      <c r="J872" t="s">
        <v>2707</v>
      </c>
      <c r="K872" t="s">
        <v>74</v>
      </c>
      <c r="L872" t="s">
        <v>74</v>
      </c>
      <c r="M872" t="s">
        <v>78</v>
      </c>
      <c r="N872" t="s">
        <v>79</v>
      </c>
      <c r="O872" t="s">
        <v>74</v>
      </c>
      <c r="P872" t="s">
        <v>74</v>
      </c>
      <c r="Q872" t="s">
        <v>74</v>
      </c>
      <c r="R872" t="s">
        <v>74</v>
      </c>
      <c r="S872" t="s">
        <v>74</v>
      </c>
      <c r="T872" t="s">
        <v>15913</v>
      </c>
      <c r="U872" t="s">
        <v>15914</v>
      </c>
      <c r="V872" t="s">
        <v>15915</v>
      </c>
      <c r="W872" t="s">
        <v>15916</v>
      </c>
      <c r="X872" t="s">
        <v>15917</v>
      </c>
      <c r="Y872" t="s">
        <v>15918</v>
      </c>
      <c r="Z872" t="s">
        <v>15919</v>
      </c>
      <c r="AA872" t="s">
        <v>15920</v>
      </c>
      <c r="AB872" t="s">
        <v>15921</v>
      </c>
      <c r="AC872" t="s">
        <v>15922</v>
      </c>
      <c r="AD872" t="s">
        <v>15923</v>
      </c>
      <c r="AE872" t="s">
        <v>15924</v>
      </c>
      <c r="AF872" t="s">
        <v>74</v>
      </c>
      <c r="AG872">
        <v>45</v>
      </c>
      <c r="AH872">
        <v>19</v>
      </c>
      <c r="AI872">
        <v>20</v>
      </c>
      <c r="AJ872">
        <v>0</v>
      </c>
      <c r="AK872">
        <v>18</v>
      </c>
      <c r="AL872" t="s">
        <v>473</v>
      </c>
      <c r="AM872" t="s">
        <v>474</v>
      </c>
      <c r="AN872" t="s">
        <v>475</v>
      </c>
      <c r="AO872" t="s">
        <v>2720</v>
      </c>
      <c r="AP872" t="s">
        <v>74</v>
      </c>
      <c r="AQ872" t="s">
        <v>74</v>
      </c>
      <c r="AR872" t="s">
        <v>2722</v>
      </c>
      <c r="AS872" t="s">
        <v>2723</v>
      </c>
      <c r="AT872" t="s">
        <v>15925</v>
      </c>
      <c r="AU872">
        <v>2012</v>
      </c>
      <c r="AV872">
        <v>114</v>
      </c>
      <c r="AW872" t="s">
        <v>74</v>
      </c>
      <c r="AX872" t="s">
        <v>74</v>
      </c>
      <c r="AY872" t="s">
        <v>74</v>
      </c>
      <c r="AZ872" t="s">
        <v>221</v>
      </c>
      <c r="BA872" t="s">
        <v>74</v>
      </c>
      <c r="BB872">
        <v>156</v>
      </c>
      <c r="BC872">
        <v>165</v>
      </c>
      <c r="BD872" t="s">
        <v>74</v>
      </c>
      <c r="BE872" t="s">
        <v>15926</v>
      </c>
      <c r="BF872" t="str">
        <f>HYPERLINK("http://dx.doi.org/10.1016/j.ecss.2012.08.027","http://dx.doi.org/10.1016/j.ecss.2012.08.027")</f>
        <v>http://dx.doi.org/10.1016/j.ecss.2012.08.027</v>
      </c>
      <c r="BG872" t="s">
        <v>74</v>
      </c>
      <c r="BH872" t="s">
        <v>74</v>
      </c>
      <c r="BI872">
        <v>10</v>
      </c>
      <c r="BJ872" t="s">
        <v>2095</v>
      </c>
      <c r="BK872" t="s">
        <v>102</v>
      </c>
      <c r="BL872" t="s">
        <v>2095</v>
      </c>
      <c r="BM872" t="s">
        <v>15927</v>
      </c>
      <c r="BN872" t="s">
        <v>74</v>
      </c>
      <c r="BO872" t="s">
        <v>74</v>
      </c>
      <c r="BP872" t="s">
        <v>74</v>
      </c>
      <c r="BQ872" t="s">
        <v>74</v>
      </c>
      <c r="BR872" t="s">
        <v>105</v>
      </c>
      <c r="BS872" t="s">
        <v>15928</v>
      </c>
      <c r="BT872" t="str">
        <f>HYPERLINK("https%3A%2F%2Fwww.webofscience.com%2Fwos%2Fwoscc%2Ffull-record%2FWOS:000313464600018","View Full Record in Web of Science")</f>
        <v>View Full Record in Web of Science</v>
      </c>
    </row>
    <row r="873" spans="1:72" x14ac:dyDescent="0.15">
      <c r="A873" t="s">
        <v>72</v>
      </c>
      <c r="B873" t="s">
        <v>781</v>
      </c>
      <c r="C873" t="s">
        <v>74</v>
      </c>
      <c r="D873" t="s">
        <v>74</v>
      </c>
      <c r="E873" t="s">
        <v>74</v>
      </c>
      <c r="F873" t="s">
        <v>781</v>
      </c>
      <c r="G873" t="s">
        <v>74</v>
      </c>
      <c r="H873" t="s">
        <v>74</v>
      </c>
      <c r="I873" t="s">
        <v>15929</v>
      </c>
      <c r="J873" t="s">
        <v>2967</v>
      </c>
      <c r="K873" t="s">
        <v>74</v>
      </c>
      <c r="L873" t="s">
        <v>74</v>
      </c>
      <c r="M873" t="s">
        <v>78</v>
      </c>
      <c r="N873" t="s">
        <v>784</v>
      </c>
      <c r="O873" t="s">
        <v>74</v>
      </c>
      <c r="P873" t="s">
        <v>74</v>
      </c>
      <c r="Q873" t="s">
        <v>74</v>
      </c>
      <c r="R873" t="s">
        <v>74</v>
      </c>
      <c r="S873" t="s">
        <v>74</v>
      </c>
      <c r="T873" t="s">
        <v>74</v>
      </c>
      <c r="U873" t="s">
        <v>74</v>
      </c>
      <c r="V873" t="s">
        <v>74</v>
      </c>
      <c r="W873" t="s">
        <v>74</v>
      </c>
      <c r="X873" t="s">
        <v>74</v>
      </c>
      <c r="Y873" t="s">
        <v>74</v>
      </c>
      <c r="Z873" t="s">
        <v>74</v>
      </c>
      <c r="AA873" t="s">
        <v>74</v>
      </c>
      <c r="AB873" t="s">
        <v>74</v>
      </c>
      <c r="AC873" t="s">
        <v>74</v>
      </c>
      <c r="AD873" t="s">
        <v>74</v>
      </c>
      <c r="AE873" t="s">
        <v>74</v>
      </c>
      <c r="AF873" t="s">
        <v>74</v>
      </c>
      <c r="AG873">
        <v>0</v>
      </c>
      <c r="AH873">
        <v>0</v>
      </c>
      <c r="AI873">
        <v>0</v>
      </c>
      <c r="AJ873">
        <v>0</v>
      </c>
      <c r="AK873">
        <v>0</v>
      </c>
      <c r="AL873" t="s">
        <v>146</v>
      </c>
      <c r="AM873" t="s">
        <v>147</v>
      </c>
      <c r="AN873" t="s">
        <v>148</v>
      </c>
      <c r="AO873" t="s">
        <v>2979</v>
      </c>
      <c r="AP873" t="s">
        <v>2980</v>
      </c>
      <c r="AQ873" t="s">
        <v>74</v>
      </c>
      <c r="AR873" t="s">
        <v>2981</v>
      </c>
      <c r="AS873" t="s">
        <v>2982</v>
      </c>
      <c r="AT873" t="s">
        <v>15707</v>
      </c>
      <c r="AU873">
        <v>2012</v>
      </c>
      <c r="AV873">
        <v>64</v>
      </c>
      <c r="AW873">
        <v>12</v>
      </c>
      <c r="AX873" t="s">
        <v>74</v>
      </c>
      <c r="AY873" t="s">
        <v>74</v>
      </c>
      <c r="AZ873" t="s">
        <v>74</v>
      </c>
      <c r="BA873" t="s">
        <v>74</v>
      </c>
      <c r="BB873">
        <v>2618</v>
      </c>
      <c r="BC873">
        <v>2618</v>
      </c>
      <c r="BD873" t="s">
        <v>74</v>
      </c>
      <c r="BE873" t="s">
        <v>74</v>
      </c>
      <c r="BF873" t="s">
        <v>74</v>
      </c>
      <c r="BG873" t="s">
        <v>74</v>
      </c>
      <c r="BH873" t="s">
        <v>74</v>
      </c>
      <c r="BI873">
        <v>1</v>
      </c>
      <c r="BJ873" t="s">
        <v>2984</v>
      </c>
      <c r="BK873" t="s">
        <v>102</v>
      </c>
      <c r="BL873" t="s">
        <v>2985</v>
      </c>
      <c r="BM873" t="s">
        <v>15930</v>
      </c>
      <c r="BN873" t="s">
        <v>74</v>
      </c>
      <c r="BO873" t="s">
        <v>74</v>
      </c>
      <c r="BP873" t="s">
        <v>74</v>
      </c>
      <c r="BQ873" t="s">
        <v>74</v>
      </c>
      <c r="BR873" t="s">
        <v>105</v>
      </c>
      <c r="BS873" t="s">
        <v>15931</v>
      </c>
      <c r="BT873" t="str">
        <f>HYPERLINK("https%3A%2F%2Fwww.webofscience.com%2Fwos%2Fwoscc%2Ffull-record%2FWOS:000313380800005","View Full Record in Web of Science")</f>
        <v>View Full Record in Web of Science</v>
      </c>
    </row>
    <row r="874" spans="1:72" x14ac:dyDescent="0.15">
      <c r="A874" t="s">
        <v>72</v>
      </c>
      <c r="B874" t="s">
        <v>15932</v>
      </c>
      <c r="C874" t="s">
        <v>74</v>
      </c>
      <c r="D874" t="s">
        <v>74</v>
      </c>
      <c r="E874" t="s">
        <v>74</v>
      </c>
      <c r="F874" t="s">
        <v>15933</v>
      </c>
      <c r="G874" t="s">
        <v>74</v>
      </c>
      <c r="H874" t="s">
        <v>74</v>
      </c>
      <c r="I874" t="s">
        <v>15934</v>
      </c>
      <c r="J874" t="s">
        <v>2967</v>
      </c>
      <c r="K874" t="s">
        <v>74</v>
      </c>
      <c r="L874" t="s">
        <v>74</v>
      </c>
      <c r="M874" t="s">
        <v>78</v>
      </c>
      <c r="N874" t="s">
        <v>79</v>
      </c>
      <c r="O874" t="s">
        <v>74</v>
      </c>
      <c r="P874" t="s">
        <v>74</v>
      </c>
      <c r="Q874" t="s">
        <v>74</v>
      </c>
      <c r="R874" t="s">
        <v>74</v>
      </c>
      <c r="S874" t="s">
        <v>74</v>
      </c>
      <c r="T874" t="s">
        <v>15935</v>
      </c>
      <c r="U874" t="s">
        <v>15936</v>
      </c>
      <c r="V874" t="s">
        <v>15937</v>
      </c>
      <c r="W874" t="s">
        <v>15938</v>
      </c>
      <c r="X874" t="s">
        <v>15939</v>
      </c>
      <c r="Y874" t="s">
        <v>15940</v>
      </c>
      <c r="Z874" t="s">
        <v>15941</v>
      </c>
      <c r="AA874" t="s">
        <v>15942</v>
      </c>
      <c r="AB874" t="s">
        <v>15943</v>
      </c>
      <c r="AC874" t="s">
        <v>15944</v>
      </c>
      <c r="AD874" t="s">
        <v>15945</v>
      </c>
      <c r="AE874" t="s">
        <v>15946</v>
      </c>
      <c r="AF874" t="s">
        <v>74</v>
      </c>
      <c r="AG874">
        <v>45</v>
      </c>
      <c r="AH874">
        <v>28</v>
      </c>
      <c r="AI874">
        <v>30</v>
      </c>
      <c r="AJ874">
        <v>2</v>
      </c>
      <c r="AK874">
        <v>104</v>
      </c>
      <c r="AL874" t="s">
        <v>146</v>
      </c>
      <c r="AM874" t="s">
        <v>147</v>
      </c>
      <c r="AN874" t="s">
        <v>148</v>
      </c>
      <c r="AO874" t="s">
        <v>2979</v>
      </c>
      <c r="AP874" t="s">
        <v>2980</v>
      </c>
      <c r="AQ874" t="s">
        <v>74</v>
      </c>
      <c r="AR874" t="s">
        <v>2981</v>
      </c>
      <c r="AS874" t="s">
        <v>2982</v>
      </c>
      <c r="AT874" t="s">
        <v>15707</v>
      </c>
      <c r="AU874">
        <v>2012</v>
      </c>
      <c r="AV874">
        <v>64</v>
      </c>
      <c r="AW874">
        <v>12</v>
      </c>
      <c r="AX874" t="s">
        <v>74</v>
      </c>
      <c r="AY874" t="s">
        <v>74</v>
      </c>
      <c r="AZ874" t="s">
        <v>74</v>
      </c>
      <c r="BA874" t="s">
        <v>74</v>
      </c>
      <c r="BB874">
        <v>2650</v>
      </c>
      <c r="BC874">
        <v>2655</v>
      </c>
      <c r="BD874" t="s">
        <v>74</v>
      </c>
      <c r="BE874" t="s">
        <v>15947</v>
      </c>
      <c r="BF874" t="str">
        <f>HYPERLINK("http://dx.doi.org/10.1016/j.marpolbul.2012.10.012","http://dx.doi.org/10.1016/j.marpolbul.2012.10.012")</f>
        <v>http://dx.doi.org/10.1016/j.marpolbul.2012.10.012</v>
      </c>
      <c r="BG874" t="s">
        <v>74</v>
      </c>
      <c r="BH874" t="s">
        <v>74</v>
      </c>
      <c r="BI874">
        <v>6</v>
      </c>
      <c r="BJ874" t="s">
        <v>2984</v>
      </c>
      <c r="BK874" t="s">
        <v>102</v>
      </c>
      <c r="BL874" t="s">
        <v>2985</v>
      </c>
      <c r="BM874" t="s">
        <v>15930</v>
      </c>
      <c r="BN874">
        <v>23154138</v>
      </c>
      <c r="BO874" t="s">
        <v>155</v>
      </c>
      <c r="BP874" t="s">
        <v>74</v>
      </c>
      <c r="BQ874" t="s">
        <v>74</v>
      </c>
      <c r="BR874" t="s">
        <v>105</v>
      </c>
      <c r="BS874" t="s">
        <v>15948</v>
      </c>
      <c r="BT874" t="str">
        <f>HYPERLINK("https%3A%2F%2Fwww.webofscience.com%2Fwos%2Fwoscc%2Ffull-record%2FWOS:000313380800019","View Full Record in Web of Science")</f>
        <v>View Full Record in Web of Science</v>
      </c>
    </row>
    <row r="875" spans="1:72" x14ac:dyDescent="0.15">
      <c r="A875" t="s">
        <v>72</v>
      </c>
      <c r="B875" t="s">
        <v>15949</v>
      </c>
      <c r="C875" t="s">
        <v>74</v>
      </c>
      <c r="D875" t="s">
        <v>74</v>
      </c>
      <c r="E875" t="s">
        <v>74</v>
      </c>
      <c r="F875" t="s">
        <v>15950</v>
      </c>
      <c r="G875" t="s">
        <v>74</v>
      </c>
      <c r="H875" t="s">
        <v>74</v>
      </c>
      <c r="I875" t="s">
        <v>15951</v>
      </c>
      <c r="J875" t="s">
        <v>2967</v>
      </c>
      <c r="K875" t="s">
        <v>74</v>
      </c>
      <c r="L875" t="s">
        <v>74</v>
      </c>
      <c r="M875" t="s">
        <v>78</v>
      </c>
      <c r="N875" t="s">
        <v>79</v>
      </c>
      <c r="O875" t="s">
        <v>74</v>
      </c>
      <c r="P875" t="s">
        <v>74</v>
      </c>
      <c r="Q875" t="s">
        <v>74</v>
      </c>
      <c r="R875" t="s">
        <v>74</v>
      </c>
      <c r="S875" t="s">
        <v>74</v>
      </c>
      <c r="T875" t="s">
        <v>15952</v>
      </c>
      <c r="U875" t="s">
        <v>15953</v>
      </c>
      <c r="V875" t="s">
        <v>15954</v>
      </c>
      <c r="W875" t="s">
        <v>15955</v>
      </c>
      <c r="X875" t="s">
        <v>15956</v>
      </c>
      <c r="Y875" t="s">
        <v>15957</v>
      </c>
      <c r="Z875" t="s">
        <v>15958</v>
      </c>
      <c r="AA875" t="s">
        <v>15959</v>
      </c>
      <c r="AB875" t="s">
        <v>15960</v>
      </c>
      <c r="AC875" t="s">
        <v>15961</v>
      </c>
      <c r="AD875" t="s">
        <v>15962</v>
      </c>
      <c r="AE875" t="s">
        <v>15963</v>
      </c>
      <c r="AF875" t="s">
        <v>74</v>
      </c>
      <c r="AG875">
        <v>24</v>
      </c>
      <c r="AH875">
        <v>38</v>
      </c>
      <c r="AI875">
        <v>38</v>
      </c>
      <c r="AJ875">
        <v>0</v>
      </c>
      <c r="AK875">
        <v>18</v>
      </c>
      <c r="AL875" t="s">
        <v>146</v>
      </c>
      <c r="AM875" t="s">
        <v>147</v>
      </c>
      <c r="AN875" t="s">
        <v>148</v>
      </c>
      <c r="AO875" t="s">
        <v>2979</v>
      </c>
      <c r="AP875" t="s">
        <v>2980</v>
      </c>
      <c r="AQ875" t="s">
        <v>74</v>
      </c>
      <c r="AR875" t="s">
        <v>2981</v>
      </c>
      <c r="AS875" t="s">
        <v>2982</v>
      </c>
      <c r="AT875" t="s">
        <v>15707</v>
      </c>
      <c r="AU875">
        <v>2012</v>
      </c>
      <c r="AV875">
        <v>64</v>
      </c>
      <c r="AW875">
        <v>12</v>
      </c>
      <c r="AX875" t="s">
        <v>74</v>
      </c>
      <c r="AY875" t="s">
        <v>74</v>
      </c>
      <c r="AZ875" t="s">
        <v>74</v>
      </c>
      <c r="BA875" t="s">
        <v>74</v>
      </c>
      <c r="BB875">
        <v>2867</v>
      </c>
      <c r="BC875">
        <v>2870</v>
      </c>
      <c r="BD875" t="s">
        <v>74</v>
      </c>
      <c r="BE875" t="s">
        <v>15964</v>
      </c>
      <c r="BF875" t="str">
        <f>HYPERLINK("http://dx.doi.org/10.1016/j.marpolbul.2012.08.019","http://dx.doi.org/10.1016/j.marpolbul.2012.08.019")</f>
        <v>http://dx.doi.org/10.1016/j.marpolbul.2012.08.019</v>
      </c>
      <c r="BG875" t="s">
        <v>74</v>
      </c>
      <c r="BH875" t="s">
        <v>74</v>
      </c>
      <c r="BI875">
        <v>4</v>
      </c>
      <c r="BJ875" t="s">
        <v>2984</v>
      </c>
      <c r="BK875" t="s">
        <v>102</v>
      </c>
      <c r="BL875" t="s">
        <v>2985</v>
      </c>
      <c r="BM875" t="s">
        <v>15930</v>
      </c>
      <c r="BN875">
        <v>22980774</v>
      </c>
      <c r="BO875" t="s">
        <v>74</v>
      </c>
      <c r="BP875" t="s">
        <v>74</v>
      </c>
      <c r="BQ875" t="s">
        <v>74</v>
      </c>
      <c r="BR875" t="s">
        <v>105</v>
      </c>
      <c r="BS875" t="s">
        <v>15965</v>
      </c>
      <c r="BT875" t="str">
        <f>HYPERLINK("https%3A%2F%2Fwww.webofscience.com%2Fwos%2Fwoscc%2Ffull-record%2FWOS:000313380800047","View Full Record in Web of Science")</f>
        <v>View Full Record in Web of Science</v>
      </c>
    </row>
    <row r="876" spans="1:72" x14ac:dyDescent="0.15">
      <c r="A876" t="s">
        <v>72</v>
      </c>
      <c r="B876" t="s">
        <v>15966</v>
      </c>
      <c r="C876" t="s">
        <v>74</v>
      </c>
      <c r="D876" t="s">
        <v>74</v>
      </c>
      <c r="E876" t="s">
        <v>74</v>
      </c>
      <c r="F876" t="s">
        <v>15967</v>
      </c>
      <c r="G876" t="s">
        <v>74</v>
      </c>
      <c r="H876" t="s">
        <v>74</v>
      </c>
      <c r="I876" t="s">
        <v>15968</v>
      </c>
      <c r="J876" t="s">
        <v>15969</v>
      </c>
      <c r="K876" t="s">
        <v>74</v>
      </c>
      <c r="L876" t="s">
        <v>74</v>
      </c>
      <c r="M876" t="s">
        <v>78</v>
      </c>
      <c r="N876" t="s">
        <v>79</v>
      </c>
      <c r="O876" t="s">
        <v>74</v>
      </c>
      <c r="P876" t="s">
        <v>74</v>
      </c>
      <c r="Q876" t="s">
        <v>74</v>
      </c>
      <c r="R876" t="s">
        <v>74</v>
      </c>
      <c r="S876" t="s">
        <v>74</v>
      </c>
      <c r="T876" t="s">
        <v>15970</v>
      </c>
      <c r="U876" t="s">
        <v>15971</v>
      </c>
      <c r="V876" t="s">
        <v>15972</v>
      </c>
      <c r="W876" t="s">
        <v>15973</v>
      </c>
      <c r="X876" t="s">
        <v>15974</v>
      </c>
      <c r="Y876" t="s">
        <v>15975</v>
      </c>
      <c r="Z876" t="s">
        <v>15976</v>
      </c>
      <c r="AA876" t="s">
        <v>15977</v>
      </c>
      <c r="AB876" t="s">
        <v>15978</v>
      </c>
      <c r="AC876" t="s">
        <v>15979</v>
      </c>
      <c r="AD876" t="s">
        <v>15980</v>
      </c>
      <c r="AE876" t="s">
        <v>15981</v>
      </c>
      <c r="AF876" t="s">
        <v>74</v>
      </c>
      <c r="AG876">
        <v>37</v>
      </c>
      <c r="AH876">
        <v>9</v>
      </c>
      <c r="AI876">
        <v>9</v>
      </c>
      <c r="AJ876">
        <v>0</v>
      </c>
      <c r="AK876">
        <v>12</v>
      </c>
      <c r="AL876" t="s">
        <v>541</v>
      </c>
      <c r="AM876" t="s">
        <v>542</v>
      </c>
      <c r="AN876" t="s">
        <v>543</v>
      </c>
      <c r="AO876" t="s">
        <v>15982</v>
      </c>
      <c r="AP876" t="s">
        <v>74</v>
      </c>
      <c r="AQ876" t="s">
        <v>74</v>
      </c>
      <c r="AR876" t="s">
        <v>15983</v>
      </c>
      <c r="AS876" t="s">
        <v>15984</v>
      </c>
      <c r="AT876" t="s">
        <v>15707</v>
      </c>
      <c r="AU876">
        <v>2012</v>
      </c>
      <c r="AV876">
        <v>8</v>
      </c>
      <c r="AW876" t="s">
        <v>74</v>
      </c>
      <c r="AX876" t="s">
        <v>74</v>
      </c>
      <c r="AY876" t="s">
        <v>74</v>
      </c>
      <c r="AZ876" t="s">
        <v>74</v>
      </c>
      <c r="BA876" t="s">
        <v>74</v>
      </c>
      <c r="BB876">
        <v>9</v>
      </c>
      <c r="BC876">
        <v>13</v>
      </c>
      <c r="BD876" t="s">
        <v>74</v>
      </c>
      <c r="BE876" t="s">
        <v>15985</v>
      </c>
      <c r="BF876" t="str">
        <f>HYPERLINK("http://dx.doi.org/10.1016/j.margen.2012.03.004","http://dx.doi.org/10.1016/j.margen.2012.03.004")</f>
        <v>http://dx.doi.org/10.1016/j.margen.2012.03.004</v>
      </c>
      <c r="BG876" t="s">
        <v>74</v>
      </c>
      <c r="BH876" t="s">
        <v>74</v>
      </c>
      <c r="BI876">
        <v>5</v>
      </c>
      <c r="BJ876" t="s">
        <v>15986</v>
      </c>
      <c r="BK876" t="s">
        <v>102</v>
      </c>
      <c r="BL876" t="s">
        <v>15986</v>
      </c>
      <c r="BM876" t="s">
        <v>15987</v>
      </c>
      <c r="BN876">
        <v>23199875</v>
      </c>
      <c r="BO876" t="s">
        <v>74</v>
      </c>
      <c r="BP876" t="s">
        <v>74</v>
      </c>
      <c r="BQ876" t="s">
        <v>74</v>
      </c>
      <c r="BR876" t="s">
        <v>105</v>
      </c>
      <c r="BS876" t="s">
        <v>15988</v>
      </c>
      <c r="BT876" t="str">
        <f>HYPERLINK("https%3A%2F%2Fwww.webofscience.com%2Fwos%2Fwoscc%2Ffull-record%2FWOS:000313381000003","View Full Record in Web of Science")</f>
        <v>View Full Record in Web of Science</v>
      </c>
    </row>
    <row r="877" spans="1:72" x14ac:dyDescent="0.15">
      <c r="A877" t="s">
        <v>72</v>
      </c>
      <c r="B877" t="s">
        <v>15989</v>
      </c>
      <c r="C877" t="s">
        <v>74</v>
      </c>
      <c r="D877" t="s">
        <v>74</v>
      </c>
      <c r="E877" t="s">
        <v>74</v>
      </c>
      <c r="F877" t="s">
        <v>15990</v>
      </c>
      <c r="G877" t="s">
        <v>74</v>
      </c>
      <c r="H877" t="s">
        <v>74</v>
      </c>
      <c r="I877" t="s">
        <v>15991</v>
      </c>
      <c r="J877" t="s">
        <v>15969</v>
      </c>
      <c r="K877" t="s">
        <v>74</v>
      </c>
      <c r="L877" t="s">
        <v>74</v>
      </c>
      <c r="M877" t="s">
        <v>78</v>
      </c>
      <c r="N877" t="s">
        <v>79</v>
      </c>
      <c r="O877" t="s">
        <v>74</v>
      </c>
      <c r="P877" t="s">
        <v>74</v>
      </c>
      <c r="Q877" t="s">
        <v>74</v>
      </c>
      <c r="R877" t="s">
        <v>74</v>
      </c>
      <c r="S877" t="s">
        <v>74</v>
      </c>
      <c r="T877" t="s">
        <v>15992</v>
      </c>
      <c r="U877" t="s">
        <v>15993</v>
      </c>
      <c r="V877" t="s">
        <v>15994</v>
      </c>
      <c r="W877" t="s">
        <v>15995</v>
      </c>
      <c r="X877" t="s">
        <v>15996</v>
      </c>
      <c r="Y877" t="s">
        <v>15997</v>
      </c>
      <c r="Z877" t="s">
        <v>15998</v>
      </c>
      <c r="AA877" t="s">
        <v>15999</v>
      </c>
      <c r="AB877" t="s">
        <v>16000</v>
      </c>
      <c r="AC877" t="s">
        <v>16001</v>
      </c>
      <c r="AD877" t="s">
        <v>16002</v>
      </c>
      <c r="AE877" t="s">
        <v>16003</v>
      </c>
      <c r="AF877" t="s">
        <v>74</v>
      </c>
      <c r="AG877">
        <v>82</v>
      </c>
      <c r="AH877">
        <v>15</v>
      </c>
      <c r="AI877">
        <v>18</v>
      </c>
      <c r="AJ877">
        <v>0</v>
      </c>
      <c r="AK877">
        <v>64</v>
      </c>
      <c r="AL877" t="s">
        <v>586</v>
      </c>
      <c r="AM877" t="s">
        <v>542</v>
      </c>
      <c r="AN877" t="s">
        <v>587</v>
      </c>
      <c r="AO877" t="s">
        <v>15982</v>
      </c>
      <c r="AP877" t="s">
        <v>16004</v>
      </c>
      <c r="AQ877" t="s">
        <v>74</v>
      </c>
      <c r="AR877" t="s">
        <v>15983</v>
      </c>
      <c r="AS877" t="s">
        <v>15984</v>
      </c>
      <c r="AT877" t="s">
        <v>15707</v>
      </c>
      <c r="AU877">
        <v>2012</v>
      </c>
      <c r="AV877">
        <v>8</v>
      </c>
      <c r="AW877" t="s">
        <v>74</v>
      </c>
      <c r="AX877" t="s">
        <v>74</v>
      </c>
      <c r="AY877" t="s">
        <v>74</v>
      </c>
      <c r="AZ877" t="s">
        <v>74</v>
      </c>
      <c r="BA877" t="s">
        <v>74</v>
      </c>
      <c r="BB877">
        <v>23</v>
      </c>
      <c r="BC877">
        <v>34</v>
      </c>
      <c r="BD877" t="s">
        <v>74</v>
      </c>
      <c r="BE877" t="s">
        <v>16005</v>
      </c>
      <c r="BF877" t="str">
        <f>HYPERLINK("http://dx.doi.org/10.1016/j.margen.2012.05.002","http://dx.doi.org/10.1016/j.margen.2012.05.002")</f>
        <v>http://dx.doi.org/10.1016/j.margen.2012.05.002</v>
      </c>
      <c r="BG877" t="s">
        <v>74</v>
      </c>
      <c r="BH877" t="s">
        <v>74</v>
      </c>
      <c r="BI877">
        <v>12</v>
      </c>
      <c r="BJ877" t="s">
        <v>15986</v>
      </c>
      <c r="BK877" t="s">
        <v>102</v>
      </c>
      <c r="BL877" t="s">
        <v>15986</v>
      </c>
      <c r="BM877" t="s">
        <v>15987</v>
      </c>
      <c r="BN877">
        <v>23199877</v>
      </c>
      <c r="BO877" t="s">
        <v>429</v>
      </c>
      <c r="BP877" t="s">
        <v>74</v>
      </c>
      <c r="BQ877" t="s">
        <v>74</v>
      </c>
      <c r="BR877" t="s">
        <v>105</v>
      </c>
      <c r="BS877" t="s">
        <v>16006</v>
      </c>
      <c r="BT877" t="str">
        <f>HYPERLINK("https%3A%2F%2Fwww.webofscience.com%2Fwos%2Fwoscc%2Ffull-record%2FWOS:000313381000005","View Full Record in Web of Science")</f>
        <v>View Full Record in Web of Science</v>
      </c>
    </row>
    <row r="878" spans="1:72" x14ac:dyDescent="0.15">
      <c r="A878" t="s">
        <v>72</v>
      </c>
      <c r="B878" t="s">
        <v>16007</v>
      </c>
      <c r="C878" t="s">
        <v>74</v>
      </c>
      <c r="D878" t="s">
        <v>74</v>
      </c>
      <c r="E878" t="s">
        <v>74</v>
      </c>
      <c r="F878" t="s">
        <v>16008</v>
      </c>
      <c r="G878" t="s">
        <v>74</v>
      </c>
      <c r="H878" t="s">
        <v>74</v>
      </c>
      <c r="I878" t="s">
        <v>16009</v>
      </c>
      <c r="J878" t="s">
        <v>15969</v>
      </c>
      <c r="K878" t="s">
        <v>74</v>
      </c>
      <c r="L878" t="s">
        <v>74</v>
      </c>
      <c r="M878" t="s">
        <v>78</v>
      </c>
      <c r="N878" t="s">
        <v>79</v>
      </c>
      <c r="O878" t="s">
        <v>74</v>
      </c>
      <c r="P878" t="s">
        <v>74</v>
      </c>
      <c r="Q878" t="s">
        <v>74</v>
      </c>
      <c r="R878" t="s">
        <v>74</v>
      </c>
      <c r="S878" t="s">
        <v>74</v>
      </c>
      <c r="T878" t="s">
        <v>16010</v>
      </c>
      <c r="U878" t="s">
        <v>16011</v>
      </c>
      <c r="V878" t="s">
        <v>16012</v>
      </c>
      <c r="W878" t="s">
        <v>16013</v>
      </c>
      <c r="X878" t="s">
        <v>16014</v>
      </c>
      <c r="Y878" t="s">
        <v>16015</v>
      </c>
      <c r="Z878" t="s">
        <v>16016</v>
      </c>
      <c r="AA878" t="s">
        <v>16017</v>
      </c>
      <c r="AB878" t="s">
        <v>16018</v>
      </c>
      <c r="AC878" t="s">
        <v>16019</v>
      </c>
      <c r="AD878" t="s">
        <v>16020</v>
      </c>
      <c r="AE878" t="s">
        <v>16021</v>
      </c>
      <c r="AF878" t="s">
        <v>74</v>
      </c>
      <c r="AG878">
        <v>53</v>
      </c>
      <c r="AH878">
        <v>2</v>
      </c>
      <c r="AI878">
        <v>2</v>
      </c>
      <c r="AJ878">
        <v>0</v>
      </c>
      <c r="AK878">
        <v>15</v>
      </c>
      <c r="AL878" t="s">
        <v>586</v>
      </c>
      <c r="AM878" t="s">
        <v>542</v>
      </c>
      <c r="AN878" t="s">
        <v>587</v>
      </c>
      <c r="AO878" t="s">
        <v>15982</v>
      </c>
      <c r="AP878" t="s">
        <v>16004</v>
      </c>
      <c r="AQ878" t="s">
        <v>74</v>
      </c>
      <c r="AR878" t="s">
        <v>15983</v>
      </c>
      <c r="AS878" t="s">
        <v>15984</v>
      </c>
      <c r="AT878" t="s">
        <v>15707</v>
      </c>
      <c r="AU878">
        <v>2012</v>
      </c>
      <c r="AV878">
        <v>8</v>
      </c>
      <c r="AW878" t="s">
        <v>74</v>
      </c>
      <c r="AX878" t="s">
        <v>74</v>
      </c>
      <c r="AY878" t="s">
        <v>74</v>
      </c>
      <c r="AZ878" t="s">
        <v>74</v>
      </c>
      <c r="BA878" t="s">
        <v>74</v>
      </c>
      <c r="BB878">
        <v>35</v>
      </c>
      <c r="BC878">
        <v>41</v>
      </c>
      <c r="BD878" t="s">
        <v>74</v>
      </c>
      <c r="BE878" t="s">
        <v>16022</v>
      </c>
      <c r="BF878" t="str">
        <f>HYPERLINK("http://dx.doi.org/10.1016/j.margen.2012.07.001","http://dx.doi.org/10.1016/j.margen.2012.07.001")</f>
        <v>http://dx.doi.org/10.1016/j.margen.2012.07.001</v>
      </c>
      <c r="BG878" t="s">
        <v>74</v>
      </c>
      <c r="BH878" t="s">
        <v>74</v>
      </c>
      <c r="BI878">
        <v>7</v>
      </c>
      <c r="BJ878" t="s">
        <v>15986</v>
      </c>
      <c r="BK878" t="s">
        <v>102</v>
      </c>
      <c r="BL878" t="s">
        <v>15986</v>
      </c>
      <c r="BM878" t="s">
        <v>15987</v>
      </c>
      <c r="BN878">
        <v>23199878</v>
      </c>
      <c r="BO878" t="s">
        <v>74</v>
      </c>
      <c r="BP878" t="s">
        <v>74</v>
      </c>
      <c r="BQ878" t="s">
        <v>74</v>
      </c>
      <c r="BR878" t="s">
        <v>105</v>
      </c>
      <c r="BS878" t="s">
        <v>16023</v>
      </c>
      <c r="BT878" t="str">
        <f>HYPERLINK("https%3A%2F%2Fwww.webofscience.com%2Fwos%2Fwoscc%2Ffull-record%2FWOS:000313381000006","View Full Record in Web of Science")</f>
        <v>View Full Record in Web of Science</v>
      </c>
    </row>
    <row r="879" spans="1:72" x14ac:dyDescent="0.15">
      <c r="A879" t="s">
        <v>72</v>
      </c>
      <c r="B879" t="s">
        <v>16024</v>
      </c>
      <c r="C879" t="s">
        <v>74</v>
      </c>
      <c r="D879" t="s">
        <v>74</v>
      </c>
      <c r="E879" t="s">
        <v>74</v>
      </c>
      <c r="F879" t="s">
        <v>16025</v>
      </c>
      <c r="G879" t="s">
        <v>74</v>
      </c>
      <c r="H879" t="s">
        <v>74</v>
      </c>
      <c r="I879" t="s">
        <v>16026</v>
      </c>
      <c r="J879" t="s">
        <v>15969</v>
      </c>
      <c r="K879" t="s">
        <v>74</v>
      </c>
      <c r="L879" t="s">
        <v>74</v>
      </c>
      <c r="M879" t="s">
        <v>78</v>
      </c>
      <c r="N879" t="s">
        <v>79</v>
      </c>
      <c r="O879" t="s">
        <v>74</v>
      </c>
      <c r="P879" t="s">
        <v>74</v>
      </c>
      <c r="Q879" t="s">
        <v>74</v>
      </c>
      <c r="R879" t="s">
        <v>74</v>
      </c>
      <c r="S879" t="s">
        <v>74</v>
      </c>
      <c r="T879" t="s">
        <v>16027</v>
      </c>
      <c r="U879" t="s">
        <v>16028</v>
      </c>
      <c r="V879" t="s">
        <v>16029</v>
      </c>
      <c r="W879" t="s">
        <v>16030</v>
      </c>
      <c r="X879" t="s">
        <v>16031</v>
      </c>
      <c r="Y879" t="s">
        <v>16032</v>
      </c>
      <c r="Z879" t="s">
        <v>16033</v>
      </c>
      <c r="AA879" t="s">
        <v>16034</v>
      </c>
      <c r="AB879" t="s">
        <v>74</v>
      </c>
      <c r="AC879" t="s">
        <v>16035</v>
      </c>
      <c r="AD879" t="s">
        <v>4935</v>
      </c>
      <c r="AE879" t="s">
        <v>16036</v>
      </c>
      <c r="AF879" t="s">
        <v>74</v>
      </c>
      <c r="AG879">
        <v>34</v>
      </c>
      <c r="AH879">
        <v>6</v>
      </c>
      <c r="AI879">
        <v>6</v>
      </c>
      <c r="AJ879">
        <v>0</v>
      </c>
      <c r="AK879">
        <v>10</v>
      </c>
      <c r="AL879" t="s">
        <v>586</v>
      </c>
      <c r="AM879" t="s">
        <v>542</v>
      </c>
      <c r="AN879" t="s">
        <v>587</v>
      </c>
      <c r="AO879" t="s">
        <v>15982</v>
      </c>
      <c r="AP879" t="s">
        <v>16004</v>
      </c>
      <c r="AQ879" t="s">
        <v>74</v>
      </c>
      <c r="AR879" t="s">
        <v>15983</v>
      </c>
      <c r="AS879" t="s">
        <v>15984</v>
      </c>
      <c r="AT879" t="s">
        <v>15707</v>
      </c>
      <c r="AU879">
        <v>2012</v>
      </c>
      <c r="AV879">
        <v>8</v>
      </c>
      <c r="AW879" t="s">
        <v>74</v>
      </c>
      <c r="AX879" t="s">
        <v>74</v>
      </c>
      <c r="AY879" t="s">
        <v>74</v>
      </c>
      <c r="AZ879" t="s">
        <v>74</v>
      </c>
      <c r="BA879" t="s">
        <v>74</v>
      </c>
      <c r="BB879">
        <v>43</v>
      </c>
      <c r="BC879">
        <v>48</v>
      </c>
      <c r="BD879" t="s">
        <v>74</v>
      </c>
      <c r="BE879" t="s">
        <v>16037</v>
      </c>
      <c r="BF879" t="str">
        <f>HYPERLINK("http://dx.doi.org/10.1016/j.margen.2012.04.002","http://dx.doi.org/10.1016/j.margen.2012.04.002")</f>
        <v>http://dx.doi.org/10.1016/j.margen.2012.04.002</v>
      </c>
      <c r="BG879" t="s">
        <v>74</v>
      </c>
      <c r="BH879" t="s">
        <v>74</v>
      </c>
      <c r="BI879">
        <v>6</v>
      </c>
      <c r="BJ879" t="s">
        <v>15986</v>
      </c>
      <c r="BK879" t="s">
        <v>102</v>
      </c>
      <c r="BL879" t="s">
        <v>15986</v>
      </c>
      <c r="BM879" t="s">
        <v>15987</v>
      </c>
      <c r="BN879">
        <v>23199879</v>
      </c>
      <c r="BO879" t="s">
        <v>74</v>
      </c>
      <c r="BP879" t="s">
        <v>74</v>
      </c>
      <c r="BQ879" t="s">
        <v>74</v>
      </c>
      <c r="BR879" t="s">
        <v>105</v>
      </c>
      <c r="BS879" t="s">
        <v>16038</v>
      </c>
      <c r="BT879" t="str">
        <f>HYPERLINK("https%3A%2F%2Fwww.webofscience.com%2Fwos%2Fwoscc%2Ffull-record%2FWOS:000313381000007","View Full Record in Web of Science")</f>
        <v>View Full Record in Web of Science</v>
      </c>
    </row>
    <row r="880" spans="1:72" x14ac:dyDescent="0.15">
      <c r="A880" t="s">
        <v>72</v>
      </c>
      <c r="B880" t="s">
        <v>16039</v>
      </c>
      <c r="C880" t="s">
        <v>74</v>
      </c>
      <c r="D880" t="s">
        <v>74</v>
      </c>
      <c r="E880" t="s">
        <v>74</v>
      </c>
      <c r="F880" t="s">
        <v>16040</v>
      </c>
      <c r="G880" t="s">
        <v>74</v>
      </c>
      <c r="H880" t="s">
        <v>74</v>
      </c>
      <c r="I880" t="s">
        <v>16041</v>
      </c>
      <c r="J880" t="s">
        <v>15969</v>
      </c>
      <c r="K880" t="s">
        <v>74</v>
      </c>
      <c r="L880" t="s">
        <v>74</v>
      </c>
      <c r="M880" t="s">
        <v>78</v>
      </c>
      <c r="N880" t="s">
        <v>79</v>
      </c>
      <c r="O880" t="s">
        <v>74</v>
      </c>
      <c r="P880" t="s">
        <v>74</v>
      </c>
      <c r="Q880" t="s">
        <v>74</v>
      </c>
      <c r="R880" t="s">
        <v>74</v>
      </c>
      <c r="S880" t="s">
        <v>74</v>
      </c>
      <c r="T880" t="s">
        <v>16042</v>
      </c>
      <c r="U880" t="s">
        <v>16043</v>
      </c>
      <c r="V880" t="s">
        <v>16044</v>
      </c>
      <c r="W880" t="s">
        <v>16045</v>
      </c>
      <c r="X880" t="s">
        <v>16046</v>
      </c>
      <c r="Y880" t="s">
        <v>16047</v>
      </c>
      <c r="Z880" t="s">
        <v>16048</v>
      </c>
      <c r="AA880" t="s">
        <v>16049</v>
      </c>
      <c r="AB880" t="s">
        <v>16050</v>
      </c>
      <c r="AC880" t="s">
        <v>16051</v>
      </c>
      <c r="AD880" t="s">
        <v>16052</v>
      </c>
      <c r="AE880" t="s">
        <v>16053</v>
      </c>
      <c r="AF880" t="s">
        <v>74</v>
      </c>
      <c r="AG880">
        <v>42</v>
      </c>
      <c r="AH880">
        <v>33</v>
      </c>
      <c r="AI880">
        <v>33</v>
      </c>
      <c r="AJ880">
        <v>1</v>
      </c>
      <c r="AK880">
        <v>27</v>
      </c>
      <c r="AL880" t="s">
        <v>586</v>
      </c>
      <c r="AM880" t="s">
        <v>542</v>
      </c>
      <c r="AN880" t="s">
        <v>587</v>
      </c>
      <c r="AO880" t="s">
        <v>15982</v>
      </c>
      <c r="AP880" t="s">
        <v>16004</v>
      </c>
      <c r="AQ880" t="s">
        <v>74</v>
      </c>
      <c r="AR880" t="s">
        <v>15983</v>
      </c>
      <c r="AS880" t="s">
        <v>15984</v>
      </c>
      <c r="AT880" t="s">
        <v>15707</v>
      </c>
      <c r="AU880">
        <v>2012</v>
      </c>
      <c r="AV880">
        <v>8</v>
      </c>
      <c r="AW880" t="s">
        <v>74</v>
      </c>
      <c r="AX880" t="s">
        <v>74</v>
      </c>
      <c r="AY880" t="s">
        <v>74</v>
      </c>
      <c r="AZ880" t="s">
        <v>74</v>
      </c>
      <c r="BA880" t="s">
        <v>74</v>
      </c>
      <c r="BB880">
        <v>49</v>
      </c>
      <c r="BC880">
        <v>58</v>
      </c>
      <c r="BD880" t="s">
        <v>74</v>
      </c>
      <c r="BE880" t="s">
        <v>16054</v>
      </c>
      <c r="BF880" t="str">
        <f>HYPERLINK("http://dx.doi.org/10.1016/j.margen.2012.02.003","http://dx.doi.org/10.1016/j.margen.2012.02.003")</f>
        <v>http://dx.doi.org/10.1016/j.margen.2012.02.003</v>
      </c>
      <c r="BG880" t="s">
        <v>74</v>
      </c>
      <c r="BH880" t="s">
        <v>74</v>
      </c>
      <c r="BI880">
        <v>10</v>
      </c>
      <c r="BJ880" t="s">
        <v>15986</v>
      </c>
      <c r="BK880" t="s">
        <v>102</v>
      </c>
      <c r="BL880" t="s">
        <v>15986</v>
      </c>
      <c r="BM880" t="s">
        <v>15987</v>
      </c>
      <c r="BN880">
        <v>23199880</v>
      </c>
      <c r="BO880" t="s">
        <v>155</v>
      </c>
      <c r="BP880" t="s">
        <v>74</v>
      </c>
      <c r="BQ880" t="s">
        <v>74</v>
      </c>
      <c r="BR880" t="s">
        <v>105</v>
      </c>
      <c r="BS880" t="s">
        <v>16055</v>
      </c>
      <c r="BT880" t="str">
        <f>HYPERLINK("https%3A%2F%2Fwww.webofscience.com%2Fwos%2Fwoscc%2Ffull-record%2FWOS:000313381000008","View Full Record in Web of Science")</f>
        <v>View Full Record in Web of Science</v>
      </c>
    </row>
    <row r="881" spans="1:72" x14ac:dyDescent="0.15">
      <c r="A881" t="s">
        <v>72</v>
      </c>
      <c r="B881" t="s">
        <v>16056</v>
      </c>
      <c r="C881" t="s">
        <v>74</v>
      </c>
      <c r="D881" t="s">
        <v>74</v>
      </c>
      <c r="E881" t="s">
        <v>74</v>
      </c>
      <c r="F881" t="s">
        <v>16057</v>
      </c>
      <c r="G881" t="s">
        <v>74</v>
      </c>
      <c r="H881" t="s">
        <v>74</v>
      </c>
      <c r="I881" t="s">
        <v>16058</v>
      </c>
      <c r="J881" t="s">
        <v>16059</v>
      </c>
      <c r="K881" t="s">
        <v>74</v>
      </c>
      <c r="L881" t="s">
        <v>74</v>
      </c>
      <c r="M881" t="s">
        <v>78</v>
      </c>
      <c r="N881" t="s">
        <v>79</v>
      </c>
      <c r="O881" t="s">
        <v>74</v>
      </c>
      <c r="P881" t="s">
        <v>74</v>
      </c>
      <c r="Q881" t="s">
        <v>74</v>
      </c>
      <c r="R881" t="s">
        <v>74</v>
      </c>
      <c r="S881" t="s">
        <v>74</v>
      </c>
      <c r="T881" t="s">
        <v>16060</v>
      </c>
      <c r="U881" t="s">
        <v>16061</v>
      </c>
      <c r="V881" t="s">
        <v>16062</v>
      </c>
      <c r="W881" t="s">
        <v>16063</v>
      </c>
      <c r="X881" t="s">
        <v>16064</v>
      </c>
      <c r="Y881" t="s">
        <v>16065</v>
      </c>
      <c r="Z881" t="s">
        <v>5586</v>
      </c>
      <c r="AA881" t="s">
        <v>74</v>
      </c>
      <c r="AB881" t="s">
        <v>74</v>
      </c>
      <c r="AC881" t="s">
        <v>74</v>
      </c>
      <c r="AD881" t="s">
        <v>74</v>
      </c>
      <c r="AE881" t="s">
        <v>74</v>
      </c>
      <c r="AF881" t="s">
        <v>74</v>
      </c>
      <c r="AG881">
        <v>38</v>
      </c>
      <c r="AH881">
        <v>1</v>
      </c>
      <c r="AI881">
        <v>1</v>
      </c>
      <c r="AJ881">
        <v>0</v>
      </c>
      <c r="AK881">
        <v>14</v>
      </c>
      <c r="AL881" t="s">
        <v>16066</v>
      </c>
      <c r="AM881" t="s">
        <v>16067</v>
      </c>
      <c r="AN881" t="s">
        <v>16068</v>
      </c>
      <c r="AO881" t="s">
        <v>16069</v>
      </c>
      <c r="AP881" t="s">
        <v>74</v>
      </c>
      <c r="AQ881" t="s">
        <v>74</v>
      </c>
      <c r="AR881" t="s">
        <v>16059</v>
      </c>
      <c r="AS881" t="s">
        <v>16070</v>
      </c>
      <c r="AT881" t="s">
        <v>15707</v>
      </c>
      <c r="AU881">
        <v>2012</v>
      </c>
      <c r="AV881">
        <v>59</v>
      </c>
      <c r="AW881">
        <v>2</v>
      </c>
      <c r="AX881" t="s">
        <v>74</v>
      </c>
      <c r="AY881" t="s">
        <v>74</v>
      </c>
      <c r="AZ881" t="s">
        <v>74</v>
      </c>
      <c r="BA881" t="s">
        <v>74</v>
      </c>
      <c r="BB881">
        <v>279</v>
      </c>
      <c r="BC881">
        <v>289</v>
      </c>
      <c r="BD881" t="s">
        <v>74</v>
      </c>
      <c r="BE881" t="s">
        <v>16071</v>
      </c>
      <c r="BF881" t="str">
        <f>HYPERLINK("http://dx.doi.org/10.13157/arla.59.2.2012.279","http://dx.doi.org/10.13157/arla.59.2.2012.279")</f>
        <v>http://dx.doi.org/10.13157/arla.59.2.2012.279</v>
      </c>
      <c r="BG881" t="s">
        <v>74</v>
      </c>
      <c r="BH881" t="s">
        <v>74</v>
      </c>
      <c r="BI881">
        <v>11</v>
      </c>
      <c r="BJ881" t="s">
        <v>7130</v>
      </c>
      <c r="BK881" t="s">
        <v>102</v>
      </c>
      <c r="BL881" t="s">
        <v>3023</v>
      </c>
      <c r="BM881" t="s">
        <v>16072</v>
      </c>
      <c r="BN881" t="s">
        <v>74</v>
      </c>
      <c r="BO881" t="s">
        <v>74</v>
      </c>
      <c r="BP881" t="s">
        <v>74</v>
      </c>
      <c r="BQ881" t="s">
        <v>74</v>
      </c>
      <c r="BR881" t="s">
        <v>105</v>
      </c>
      <c r="BS881" t="s">
        <v>16073</v>
      </c>
      <c r="BT881" t="str">
        <f>HYPERLINK("https%3A%2F%2Fwww.webofscience.com%2Fwos%2Fwoscc%2Ffull-record%2FWOS:000314260700006","View Full Record in Web of Science")</f>
        <v>View Full Record in Web of Science</v>
      </c>
    </row>
    <row r="882" spans="1:72" x14ac:dyDescent="0.15">
      <c r="A882" t="s">
        <v>72</v>
      </c>
      <c r="B882" t="s">
        <v>16074</v>
      </c>
      <c r="C882" t="s">
        <v>74</v>
      </c>
      <c r="D882" t="s">
        <v>74</v>
      </c>
      <c r="E882" t="s">
        <v>74</v>
      </c>
      <c r="F882" t="s">
        <v>16075</v>
      </c>
      <c r="G882" t="s">
        <v>74</v>
      </c>
      <c r="H882" t="s">
        <v>74</v>
      </c>
      <c r="I882" t="s">
        <v>16076</v>
      </c>
      <c r="J882" t="s">
        <v>16077</v>
      </c>
      <c r="K882" t="s">
        <v>74</v>
      </c>
      <c r="L882" t="s">
        <v>74</v>
      </c>
      <c r="M882" t="s">
        <v>78</v>
      </c>
      <c r="N882" t="s">
        <v>79</v>
      </c>
      <c r="O882" t="s">
        <v>74</v>
      </c>
      <c r="P882" t="s">
        <v>74</v>
      </c>
      <c r="Q882" t="s">
        <v>74</v>
      </c>
      <c r="R882" t="s">
        <v>74</v>
      </c>
      <c r="S882" t="s">
        <v>74</v>
      </c>
      <c r="T882" t="s">
        <v>16078</v>
      </c>
      <c r="U882" t="s">
        <v>16079</v>
      </c>
      <c r="V882" t="s">
        <v>16080</v>
      </c>
      <c r="W882" t="s">
        <v>16081</v>
      </c>
      <c r="X882" t="s">
        <v>16082</v>
      </c>
      <c r="Y882" t="s">
        <v>16083</v>
      </c>
      <c r="Z882" t="s">
        <v>16084</v>
      </c>
      <c r="AA882" t="s">
        <v>16085</v>
      </c>
      <c r="AB882" t="s">
        <v>16086</v>
      </c>
      <c r="AC882" t="s">
        <v>16087</v>
      </c>
      <c r="AD882" t="s">
        <v>16088</v>
      </c>
      <c r="AE882" t="s">
        <v>16089</v>
      </c>
      <c r="AF882" t="s">
        <v>74</v>
      </c>
      <c r="AG882">
        <v>109</v>
      </c>
      <c r="AH882">
        <v>20</v>
      </c>
      <c r="AI882">
        <v>22</v>
      </c>
      <c r="AJ882">
        <v>0</v>
      </c>
      <c r="AK882">
        <v>8</v>
      </c>
      <c r="AL882" t="s">
        <v>16090</v>
      </c>
      <c r="AM882" t="s">
        <v>4317</v>
      </c>
      <c r="AN882" t="s">
        <v>16091</v>
      </c>
      <c r="AO882" t="s">
        <v>16092</v>
      </c>
      <c r="AP882" t="s">
        <v>16093</v>
      </c>
      <c r="AQ882" t="s">
        <v>74</v>
      </c>
      <c r="AR882" t="s">
        <v>16094</v>
      </c>
      <c r="AS882" t="s">
        <v>16095</v>
      </c>
      <c r="AT882" t="s">
        <v>15707</v>
      </c>
      <c r="AU882">
        <v>2012</v>
      </c>
      <c r="AV882">
        <v>57</v>
      </c>
      <c r="AW882">
        <v>4</v>
      </c>
      <c r="AX882" t="s">
        <v>74</v>
      </c>
      <c r="AY882" t="s">
        <v>74</v>
      </c>
      <c r="AZ882" t="s">
        <v>74</v>
      </c>
      <c r="BA882" t="s">
        <v>74</v>
      </c>
      <c r="BB882">
        <v>717</v>
      </c>
      <c r="BC882">
        <v>728</v>
      </c>
      <c r="BD882" t="s">
        <v>74</v>
      </c>
      <c r="BE882" t="s">
        <v>16096</v>
      </c>
      <c r="BF882" t="str">
        <f>HYPERLINK("http://dx.doi.org/10.4202/app.2011.0042","http://dx.doi.org/10.4202/app.2011.0042")</f>
        <v>http://dx.doi.org/10.4202/app.2011.0042</v>
      </c>
      <c r="BG882" t="s">
        <v>74</v>
      </c>
      <c r="BH882" t="s">
        <v>74</v>
      </c>
      <c r="BI882">
        <v>12</v>
      </c>
      <c r="BJ882" t="s">
        <v>4346</v>
      </c>
      <c r="BK882" t="s">
        <v>102</v>
      </c>
      <c r="BL882" t="s">
        <v>4346</v>
      </c>
      <c r="BM882" t="s">
        <v>16097</v>
      </c>
      <c r="BN882" t="s">
        <v>74</v>
      </c>
      <c r="BO882" t="s">
        <v>2815</v>
      </c>
      <c r="BP882" t="s">
        <v>74</v>
      </c>
      <c r="BQ882" t="s">
        <v>74</v>
      </c>
      <c r="BR882" t="s">
        <v>105</v>
      </c>
      <c r="BS882" t="s">
        <v>16098</v>
      </c>
      <c r="BT882" t="str">
        <f>HYPERLINK("https%3A%2F%2Fwww.webofscience.com%2Fwos%2Fwoscc%2Ffull-record%2FWOS:000313774400006","View Full Record in Web of Science")</f>
        <v>View Full Record in Web of Science</v>
      </c>
    </row>
    <row r="883" spans="1:72" x14ac:dyDescent="0.15">
      <c r="A883" t="s">
        <v>72</v>
      </c>
      <c r="B883" t="s">
        <v>16099</v>
      </c>
      <c r="C883" t="s">
        <v>74</v>
      </c>
      <c r="D883" t="s">
        <v>74</v>
      </c>
      <c r="E883" t="s">
        <v>74</v>
      </c>
      <c r="F883" t="s">
        <v>16100</v>
      </c>
      <c r="G883" t="s">
        <v>74</v>
      </c>
      <c r="H883" t="s">
        <v>74</v>
      </c>
      <c r="I883" t="s">
        <v>16101</v>
      </c>
      <c r="J883" t="s">
        <v>16102</v>
      </c>
      <c r="K883" t="s">
        <v>74</v>
      </c>
      <c r="L883" t="s">
        <v>74</v>
      </c>
      <c r="M883" t="s">
        <v>78</v>
      </c>
      <c r="N883" t="s">
        <v>79</v>
      </c>
      <c r="O883" t="s">
        <v>74</v>
      </c>
      <c r="P883" t="s">
        <v>74</v>
      </c>
      <c r="Q883" t="s">
        <v>74</v>
      </c>
      <c r="R883" t="s">
        <v>74</v>
      </c>
      <c r="S883" t="s">
        <v>74</v>
      </c>
      <c r="T883" t="s">
        <v>16103</v>
      </c>
      <c r="U883" t="s">
        <v>16104</v>
      </c>
      <c r="V883" t="s">
        <v>16105</v>
      </c>
      <c r="W883" t="s">
        <v>16106</v>
      </c>
      <c r="X883" t="s">
        <v>16107</v>
      </c>
      <c r="Y883" t="s">
        <v>16108</v>
      </c>
      <c r="Z883" t="s">
        <v>16109</v>
      </c>
      <c r="AA883" t="s">
        <v>74</v>
      </c>
      <c r="AB883" t="s">
        <v>74</v>
      </c>
      <c r="AC883" t="s">
        <v>74</v>
      </c>
      <c r="AD883" t="s">
        <v>74</v>
      </c>
      <c r="AE883" t="s">
        <v>74</v>
      </c>
      <c r="AF883" t="s">
        <v>74</v>
      </c>
      <c r="AG883">
        <v>39</v>
      </c>
      <c r="AH883">
        <v>0</v>
      </c>
      <c r="AI883">
        <v>0</v>
      </c>
      <c r="AJ883">
        <v>0</v>
      </c>
      <c r="AK883">
        <v>10</v>
      </c>
      <c r="AL883" t="s">
        <v>1343</v>
      </c>
      <c r="AM883" t="s">
        <v>1344</v>
      </c>
      <c r="AN883" t="s">
        <v>1345</v>
      </c>
      <c r="AO883" t="s">
        <v>16110</v>
      </c>
      <c r="AP883" t="s">
        <v>16111</v>
      </c>
      <c r="AQ883" t="s">
        <v>74</v>
      </c>
      <c r="AR883" t="s">
        <v>16112</v>
      </c>
      <c r="AS883" t="s">
        <v>16113</v>
      </c>
      <c r="AT883" t="s">
        <v>15707</v>
      </c>
      <c r="AU883">
        <v>2012</v>
      </c>
      <c r="AV883">
        <v>26</v>
      </c>
      <c r="AW883">
        <v>6</v>
      </c>
      <c r="AX883" t="s">
        <v>74</v>
      </c>
      <c r="AY883" t="s">
        <v>74</v>
      </c>
      <c r="AZ883" t="s">
        <v>74</v>
      </c>
      <c r="BA883" t="s">
        <v>74</v>
      </c>
      <c r="BB883">
        <v>3359</v>
      </c>
      <c r="BC883">
        <v>3364</v>
      </c>
      <c r="BD883" t="s">
        <v>74</v>
      </c>
      <c r="BE883" t="s">
        <v>16114</v>
      </c>
      <c r="BF883" t="str">
        <f>HYPERLINK("http://dx.doi.org/10.5504/BBEQ.2012.0113","http://dx.doi.org/10.5504/BBEQ.2012.0113")</f>
        <v>http://dx.doi.org/10.5504/BBEQ.2012.0113</v>
      </c>
      <c r="BG883" t="s">
        <v>74</v>
      </c>
      <c r="BH883" t="s">
        <v>74</v>
      </c>
      <c r="BI883">
        <v>6</v>
      </c>
      <c r="BJ883" t="s">
        <v>2813</v>
      </c>
      <c r="BK883" t="s">
        <v>102</v>
      </c>
      <c r="BL883" t="s">
        <v>2813</v>
      </c>
      <c r="BM883" t="s">
        <v>16115</v>
      </c>
      <c r="BN883" t="s">
        <v>74</v>
      </c>
      <c r="BO883" t="s">
        <v>74</v>
      </c>
      <c r="BP883" t="s">
        <v>74</v>
      </c>
      <c r="BQ883" t="s">
        <v>74</v>
      </c>
      <c r="BR883" t="s">
        <v>105</v>
      </c>
      <c r="BS883" t="s">
        <v>16116</v>
      </c>
      <c r="BT883" t="str">
        <f>HYPERLINK("https%3A%2F%2Fwww.webofscience.com%2Fwos%2Fwoscc%2Ffull-record%2FWOS:000313856200005","View Full Record in Web of Science")</f>
        <v>View Full Record in Web of Science</v>
      </c>
    </row>
    <row r="884" spans="1:72" x14ac:dyDescent="0.15">
      <c r="A884" t="s">
        <v>72</v>
      </c>
      <c r="B884" t="s">
        <v>16117</v>
      </c>
      <c r="C884" t="s">
        <v>74</v>
      </c>
      <c r="D884" t="s">
        <v>74</v>
      </c>
      <c r="E884" t="s">
        <v>74</v>
      </c>
      <c r="F884" t="s">
        <v>16118</v>
      </c>
      <c r="G884" t="s">
        <v>74</v>
      </c>
      <c r="H884" t="s">
        <v>74</v>
      </c>
      <c r="I884" t="s">
        <v>16119</v>
      </c>
      <c r="J884" t="s">
        <v>16120</v>
      </c>
      <c r="K884" t="s">
        <v>74</v>
      </c>
      <c r="L884" t="s">
        <v>74</v>
      </c>
      <c r="M884" t="s">
        <v>78</v>
      </c>
      <c r="N884" t="s">
        <v>79</v>
      </c>
      <c r="O884" t="s">
        <v>74</v>
      </c>
      <c r="P884" t="s">
        <v>74</v>
      </c>
      <c r="Q884" t="s">
        <v>74</v>
      </c>
      <c r="R884" t="s">
        <v>74</v>
      </c>
      <c r="S884" t="s">
        <v>74</v>
      </c>
      <c r="T884" t="s">
        <v>16121</v>
      </c>
      <c r="U884" t="s">
        <v>16122</v>
      </c>
      <c r="V884" t="s">
        <v>16123</v>
      </c>
      <c r="W884" t="s">
        <v>16124</v>
      </c>
      <c r="X884" t="s">
        <v>287</v>
      </c>
      <c r="Y884" t="s">
        <v>16125</v>
      </c>
      <c r="Z884" t="s">
        <v>16126</v>
      </c>
      <c r="AA884" t="s">
        <v>74</v>
      </c>
      <c r="AB884" t="s">
        <v>74</v>
      </c>
      <c r="AC884" t="s">
        <v>16127</v>
      </c>
      <c r="AD884" t="s">
        <v>16128</v>
      </c>
      <c r="AE884" t="s">
        <v>16129</v>
      </c>
      <c r="AF884" t="s">
        <v>74</v>
      </c>
      <c r="AG884">
        <v>19</v>
      </c>
      <c r="AH884">
        <v>0</v>
      </c>
      <c r="AI884">
        <v>0</v>
      </c>
      <c r="AJ884">
        <v>0</v>
      </c>
      <c r="AK884">
        <v>1</v>
      </c>
      <c r="AL884" t="s">
        <v>16130</v>
      </c>
      <c r="AM884" t="s">
        <v>16131</v>
      </c>
      <c r="AN884" t="s">
        <v>16132</v>
      </c>
      <c r="AO884" t="s">
        <v>16133</v>
      </c>
      <c r="AP884" t="s">
        <v>16134</v>
      </c>
      <c r="AQ884" t="s">
        <v>74</v>
      </c>
      <c r="AR884" t="s">
        <v>16135</v>
      </c>
      <c r="AS884" t="s">
        <v>16136</v>
      </c>
      <c r="AT884" t="s">
        <v>15707</v>
      </c>
      <c r="AU884">
        <v>2012</v>
      </c>
      <c r="AV884">
        <v>46</v>
      </c>
      <c r="AW884">
        <v>12</v>
      </c>
      <c r="AX884" t="s">
        <v>74</v>
      </c>
      <c r="AY884" t="s">
        <v>74</v>
      </c>
      <c r="AZ884" t="s">
        <v>74</v>
      </c>
      <c r="BA884" t="s">
        <v>74</v>
      </c>
      <c r="BB884">
        <v>1358</v>
      </c>
      <c r="BC884">
        <v>1361</v>
      </c>
      <c r="BD884" t="s">
        <v>74</v>
      </c>
      <c r="BE884" t="s">
        <v>16137</v>
      </c>
      <c r="BF884" t="str">
        <f>HYPERLINK("http://dx.doi.org/10.1134/S0031030112120118","http://dx.doi.org/10.1134/S0031030112120118")</f>
        <v>http://dx.doi.org/10.1134/S0031030112120118</v>
      </c>
      <c r="BG884" t="s">
        <v>74</v>
      </c>
      <c r="BH884" t="s">
        <v>74</v>
      </c>
      <c r="BI884">
        <v>4</v>
      </c>
      <c r="BJ884" t="s">
        <v>4346</v>
      </c>
      <c r="BK884" t="s">
        <v>102</v>
      </c>
      <c r="BL884" t="s">
        <v>4346</v>
      </c>
      <c r="BM884" t="s">
        <v>16138</v>
      </c>
      <c r="BN884" t="s">
        <v>74</v>
      </c>
      <c r="BO884" t="s">
        <v>74</v>
      </c>
      <c r="BP884" t="s">
        <v>74</v>
      </c>
      <c r="BQ884" t="s">
        <v>74</v>
      </c>
      <c r="BR884" t="s">
        <v>105</v>
      </c>
      <c r="BS884" t="s">
        <v>16139</v>
      </c>
      <c r="BT884" t="str">
        <f>HYPERLINK("https%3A%2F%2Fwww.webofscience.com%2Fwos%2Fwoscc%2Ffull-record%2FWOS:000314048300006","View Full Record in Web of Science")</f>
        <v>View Full Record in Web of Science</v>
      </c>
    </row>
    <row r="885" spans="1:72" x14ac:dyDescent="0.15">
      <c r="A885" t="s">
        <v>72</v>
      </c>
      <c r="B885" t="s">
        <v>16140</v>
      </c>
      <c r="C885" t="s">
        <v>74</v>
      </c>
      <c r="D885" t="s">
        <v>74</v>
      </c>
      <c r="E885" t="s">
        <v>74</v>
      </c>
      <c r="F885" t="s">
        <v>16141</v>
      </c>
      <c r="G885" t="s">
        <v>74</v>
      </c>
      <c r="H885" t="s">
        <v>74</v>
      </c>
      <c r="I885" t="s">
        <v>16142</v>
      </c>
      <c r="J885" t="s">
        <v>16143</v>
      </c>
      <c r="K885" t="s">
        <v>74</v>
      </c>
      <c r="L885" t="s">
        <v>74</v>
      </c>
      <c r="M885" t="s">
        <v>78</v>
      </c>
      <c r="N885" t="s">
        <v>79</v>
      </c>
      <c r="O885" t="s">
        <v>74</v>
      </c>
      <c r="P885" t="s">
        <v>74</v>
      </c>
      <c r="Q885" t="s">
        <v>74</v>
      </c>
      <c r="R885" t="s">
        <v>74</v>
      </c>
      <c r="S885" t="s">
        <v>74</v>
      </c>
      <c r="T885" t="s">
        <v>16144</v>
      </c>
      <c r="U885" t="s">
        <v>16145</v>
      </c>
      <c r="V885" t="s">
        <v>16146</v>
      </c>
      <c r="W885" t="s">
        <v>16147</v>
      </c>
      <c r="X885" t="s">
        <v>15046</v>
      </c>
      <c r="Y885" t="s">
        <v>16148</v>
      </c>
      <c r="Z885" t="s">
        <v>16149</v>
      </c>
      <c r="AA885" t="s">
        <v>16150</v>
      </c>
      <c r="AB885" t="s">
        <v>16151</v>
      </c>
      <c r="AC885" t="s">
        <v>16152</v>
      </c>
      <c r="AD885" t="s">
        <v>16153</v>
      </c>
      <c r="AE885" t="s">
        <v>16154</v>
      </c>
      <c r="AF885" t="s">
        <v>74</v>
      </c>
      <c r="AG885">
        <v>27</v>
      </c>
      <c r="AH885">
        <v>7</v>
      </c>
      <c r="AI885">
        <v>7</v>
      </c>
      <c r="AJ885">
        <v>1</v>
      </c>
      <c r="AK885">
        <v>15</v>
      </c>
      <c r="AL885" t="s">
        <v>586</v>
      </c>
      <c r="AM885" t="s">
        <v>542</v>
      </c>
      <c r="AN885" t="s">
        <v>587</v>
      </c>
      <c r="AO885" t="s">
        <v>16155</v>
      </c>
      <c r="AP885" t="s">
        <v>16156</v>
      </c>
      <c r="AQ885" t="s">
        <v>74</v>
      </c>
      <c r="AR885" t="s">
        <v>16157</v>
      </c>
      <c r="AS885" t="s">
        <v>16158</v>
      </c>
      <c r="AT885" t="s">
        <v>15707</v>
      </c>
      <c r="AU885">
        <v>2012</v>
      </c>
      <c r="AV885">
        <v>91</v>
      </c>
      <c r="AW885">
        <v>3</v>
      </c>
      <c r="AX885" t="s">
        <v>74</v>
      </c>
      <c r="AY885" t="s">
        <v>74</v>
      </c>
      <c r="AZ885" t="s">
        <v>74</v>
      </c>
      <c r="BA885" t="s">
        <v>74</v>
      </c>
      <c r="BB885">
        <v>559</v>
      </c>
      <c r="BC885">
        <v>565</v>
      </c>
      <c r="BD885" t="s">
        <v>74</v>
      </c>
      <c r="BE885" t="s">
        <v>16159</v>
      </c>
      <c r="BF885" t="str">
        <f>HYPERLINK("http://dx.doi.org/10.1016/j.mimet.2012.09.030","http://dx.doi.org/10.1016/j.mimet.2012.09.030")</f>
        <v>http://dx.doi.org/10.1016/j.mimet.2012.09.030</v>
      </c>
      <c r="BG885" t="s">
        <v>74</v>
      </c>
      <c r="BH885" t="s">
        <v>74</v>
      </c>
      <c r="BI885">
        <v>7</v>
      </c>
      <c r="BJ885" t="s">
        <v>16160</v>
      </c>
      <c r="BK885" t="s">
        <v>102</v>
      </c>
      <c r="BL885" t="s">
        <v>5131</v>
      </c>
      <c r="BM885" t="s">
        <v>16161</v>
      </c>
      <c r="BN885">
        <v>23098920</v>
      </c>
      <c r="BO885" t="s">
        <v>74</v>
      </c>
      <c r="BP885" t="s">
        <v>74</v>
      </c>
      <c r="BQ885" t="s">
        <v>74</v>
      </c>
      <c r="BR885" t="s">
        <v>105</v>
      </c>
      <c r="BS885" t="s">
        <v>16162</v>
      </c>
      <c r="BT885" t="str">
        <f>HYPERLINK("https%3A%2F%2Fwww.webofscience.com%2Fwos%2Fwoscc%2Ffull-record%2FWOS:000313477900035","View Full Record in Web of Science")</f>
        <v>View Full Record in Web of Science</v>
      </c>
    </row>
    <row r="886" spans="1:72" x14ac:dyDescent="0.15">
      <c r="A886" t="s">
        <v>72</v>
      </c>
      <c r="B886" t="s">
        <v>16163</v>
      </c>
      <c r="C886" t="s">
        <v>74</v>
      </c>
      <c r="D886" t="s">
        <v>74</v>
      </c>
      <c r="E886" t="s">
        <v>74</v>
      </c>
      <c r="F886" t="s">
        <v>16164</v>
      </c>
      <c r="G886" t="s">
        <v>74</v>
      </c>
      <c r="H886" t="s">
        <v>74</v>
      </c>
      <c r="I886" t="s">
        <v>16165</v>
      </c>
      <c r="J886" t="s">
        <v>16166</v>
      </c>
      <c r="K886" t="s">
        <v>74</v>
      </c>
      <c r="L886" t="s">
        <v>74</v>
      </c>
      <c r="M886" t="s">
        <v>78</v>
      </c>
      <c r="N886" t="s">
        <v>79</v>
      </c>
      <c r="O886" t="s">
        <v>74</v>
      </c>
      <c r="P886" t="s">
        <v>74</v>
      </c>
      <c r="Q886" t="s">
        <v>74</v>
      </c>
      <c r="R886" t="s">
        <v>74</v>
      </c>
      <c r="S886" t="s">
        <v>74</v>
      </c>
      <c r="T886" t="s">
        <v>74</v>
      </c>
      <c r="U886" t="s">
        <v>16167</v>
      </c>
      <c r="V886" t="s">
        <v>16168</v>
      </c>
      <c r="W886" t="s">
        <v>16169</v>
      </c>
      <c r="X886" t="s">
        <v>16170</v>
      </c>
      <c r="Y886" t="s">
        <v>16171</v>
      </c>
      <c r="Z886" t="s">
        <v>74</v>
      </c>
      <c r="AA886" t="s">
        <v>74</v>
      </c>
      <c r="AB886" t="s">
        <v>16172</v>
      </c>
      <c r="AC886" t="s">
        <v>16173</v>
      </c>
      <c r="AD886" t="s">
        <v>16174</v>
      </c>
      <c r="AE886" t="s">
        <v>16175</v>
      </c>
      <c r="AF886" t="s">
        <v>74</v>
      </c>
      <c r="AG886">
        <v>70</v>
      </c>
      <c r="AH886">
        <v>10</v>
      </c>
      <c r="AI886">
        <v>12</v>
      </c>
      <c r="AJ886">
        <v>0</v>
      </c>
      <c r="AK886">
        <v>23</v>
      </c>
      <c r="AL886" t="s">
        <v>1735</v>
      </c>
      <c r="AM886" t="s">
        <v>1321</v>
      </c>
      <c r="AN886" t="s">
        <v>1736</v>
      </c>
      <c r="AO886" t="s">
        <v>16176</v>
      </c>
      <c r="AP886" t="s">
        <v>74</v>
      </c>
      <c r="AQ886" t="s">
        <v>74</v>
      </c>
      <c r="AR886" t="s">
        <v>16166</v>
      </c>
      <c r="AS886" t="s">
        <v>16177</v>
      </c>
      <c r="AT886" t="s">
        <v>15707</v>
      </c>
      <c r="AU886">
        <v>2012</v>
      </c>
      <c r="AV886">
        <v>8</v>
      </c>
      <c r="AW886">
        <v>6</v>
      </c>
      <c r="AX886" t="s">
        <v>74</v>
      </c>
      <c r="AY886" t="s">
        <v>74</v>
      </c>
      <c r="AZ886" t="s">
        <v>74</v>
      </c>
      <c r="BA886" t="s">
        <v>74</v>
      </c>
      <c r="BB886">
        <v>1331</v>
      </c>
      <c r="BC886">
        <v>1341</v>
      </c>
      <c r="BD886" t="s">
        <v>74</v>
      </c>
      <c r="BE886" t="s">
        <v>16178</v>
      </c>
      <c r="BF886" t="str">
        <f>HYPERLINK("http://dx.doi.org/10.1130/GES00771.1","http://dx.doi.org/10.1130/GES00771.1")</f>
        <v>http://dx.doi.org/10.1130/GES00771.1</v>
      </c>
      <c r="BG886" t="s">
        <v>74</v>
      </c>
      <c r="BH886" t="s">
        <v>74</v>
      </c>
      <c r="BI886">
        <v>11</v>
      </c>
      <c r="BJ886" t="s">
        <v>1604</v>
      </c>
      <c r="BK886" t="s">
        <v>102</v>
      </c>
      <c r="BL886" t="s">
        <v>1605</v>
      </c>
      <c r="BM886" t="s">
        <v>16179</v>
      </c>
      <c r="BN886" t="s">
        <v>74</v>
      </c>
      <c r="BO886" t="s">
        <v>128</v>
      </c>
      <c r="BP886" t="s">
        <v>74</v>
      </c>
      <c r="BQ886" t="s">
        <v>74</v>
      </c>
      <c r="BR886" t="s">
        <v>105</v>
      </c>
      <c r="BS886" t="s">
        <v>16180</v>
      </c>
      <c r="BT886" t="str">
        <f>HYPERLINK("https%3A%2F%2Fwww.webofscience.com%2Fwos%2Fwoscc%2Ffull-record%2FWOS:000312929900009","View Full Record in Web of Science")</f>
        <v>View Full Record in Web of Science</v>
      </c>
    </row>
    <row r="887" spans="1:72" x14ac:dyDescent="0.15">
      <c r="A887" t="s">
        <v>72</v>
      </c>
      <c r="B887" t="s">
        <v>16181</v>
      </c>
      <c r="C887" t="s">
        <v>74</v>
      </c>
      <c r="D887" t="s">
        <v>74</v>
      </c>
      <c r="E887" t="s">
        <v>74</v>
      </c>
      <c r="F887" t="s">
        <v>16182</v>
      </c>
      <c r="G887" t="s">
        <v>74</v>
      </c>
      <c r="H887" t="s">
        <v>74</v>
      </c>
      <c r="I887" t="s">
        <v>16183</v>
      </c>
      <c r="J887" t="s">
        <v>16166</v>
      </c>
      <c r="K887" t="s">
        <v>74</v>
      </c>
      <c r="L887" t="s">
        <v>74</v>
      </c>
      <c r="M887" t="s">
        <v>78</v>
      </c>
      <c r="N887" t="s">
        <v>79</v>
      </c>
      <c r="O887" t="s">
        <v>74</v>
      </c>
      <c r="P887" t="s">
        <v>74</v>
      </c>
      <c r="Q887" t="s">
        <v>74</v>
      </c>
      <c r="R887" t="s">
        <v>74</v>
      </c>
      <c r="S887" t="s">
        <v>74</v>
      </c>
      <c r="T887" t="s">
        <v>74</v>
      </c>
      <c r="U887" t="s">
        <v>16184</v>
      </c>
      <c r="V887" t="s">
        <v>16185</v>
      </c>
      <c r="W887" t="s">
        <v>16186</v>
      </c>
      <c r="X887" t="s">
        <v>16187</v>
      </c>
      <c r="Y887" t="s">
        <v>16188</v>
      </c>
      <c r="Z887" t="s">
        <v>74</v>
      </c>
      <c r="AA887" t="s">
        <v>16189</v>
      </c>
      <c r="AB887" t="s">
        <v>16190</v>
      </c>
      <c r="AC887" t="s">
        <v>16191</v>
      </c>
      <c r="AD887" t="s">
        <v>16192</v>
      </c>
      <c r="AE887" t="s">
        <v>16193</v>
      </c>
      <c r="AF887" t="s">
        <v>74</v>
      </c>
      <c r="AG887">
        <v>88</v>
      </c>
      <c r="AH887">
        <v>12</v>
      </c>
      <c r="AI887">
        <v>12</v>
      </c>
      <c r="AJ887">
        <v>0</v>
      </c>
      <c r="AK887">
        <v>13</v>
      </c>
      <c r="AL887" t="s">
        <v>1735</v>
      </c>
      <c r="AM887" t="s">
        <v>1321</v>
      </c>
      <c r="AN887" t="s">
        <v>1736</v>
      </c>
      <c r="AO887" t="s">
        <v>16176</v>
      </c>
      <c r="AP887" t="s">
        <v>74</v>
      </c>
      <c r="AQ887" t="s">
        <v>74</v>
      </c>
      <c r="AR887" t="s">
        <v>16166</v>
      </c>
      <c r="AS887" t="s">
        <v>16177</v>
      </c>
      <c r="AT887" t="s">
        <v>15707</v>
      </c>
      <c r="AU887">
        <v>2012</v>
      </c>
      <c r="AV887">
        <v>8</v>
      </c>
      <c r="AW887">
        <v>6</v>
      </c>
      <c r="AX887" t="s">
        <v>74</v>
      </c>
      <c r="AY887" t="s">
        <v>74</v>
      </c>
      <c r="AZ887" t="s">
        <v>74</v>
      </c>
      <c r="BA887" t="s">
        <v>74</v>
      </c>
      <c r="BB887">
        <v>1342</v>
      </c>
      <c r="BC887">
        <v>1355</v>
      </c>
      <c r="BD887" t="s">
        <v>74</v>
      </c>
      <c r="BE887" t="s">
        <v>16194</v>
      </c>
      <c r="BF887" t="str">
        <f>HYPERLINK("http://dx.doi.org/10.1130/GES00754.1","http://dx.doi.org/10.1130/GES00754.1")</f>
        <v>http://dx.doi.org/10.1130/GES00754.1</v>
      </c>
      <c r="BG887" t="s">
        <v>74</v>
      </c>
      <c r="BH887" t="s">
        <v>74</v>
      </c>
      <c r="BI887">
        <v>14</v>
      </c>
      <c r="BJ887" t="s">
        <v>1604</v>
      </c>
      <c r="BK887" t="s">
        <v>102</v>
      </c>
      <c r="BL887" t="s">
        <v>1605</v>
      </c>
      <c r="BM887" t="s">
        <v>16179</v>
      </c>
      <c r="BN887" t="s">
        <v>74</v>
      </c>
      <c r="BO887" t="s">
        <v>2097</v>
      </c>
      <c r="BP887" t="s">
        <v>74</v>
      </c>
      <c r="BQ887" t="s">
        <v>74</v>
      </c>
      <c r="BR887" t="s">
        <v>105</v>
      </c>
      <c r="BS887" t="s">
        <v>16195</v>
      </c>
      <c r="BT887" t="str">
        <f>HYPERLINK("https%3A%2F%2Fwww.webofscience.com%2Fwos%2Fwoscc%2Ffull-record%2FWOS:000312929900010","View Full Record in Web of Science")</f>
        <v>View Full Record in Web of Science</v>
      </c>
    </row>
    <row r="888" spans="1:72" x14ac:dyDescent="0.15">
      <c r="A888" t="s">
        <v>72</v>
      </c>
      <c r="B888" t="s">
        <v>16196</v>
      </c>
      <c r="C888" t="s">
        <v>74</v>
      </c>
      <c r="D888" t="s">
        <v>74</v>
      </c>
      <c r="E888" t="s">
        <v>74</v>
      </c>
      <c r="F888" t="s">
        <v>16197</v>
      </c>
      <c r="G888" t="s">
        <v>74</v>
      </c>
      <c r="H888" t="s">
        <v>74</v>
      </c>
      <c r="I888" t="s">
        <v>16198</v>
      </c>
      <c r="J888" t="s">
        <v>16199</v>
      </c>
      <c r="K888" t="s">
        <v>74</v>
      </c>
      <c r="L888" t="s">
        <v>74</v>
      </c>
      <c r="M888" t="s">
        <v>78</v>
      </c>
      <c r="N888" t="s">
        <v>79</v>
      </c>
      <c r="O888" t="s">
        <v>74</v>
      </c>
      <c r="P888" t="s">
        <v>74</v>
      </c>
      <c r="Q888" t="s">
        <v>74</v>
      </c>
      <c r="R888" t="s">
        <v>74</v>
      </c>
      <c r="S888" t="s">
        <v>74</v>
      </c>
      <c r="T888" t="s">
        <v>16200</v>
      </c>
      <c r="U888" t="s">
        <v>16201</v>
      </c>
      <c r="V888" t="s">
        <v>16202</v>
      </c>
      <c r="W888" t="s">
        <v>16203</v>
      </c>
      <c r="X888" t="s">
        <v>16204</v>
      </c>
      <c r="Y888" t="s">
        <v>16205</v>
      </c>
      <c r="Z888" t="s">
        <v>16206</v>
      </c>
      <c r="AA888" t="s">
        <v>16207</v>
      </c>
      <c r="AB888" t="s">
        <v>16208</v>
      </c>
      <c r="AC888" t="s">
        <v>16209</v>
      </c>
      <c r="AD888" t="s">
        <v>16210</v>
      </c>
      <c r="AE888" t="s">
        <v>16211</v>
      </c>
      <c r="AF888" t="s">
        <v>74</v>
      </c>
      <c r="AG888">
        <v>64</v>
      </c>
      <c r="AH888">
        <v>19</v>
      </c>
      <c r="AI888">
        <v>24</v>
      </c>
      <c r="AJ888">
        <v>0</v>
      </c>
      <c r="AK888">
        <v>24</v>
      </c>
      <c r="AL888" t="s">
        <v>16212</v>
      </c>
      <c r="AM888" t="s">
        <v>16213</v>
      </c>
      <c r="AN888" t="s">
        <v>16214</v>
      </c>
      <c r="AO888" t="s">
        <v>16215</v>
      </c>
      <c r="AP888" t="s">
        <v>16216</v>
      </c>
      <c r="AQ888" t="s">
        <v>74</v>
      </c>
      <c r="AR888" t="s">
        <v>16217</v>
      </c>
      <c r="AS888" t="s">
        <v>16218</v>
      </c>
      <c r="AT888" t="s">
        <v>15707</v>
      </c>
      <c r="AU888">
        <v>2012</v>
      </c>
      <c r="AV888">
        <v>47</v>
      </c>
      <c r="AW888">
        <v>4</v>
      </c>
      <c r="AX888" t="s">
        <v>74</v>
      </c>
      <c r="AY888" t="s">
        <v>74</v>
      </c>
      <c r="AZ888" t="s">
        <v>74</v>
      </c>
      <c r="BA888" t="s">
        <v>74</v>
      </c>
      <c r="BB888">
        <v>481</v>
      </c>
      <c r="BC888">
        <v>498</v>
      </c>
      <c r="BD888" t="s">
        <v>74</v>
      </c>
      <c r="BE888" t="s">
        <v>16219</v>
      </c>
      <c r="BF888" t="str">
        <f>HYPERLINK("http://dx.doi.org/10.1180/claymin.2012.047.4.07","http://dx.doi.org/10.1180/claymin.2012.047.4.07")</f>
        <v>http://dx.doi.org/10.1180/claymin.2012.047.4.07</v>
      </c>
      <c r="BG888" t="s">
        <v>74</v>
      </c>
      <c r="BH888" t="s">
        <v>74</v>
      </c>
      <c r="BI888">
        <v>18</v>
      </c>
      <c r="BJ888" t="s">
        <v>16220</v>
      </c>
      <c r="BK888" t="s">
        <v>102</v>
      </c>
      <c r="BL888" t="s">
        <v>16221</v>
      </c>
      <c r="BM888" t="s">
        <v>16222</v>
      </c>
      <c r="BN888" t="s">
        <v>74</v>
      </c>
      <c r="BO888" t="s">
        <v>429</v>
      </c>
      <c r="BP888" t="s">
        <v>74</v>
      </c>
      <c r="BQ888" t="s">
        <v>74</v>
      </c>
      <c r="BR888" t="s">
        <v>105</v>
      </c>
      <c r="BS888" t="s">
        <v>16223</v>
      </c>
      <c r="BT888" t="str">
        <f>HYPERLINK("https%3A%2F%2Fwww.webofscience.com%2Fwos%2Fwoscc%2Ffull-record%2FWOS:000312681700007","View Full Record in Web of Science")</f>
        <v>View Full Record in Web of Science</v>
      </c>
    </row>
    <row r="889" spans="1:72" x14ac:dyDescent="0.15">
      <c r="A889" t="s">
        <v>72</v>
      </c>
      <c r="B889" t="s">
        <v>16224</v>
      </c>
      <c r="C889" t="s">
        <v>74</v>
      </c>
      <c r="D889" t="s">
        <v>74</v>
      </c>
      <c r="E889" t="s">
        <v>74</v>
      </c>
      <c r="F889" t="s">
        <v>16225</v>
      </c>
      <c r="G889" t="s">
        <v>74</v>
      </c>
      <c r="H889" t="s">
        <v>74</v>
      </c>
      <c r="I889" t="s">
        <v>16226</v>
      </c>
      <c r="J889" t="s">
        <v>16227</v>
      </c>
      <c r="K889" t="s">
        <v>74</v>
      </c>
      <c r="L889" t="s">
        <v>74</v>
      </c>
      <c r="M889" t="s">
        <v>78</v>
      </c>
      <c r="N889" t="s">
        <v>79</v>
      </c>
      <c r="O889" t="s">
        <v>74</v>
      </c>
      <c r="P889" t="s">
        <v>74</v>
      </c>
      <c r="Q889" t="s">
        <v>74</v>
      </c>
      <c r="R889" t="s">
        <v>74</v>
      </c>
      <c r="S889" t="s">
        <v>74</v>
      </c>
      <c r="T889" t="s">
        <v>16228</v>
      </c>
      <c r="U889" t="s">
        <v>16229</v>
      </c>
      <c r="V889" t="s">
        <v>16230</v>
      </c>
      <c r="W889" t="s">
        <v>16231</v>
      </c>
      <c r="X889" t="s">
        <v>16232</v>
      </c>
      <c r="Y889" t="s">
        <v>16233</v>
      </c>
      <c r="Z889" t="s">
        <v>16234</v>
      </c>
      <c r="AA889" t="s">
        <v>74</v>
      </c>
      <c r="AB889" t="s">
        <v>16235</v>
      </c>
      <c r="AC889" t="s">
        <v>16236</v>
      </c>
      <c r="AD889" t="s">
        <v>16237</v>
      </c>
      <c r="AE889" t="s">
        <v>16238</v>
      </c>
      <c r="AF889" t="s">
        <v>74</v>
      </c>
      <c r="AG889">
        <v>42</v>
      </c>
      <c r="AH889">
        <v>7</v>
      </c>
      <c r="AI889">
        <v>8</v>
      </c>
      <c r="AJ889">
        <v>0</v>
      </c>
      <c r="AK889">
        <v>31</v>
      </c>
      <c r="AL889" t="s">
        <v>16239</v>
      </c>
      <c r="AM889" t="s">
        <v>16240</v>
      </c>
      <c r="AN889" t="s">
        <v>16241</v>
      </c>
      <c r="AO889" t="s">
        <v>16242</v>
      </c>
      <c r="AP889" t="s">
        <v>16243</v>
      </c>
      <c r="AQ889" t="s">
        <v>74</v>
      </c>
      <c r="AR889" t="s">
        <v>16244</v>
      </c>
      <c r="AS889" t="s">
        <v>16245</v>
      </c>
      <c r="AT889" t="s">
        <v>15707</v>
      </c>
      <c r="AU889">
        <v>2012</v>
      </c>
      <c r="AV889">
        <v>41</v>
      </c>
      <c r="AW889">
        <v>6</v>
      </c>
      <c r="AX889" t="s">
        <v>74</v>
      </c>
      <c r="AY889" t="s">
        <v>74</v>
      </c>
      <c r="AZ889" t="s">
        <v>74</v>
      </c>
      <c r="BA889" t="s">
        <v>74</v>
      </c>
      <c r="BB889">
        <v>1398</v>
      </c>
      <c r="BC889">
        <v>1404</v>
      </c>
      <c r="BD889" t="s">
        <v>74</v>
      </c>
      <c r="BE889" t="s">
        <v>16246</v>
      </c>
      <c r="BF889" t="str">
        <f>HYPERLINK("http://dx.doi.org/10.1603/EN12057","http://dx.doi.org/10.1603/EN12057")</f>
        <v>http://dx.doi.org/10.1603/EN12057</v>
      </c>
      <c r="BG889" t="s">
        <v>74</v>
      </c>
      <c r="BH889" t="s">
        <v>74</v>
      </c>
      <c r="BI889">
        <v>7</v>
      </c>
      <c r="BJ889" t="s">
        <v>16247</v>
      </c>
      <c r="BK889" t="s">
        <v>102</v>
      </c>
      <c r="BL889" t="s">
        <v>16247</v>
      </c>
      <c r="BM889" t="s">
        <v>16248</v>
      </c>
      <c r="BN889">
        <v>23321085</v>
      </c>
      <c r="BO889" t="s">
        <v>74</v>
      </c>
      <c r="BP889" t="s">
        <v>74</v>
      </c>
      <c r="BQ889" t="s">
        <v>74</v>
      </c>
      <c r="BR889" t="s">
        <v>105</v>
      </c>
      <c r="BS889" t="s">
        <v>16249</v>
      </c>
      <c r="BT889" t="str">
        <f>HYPERLINK("https%3A%2F%2Fwww.webofscience.com%2Fwos%2Fwoscc%2Ffull-record%2FWOS:000312670000011","View Full Record in Web of Science")</f>
        <v>View Full Record in Web of Science</v>
      </c>
    </row>
    <row r="890" spans="1:72" x14ac:dyDescent="0.15">
      <c r="A890" t="s">
        <v>72</v>
      </c>
      <c r="B890" t="s">
        <v>16250</v>
      </c>
      <c r="C890" t="s">
        <v>74</v>
      </c>
      <c r="D890" t="s">
        <v>74</v>
      </c>
      <c r="E890" t="s">
        <v>74</v>
      </c>
      <c r="F890" t="s">
        <v>16251</v>
      </c>
      <c r="G890" t="s">
        <v>74</v>
      </c>
      <c r="H890" t="s">
        <v>74</v>
      </c>
      <c r="I890" t="s">
        <v>16252</v>
      </c>
      <c r="J890" t="s">
        <v>16253</v>
      </c>
      <c r="K890" t="s">
        <v>74</v>
      </c>
      <c r="L890" t="s">
        <v>74</v>
      </c>
      <c r="M890" t="s">
        <v>78</v>
      </c>
      <c r="N890" t="s">
        <v>79</v>
      </c>
      <c r="O890" t="s">
        <v>74</v>
      </c>
      <c r="P890" t="s">
        <v>74</v>
      </c>
      <c r="Q890" t="s">
        <v>74</v>
      </c>
      <c r="R890" t="s">
        <v>74</v>
      </c>
      <c r="S890" t="s">
        <v>74</v>
      </c>
      <c r="T890" t="s">
        <v>16254</v>
      </c>
      <c r="U890" t="s">
        <v>74</v>
      </c>
      <c r="V890" t="s">
        <v>16255</v>
      </c>
      <c r="W890" t="s">
        <v>16256</v>
      </c>
      <c r="X890" t="s">
        <v>16257</v>
      </c>
      <c r="Y890" t="s">
        <v>16258</v>
      </c>
      <c r="Z890" t="s">
        <v>74</v>
      </c>
      <c r="AA890" t="s">
        <v>74</v>
      </c>
      <c r="AB890" t="s">
        <v>74</v>
      </c>
      <c r="AC890" t="s">
        <v>74</v>
      </c>
      <c r="AD890" t="s">
        <v>74</v>
      </c>
      <c r="AE890" t="s">
        <v>74</v>
      </c>
      <c r="AF890" t="s">
        <v>74</v>
      </c>
      <c r="AG890">
        <v>24</v>
      </c>
      <c r="AH890">
        <v>3</v>
      </c>
      <c r="AI890">
        <v>3</v>
      </c>
      <c r="AJ890">
        <v>0</v>
      </c>
      <c r="AK890">
        <v>4</v>
      </c>
      <c r="AL890" t="s">
        <v>16259</v>
      </c>
      <c r="AM890" t="s">
        <v>16260</v>
      </c>
      <c r="AN890" t="s">
        <v>16261</v>
      </c>
      <c r="AO890" t="s">
        <v>16262</v>
      </c>
      <c r="AP890" t="s">
        <v>16263</v>
      </c>
      <c r="AQ890" t="s">
        <v>74</v>
      </c>
      <c r="AR890" t="s">
        <v>16264</v>
      </c>
      <c r="AS890" t="s">
        <v>16265</v>
      </c>
      <c r="AT890" t="s">
        <v>15707</v>
      </c>
      <c r="AU890">
        <v>2012</v>
      </c>
      <c r="AV890">
        <v>5</v>
      </c>
      <c r="AW890">
        <v>2</v>
      </c>
      <c r="AX890" t="s">
        <v>74</v>
      </c>
      <c r="AY890" t="s">
        <v>74</v>
      </c>
      <c r="AZ890" t="s">
        <v>74</v>
      </c>
      <c r="BA890" t="s">
        <v>74</v>
      </c>
      <c r="BB890">
        <v>151</v>
      </c>
      <c r="BC890">
        <v>166</v>
      </c>
      <c r="BD890" t="s">
        <v>74</v>
      </c>
      <c r="BE890" t="s">
        <v>16266</v>
      </c>
      <c r="BF890" t="str">
        <f>HYPERLINK("http://dx.doi.org/10.3366/ircl.2012.0060","http://dx.doi.org/10.3366/ircl.2012.0060")</f>
        <v>http://dx.doi.org/10.3366/ircl.2012.0060</v>
      </c>
      <c r="BG890" t="s">
        <v>74</v>
      </c>
      <c r="BH890" t="s">
        <v>74</v>
      </c>
      <c r="BI890">
        <v>16</v>
      </c>
      <c r="BJ890" t="s">
        <v>16267</v>
      </c>
      <c r="BK890" t="s">
        <v>15710</v>
      </c>
      <c r="BL890" t="s">
        <v>16267</v>
      </c>
      <c r="BM890" t="s">
        <v>16268</v>
      </c>
      <c r="BN890" t="s">
        <v>74</v>
      </c>
      <c r="BO890" t="s">
        <v>74</v>
      </c>
      <c r="BP890" t="s">
        <v>74</v>
      </c>
      <c r="BQ890" t="s">
        <v>74</v>
      </c>
      <c r="BR890" t="s">
        <v>105</v>
      </c>
      <c r="BS890" t="s">
        <v>16269</v>
      </c>
      <c r="BT890" t="str">
        <f>HYPERLINK("https%3A%2F%2Fwww.webofscience.com%2Fwos%2Fwoscc%2Ffull-record%2FWOS:000312621200003","View Full Record in Web of Science")</f>
        <v>View Full Record in Web of Science</v>
      </c>
    </row>
    <row r="891" spans="1:72" x14ac:dyDescent="0.15">
      <c r="A891" t="s">
        <v>72</v>
      </c>
      <c r="B891" t="s">
        <v>16270</v>
      </c>
      <c r="C891" t="s">
        <v>74</v>
      </c>
      <c r="D891" t="s">
        <v>74</v>
      </c>
      <c r="E891" t="s">
        <v>74</v>
      </c>
      <c r="F891" t="s">
        <v>16271</v>
      </c>
      <c r="G891" t="s">
        <v>74</v>
      </c>
      <c r="H891" t="s">
        <v>74</v>
      </c>
      <c r="I891" t="s">
        <v>16272</v>
      </c>
      <c r="J891" t="s">
        <v>1970</v>
      </c>
      <c r="K891" t="s">
        <v>74</v>
      </c>
      <c r="L891" t="s">
        <v>74</v>
      </c>
      <c r="M891" t="s">
        <v>78</v>
      </c>
      <c r="N891" t="s">
        <v>79</v>
      </c>
      <c r="O891" t="s">
        <v>74</v>
      </c>
      <c r="P891" t="s">
        <v>74</v>
      </c>
      <c r="Q891" t="s">
        <v>74</v>
      </c>
      <c r="R891" t="s">
        <v>74</v>
      </c>
      <c r="S891" t="s">
        <v>74</v>
      </c>
      <c r="T891" t="s">
        <v>74</v>
      </c>
      <c r="U891" t="s">
        <v>16273</v>
      </c>
      <c r="V891" t="s">
        <v>16274</v>
      </c>
      <c r="W891" t="s">
        <v>16275</v>
      </c>
      <c r="X891" t="s">
        <v>16276</v>
      </c>
      <c r="Y891" t="s">
        <v>16277</v>
      </c>
      <c r="Z891" t="s">
        <v>16278</v>
      </c>
      <c r="AA891" t="s">
        <v>16279</v>
      </c>
      <c r="AB891" t="s">
        <v>74</v>
      </c>
      <c r="AC891" t="s">
        <v>16280</v>
      </c>
      <c r="AD891" t="s">
        <v>16281</v>
      </c>
      <c r="AE891" t="s">
        <v>16282</v>
      </c>
      <c r="AF891" t="s">
        <v>74</v>
      </c>
      <c r="AG891">
        <v>55</v>
      </c>
      <c r="AH891">
        <v>3</v>
      </c>
      <c r="AI891">
        <v>4</v>
      </c>
      <c r="AJ891">
        <v>0</v>
      </c>
      <c r="AK891">
        <v>26</v>
      </c>
      <c r="AL891" t="s">
        <v>91</v>
      </c>
      <c r="AM891" t="s">
        <v>92</v>
      </c>
      <c r="AN891" t="s">
        <v>93</v>
      </c>
      <c r="AO891" t="s">
        <v>1981</v>
      </c>
      <c r="AP891" t="s">
        <v>74</v>
      </c>
      <c r="AQ891" t="s">
        <v>74</v>
      </c>
      <c r="AR891" t="s">
        <v>1983</v>
      </c>
      <c r="AS891" t="s">
        <v>1984</v>
      </c>
      <c r="AT891" t="s">
        <v>15707</v>
      </c>
      <c r="AU891">
        <v>2012</v>
      </c>
      <c r="AV891">
        <v>42</v>
      </c>
      <c r="AW891">
        <v>12</v>
      </c>
      <c r="AX891" t="s">
        <v>74</v>
      </c>
      <c r="AY891" t="s">
        <v>74</v>
      </c>
      <c r="AZ891" t="s">
        <v>74</v>
      </c>
      <c r="BA891" t="s">
        <v>74</v>
      </c>
      <c r="BB891">
        <v>2153</v>
      </c>
      <c r="BC891">
        <v>2168</v>
      </c>
      <c r="BD891" t="s">
        <v>74</v>
      </c>
      <c r="BE891" t="s">
        <v>16283</v>
      </c>
      <c r="BF891" t="str">
        <f>HYPERLINK("http://dx.doi.org/10.1175/JPO-D-12-019.1","http://dx.doi.org/10.1175/JPO-D-12-019.1")</f>
        <v>http://dx.doi.org/10.1175/JPO-D-12-019.1</v>
      </c>
      <c r="BG891" t="s">
        <v>74</v>
      </c>
      <c r="BH891" t="s">
        <v>74</v>
      </c>
      <c r="BI891">
        <v>16</v>
      </c>
      <c r="BJ891" t="s">
        <v>303</v>
      </c>
      <c r="BK891" t="s">
        <v>102</v>
      </c>
      <c r="BL891" t="s">
        <v>303</v>
      </c>
      <c r="BM891" t="s">
        <v>16284</v>
      </c>
      <c r="BN891" t="s">
        <v>74</v>
      </c>
      <c r="BO891" t="s">
        <v>104</v>
      </c>
      <c r="BP891" t="s">
        <v>74</v>
      </c>
      <c r="BQ891" t="s">
        <v>74</v>
      </c>
      <c r="BR891" t="s">
        <v>105</v>
      </c>
      <c r="BS891" t="s">
        <v>16285</v>
      </c>
      <c r="BT891" t="str">
        <f>HYPERLINK("https%3A%2F%2Fwww.webofscience.com%2Fwos%2Fwoscc%2Ffull-record%2FWOS:000313054800005","View Full Record in Web of Science")</f>
        <v>View Full Record in Web of Science</v>
      </c>
    </row>
    <row r="892" spans="1:72" x14ac:dyDescent="0.15">
      <c r="A892" t="s">
        <v>72</v>
      </c>
      <c r="B892" t="s">
        <v>16286</v>
      </c>
      <c r="C892" t="s">
        <v>74</v>
      </c>
      <c r="D892" t="s">
        <v>74</v>
      </c>
      <c r="E892" t="s">
        <v>74</v>
      </c>
      <c r="F892" t="s">
        <v>16287</v>
      </c>
      <c r="G892" t="s">
        <v>74</v>
      </c>
      <c r="H892" t="s">
        <v>74</v>
      </c>
      <c r="I892" t="s">
        <v>16288</v>
      </c>
      <c r="J892" t="s">
        <v>16289</v>
      </c>
      <c r="K892" t="s">
        <v>74</v>
      </c>
      <c r="L892" t="s">
        <v>74</v>
      </c>
      <c r="M892" t="s">
        <v>78</v>
      </c>
      <c r="N892" t="s">
        <v>79</v>
      </c>
      <c r="O892" t="s">
        <v>74</v>
      </c>
      <c r="P892" t="s">
        <v>74</v>
      </c>
      <c r="Q892" t="s">
        <v>74</v>
      </c>
      <c r="R892" t="s">
        <v>74</v>
      </c>
      <c r="S892" t="s">
        <v>74</v>
      </c>
      <c r="T892" t="s">
        <v>74</v>
      </c>
      <c r="U892" t="s">
        <v>16290</v>
      </c>
      <c r="V892" t="s">
        <v>16291</v>
      </c>
      <c r="W892" t="s">
        <v>16292</v>
      </c>
      <c r="X892" t="s">
        <v>16293</v>
      </c>
      <c r="Y892" t="s">
        <v>16294</v>
      </c>
      <c r="Z892" t="s">
        <v>16295</v>
      </c>
      <c r="AA892" t="s">
        <v>74</v>
      </c>
      <c r="AB892" t="s">
        <v>74</v>
      </c>
      <c r="AC892" t="s">
        <v>74</v>
      </c>
      <c r="AD892" t="s">
        <v>74</v>
      </c>
      <c r="AE892" t="s">
        <v>74</v>
      </c>
      <c r="AF892" t="s">
        <v>74</v>
      </c>
      <c r="AG892">
        <v>29</v>
      </c>
      <c r="AH892">
        <v>3</v>
      </c>
      <c r="AI892">
        <v>3</v>
      </c>
      <c r="AJ892">
        <v>0</v>
      </c>
      <c r="AK892">
        <v>19</v>
      </c>
      <c r="AL892" t="s">
        <v>257</v>
      </c>
      <c r="AM892" t="s">
        <v>215</v>
      </c>
      <c r="AN892" t="s">
        <v>216</v>
      </c>
      <c r="AO892" t="s">
        <v>16296</v>
      </c>
      <c r="AP892" t="s">
        <v>16297</v>
      </c>
      <c r="AQ892" t="s">
        <v>74</v>
      </c>
      <c r="AR892" t="s">
        <v>16298</v>
      </c>
      <c r="AS892" t="s">
        <v>16299</v>
      </c>
      <c r="AT892" t="s">
        <v>15707</v>
      </c>
      <c r="AU892">
        <v>2012</v>
      </c>
      <c r="AV892">
        <v>16</v>
      </c>
      <c r="AW892">
        <v>6</v>
      </c>
      <c r="AX892" t="s">
        <v>74</v>
      </c>
      <c r="AY892" t="s">
        <v>74</v>
      </c>
      <c r="AZ892" t="s">
        <v>74</v>
      </c>
      <c r="BA892" t="s">
        <v>74</v>
      </c>
      <c r="BB892">
        <v>901</v>
      </c>
      <c r="BC892">
        <v>919</v>
      </c>
      <c r="BD892" t="s">
        <v>74</v>
      </c>
      <c r="BE892" t="s">
        <v>16300</v>
      </c>
      <c r="BF892" t="str">
        <f>HYPERLINK("http://dx.doi.org/10.1111/j.1467-9671.2012.01327.x","http://dx.doi.org/10.1111/j.1467-9671.2012.01327.x")</f>
        <v>http://dx.doi.org/10.1111/j.1467-9671.2012.01327.x</v>
      </c>
      <c r="BG892" t="s">
        <v>74</v>
      </c>
      <c r="BH892" t="s">
        <v>74</v>
      </c>
      <c r="BI892">
        <v>19</v>
      </c>
      <c r="BJ892" t="s">
        <v>11283</v>
      </c>
      <c r="BK892" t="s">
        <v>13642</v>
      </c>
      <c r="BL892" t="s">
        <v>11283</v>
      </c>
      <c r="BM892" t="s">
        <v>16301</v>
      </c>
      <c r="BN892" t="s">
        <v>74</v>
      </c>
      <c r="BO892" t="s">
        <v>74</v>
      </c>
      <c r="BP892" t="s">
        <v>74</v>
      </c>
      <c r="BQ892" t="s">
        <v>74</v>
      </c>
      <c r="BR892" t="s">
        <v>105</v>
      </c>
      <c r="BS892" t="s">
        <v>16302</v>
      </c>
      <c r="BT892" t="str">
        <f>HYPERLINK("https%3A%2F%2Fwww.webofscience.com%2Fwos%2Fwoscc%2Ffull-record%2FWOS:000312538300011","View Full Record in Web of Science")</f>
        <v>View Full Record in Web of Science</v>
      </c>
    </row>
    <row r="893" spans="1:72" x14ac:dyDescent="0.15">
      <c r="A893" t="s">
        <v>72</v>
      </c>
      <c r="B893" t="s">
        <v>16303</v>
      </c>
      <c r="C893" t="s">
        <v>74</v>
      </c>
      <c r="D893" t="s">
        <v>74</v>
      </c>
      <c r="E893" t="s">
        <v>74</v>
      </c>
      <c r="F893" t="s">
        <v>16304</v>
      </c>
      <c r="G893" t="s">
        <v>74</v>
      </c>
      <c r="H893" t="s">
        <v>74</v>
      </c>
      <c r="I893" t="s">
        <v>16305</v>
      </c>
      <c r="J893" t="s">
        <v>803</v>
      </c>
      <c r="K893" t="s">
        <v>74</v>
      </c>
      <c r="L893" t="s">
        <v>74</v>
      </c>
      <c r="M893" t="s">
        <v>78</v>
      </c>
      <c r="N893" t="s">
        <v>79</v>
      </c>
      <c r="O893" t="s">
        <v>74</v>
      </c>
      <c r="P893" t="s">
        <v>74</v>
      </c>
      <c r="Q893" t="s">
        <v>74</v>
      </c>
      <c r="R893" t="s">
        <v>74</v>
      </c>
      <c r="S893" t="s">
        <v>74</v>
      </c>
      <c r="T893" t="s">
        <v>16306</v>
      </c>
      <c r="U893" t="s">
        <v>16307</v>
      </c>
      <c r="V893" t="s">
        <v>16308</v>
      </c>
      <c r="W893" t="s">
        <v>16309</v>
      </c>
      <c r="X893" t="s">
        <v>16310</v>
      </c>
      <c r="Y893" t="s">
        <v>16311</v>
      </c>
      <c r="Z893" t="s">
        <v>16312</v>
      </c>
      <c r="AA893" t="s">
        <v>16313</v>
      </c>
      <c r="AB893" t="s">
        <v>16314</v>
      </c>
      <c r="AC893" t="s">
        <v>16315</v>
      </c>
      <c r="AD893" t="s">
        <v>16316</v>
      </c>
      <c r="AE893" t="s">
        <v>16317</v>
      </c>
      <c r="AF893" t="s">
        <v>74</v>
      </c>
      <c r="AG893">
        <v>40</v>
      </c>
      <c r="AH893">
        <v>9</v>
      </c>
      <c r="AI893">
        <v>11</v>
      </c>
      <c r="AJ893">
        <v>0</v>
      </c>
      <c r="AK893">
        <v>33</v>
      </c>
      <c r="AL893" t="s">
        <v>816</v>
      </c>
      <c r="AM893" t="s">
        <v>296</v>
      </c>
      <c r="AN893" t="s">
        <v>817</v>
      </c>
      <c r="AO893" t="s">
        <v>818</v>
      </c>
      <c r="AP893" t="s">
        <v>819</v>
      </c>
      <c r="AQ893" t="s">
        <v>74</v>
      </c>
      <c r="AR893" t="s">
        <v>820</v>
      </c>
      <c r="AS893" t="s">
        <v>821</v>
      </c>
      <c r="AT893" t="s">
        <v>15707</v>
      </c>
      <c r="AU893">
        <v>2012</v>
      </c>
      <c r="AV893">
        <v>24</v>
      </c>
      <c r="AW893">
        <v>6</v>
      </c>
      <c r="AX893" t="s">
        <v>74</v>
      </c>
      <c r="AY893" t="s">
        <v>74</v>
      </c>
      <c r="AZ893" t="s">
        <v>74</v>
      </c>
      <c r="BA893" t="s">
        <v>74</v>
      </c>
      <c r="BB893">
        <v>547</v>
      </c>
      <c r="BC893">
        <v>553</v>
      </c>
      <c r="BD893" t="s">
        <v>74</v>
      </c>
      <c r="BE893" t="s">
        <v>16318</v>
      </c>
      <c r="BF893" t="str">
        <f>HYPERLINK("http://dx.doi.org/10.1017/S0954102012000491","http://dx.doi.org/10.1017/S0954102012000491")</f>
        <v>http://dx.doi.org/10.1017/S0954102012000491</v>
      </c>
      <c r="BG893" t="s">
        <v>74</v>
      </c>
      <c r="BH893" t="s">
        <v>74</v>
      </c>
      <c r="BI893">
        <v>7</v>
      </c>
      <c r="BJ893" t="s">
        <v>823</v>
      </c>
      <c r="BK893" t="s">
        <v>102</v>
      </c>
      <c r="BL893" t="s">
        <v>824</v>
      </c>
      <c r="BM893" t="s">
        <v>16319</v>
      </c>
      <c r="BN893" t="s">
        <v>74</v>
      </c>
      <c r="BO893" t="s">
        <v>74</v>
      </c>
      <c r="BP893" t="s">
        <v>74</v>
      </c>
      <c r="BQ893" t="s">
        <v>74</v>
      </c>
      <c r="BR893" t="s">
        <v>105</v>
      </c>
      <c r="BS893" t="s">
        <v>16320</v>
      </c>
      <c r="BT893" t="str">
        <f>HYPERLINK("https%3A%2F%2Fwww.webofscience.com%2Fwos%2Fwoscc%2Ffull-record%2FWOS:000311918400002","View Full Record in Web of Science")</f>
        <v>View Full Record in Web of Science</v>
      </c>
    </row>
    <row r="894" spans="1:72" x14ac:dyDescent="0.15">
      <c r="A894" t="s">
        <v>72</v>
      </c>
      <c r="B894" t="s">
        <v>16321</v>
      </c>
      <c r="C894" t="s">
        <v>74</v>
      </c>
      <c r="D894" t="s">
        <v>74</v>
      </c>
      <c r="E894" t="s">
        <v>74</v>
      </c>
      <c r="F894" t="s">
        <v>16322</v>
      </c>
      <c r="G894" t="s">
        <v>74</v>
      </c>
      <c r="H894" t="s">
        <v>74</v>
      </c>
      <c r="I894" t="s">
        <v>16323</v>
      </c>
      <c r="J894" t="s">
        <v>803</v>
      </c>
      <c r="K894" t="s">
        <v>74</v>
      </c>
      <c r="L894" t="s">
        <v>74</v>
      </c>
      <c r="M894" t="s">
        <v>78</v>
      </c>
      <c r="N894" t="s">
        <v>79</v>
      </c>
      <c r="O894" t="s">
        <v>74</v>
      </c>
      <c r="P894" t="s">
        <v>74</v>
      </c>
      <c r="Q894" t="s">
        <v>74</v>
      </c>
      <c r="R894" t="s">
        <v>74</v>
      </c>
      <c r="S894" t="s">
        <v>74</v>
      </c>
      <c r="T894" t="s">
        <v>16324</v>
      </c>
      <c r="U894" t="s">
        <v>16325</v>
      </c>
      <c r="V894" t="s">
        <v>16326</v>
      </c>
      <c r="W894" t="s">
        <v>16327</v>
      </c>
      <c r="X894" t="s">
        <v>16328</v>
      </c>
      <c r="Y894" t="s">
        <v>16329</v>
      </c>
      <c r="Z894" t="s">
        <v>16330</v>
      </c>
      <c r="AA894" t="s">
        <v>74</v>
      </c>
      <c r="AB894" t="s">
        <v>16331</v>
      </c>
      <c r="AC894" t="s">
        <v>16332</v>
      </c>
      <c r="AD894" t="s">
        <v>16333</v>
      </c>
      <c r="AE894" t="s">
        <v>16334</v>
      </c>
      <c r="AF894" t="s">
        <v>74</v>
      </c>
      <c r="AG894">
        <v>41</v>
      </c>
      <c r="AH894">
        <v>8</v>
      </c>
      <c r="AI894">
        <v>9</v>
      </c>
      <c r="AJ894">
        <v>0</v>
      </c>
      <c r="AK894">
        <v>29</v>
      </c>
      <c r="AL894" t="s">
        <v>816</v>
      </c>
      <c r="AM894" t="s">
        <v>296</v>
      </c>
      <c r="AN894" t="s">
        <v>817</v>
      </c>
      <c r="AO894" t="s">
        <v>818</v>
      </c>
      <c r="AP894" t="s">
        <v>819</v>
      </c>
      <c r="AQ894" t="s">
        <v>74</v>
      </c>
      <c r="AR894" t="s">
        <v>820</v>
      </c>
      <c r="AS894" t="s">
        <v>821</v>
      </c>
      <c r="AT894" t="s">
        <v>15707</v>
      </c>
      <c r="AU894">
        <v>2012</v>
      </c>
      <c r="AV894">
        <v>24</v>
      </c>
      <c r="AW894">
        <v>6</v>
      </c>
      <c r="AX894" t="s">
        <v>74</v>
      </c>
      <c r="AY894" t="s">
        <v>74</v>
      </c>
      <c r="AZ894" t="s">
        <v>74</v>
      </c>
      <c r="BA894" t="s">
        <v>74</v>
      </c>
      <c r="BB894">
        <v>554</v>
      </c>
      <c r="BC894">
        <v>560</v>
      </c>
      <c r="BD894" t="s">
        <v>74</v>
      </c>
      <c r="BE894" t="s">
        <v>16335</v>
      </c>
      <c r="BF894" t="str">
        <f>HYPERLINK("http://dx.doi.org/10.1017/S0954102012000569","http://dx.doi.org/10.1017/S0954102012000569")</f>
        <v>http://dx.doi.org/10.1017/S0954102012000569</v>
      </c>
      <c r="BG894" t="s">
        <v>74</v>
      </c>
      <c r="BH894" t="s">
        <v>74</v>
      </c>
      <c r="BI894">
        <v>7</v>
      </c>
      <c r="BJ894" t="s">
        <v>823</v>
      </c>
      <c r="BK894" t="s">
        <v>102</v>
      </c>
      <c r="BL894" t="s">
        <v>824</v>
      </c>
      <c r="BM894" t="s">
        <v>16319</v>
      </c>
      <c r="BN894" t="s">
        <v>74</v>
      </c>
      <c r="BO894" t="s">
        <v>74</v>
      </c>
      <c r="BP894" t="s">
        <v>74</v>
      </c>
      <c r="BQ894" t="s">
        <v>74</v>
      </c>
      <c r="BR894" t="s">
        <v>105</v>
      </c>
      <c r="BS894" t="s">
        <v>16336</v>
      </c>
      <c r="BT894" t="str">
        <f>HYPERLINK("https%3A%2F%2Fwww.webofscience.com%2Fwos%2Fwoscc%2Ffull-record%2FWOS:000311918400003","View Full Record in Web of Science")</f>
        <v>View Full Record in Web of Science</v>
      </c>
    </row>
    <row r="895" spans="1:72" x14ac:dyDescent="0.15">
      <c r="A895" t="s">
        <v>72</v>
      </c>
      <c r="B895" t="s">
        <v>16337</v>
      </c>
      <c r="C895" t="s">
        <v>74</v>
      </c>
      <c r="D895" t="s">
        <v>74</v>
      </c>
      <c r="E895" t="s">
        <v>74</v>
      </c>
      <c r="F895" t="s">
        <v>16338</v>
      </c>
      <c r="G895" t="s">
        <v>74</v>
      </c>
      <c r="H895" t="s">
        <v>74</v>
      </c>
      <c r="I895" t="s">
        <v>16339</v>
      </c>
      <c r="J895" t="s">
        <v>803</v>
      </c>
      <c r="K895" t="s">
        <v>74</v>
      </c>
      <c r="L895" t="s">
        <v>74</v>
      </c>
      <c r="M895" t="s">
        <v>78</v>
      </c>
      <c r="N895" t="s">
        <v>79</v>
      </c>
      <c r="O895" t="s">
        <v>74</v>
      </c>
      <c r="P895" t="s">
        <v>74</v>
      </c>
      <c r="Q895" t="s">
        <v>74</v>
      </c>
      <c r="R895" t="s">
        <v>74</v>
      </c>
      <c r="S895" t="s">
        <v>74</v>
      </c>
      <c r="T895" t="s">
        <v>16340</v>
      </c>
      <c r="U895" t="s">
        <v>16341</v>
      </c>
      <c r="V895" t="s">
        <v>16342</v>
      </c>
      <c r="W895" t="s">
        <v>16343</v>
      </c>
      <c r="X895" t="s">
        <v>16344</v>
      </c>
      <c r="Y895" t="s">
        <v>16345</v>
      </c>
      <c r="Z895" t="s">
        <v>16346</v>
      </c>
      <c r="AA895" t="s">
        <v>16347</v>
      </c>
      <c r="AB895" t="s">
        <v>16348</v>
      </c>
      <c r="AC895" t="s">
        <v>16349</v>
      </c>
      <c r="AD895" t="s">
        <v>16349</v>
      </c>
      <c r="AE895" t="s">
        <v>16350</v>
      </c>
      <c r="AF895" t="s">
        <v>74</v>
      </c>
      <c r="AG895">
        <v>42</v>
      </c>
      <c r="AH895">
        <v>16</v>
      </c>
      <c r="AI895">
        <v>18</v>
      </c>
      <c r="AJ895">
        <v>0</v>
      </c>
      <c r="AK895">
        <v>44</v>
      </c>
      <c r="AL895" t="s">
        <v>816</v>
      </c>
      <c r="AM895" t="s">
        <v>296</v>
      </c>
      <c r="AN895" t="s">
        <v>817</v>
      </c>
      <c r="AO895" t="s">
        <v>818</v>
      </c>
      <c r="AP895" t="s">
        <v>819</v>
      </c>
      <c r="AQ895" t="s">
        <v>74</v>
      </c>
      <c r="AR895" t="s">
        <v>820</v>
      </c>
      <c r="AS895" t="s">
        <v>821</v>
      </c>
      <c r="AT895" t="s">
        <v>15707</v>
      </c>
      <c r="AU895">
        <v>2012</v>
      </c>
      <c r="AV895">
        <v>24</v>
      </c>
      <c r="AW895">
        <v>6</v>
      </c>
      <c r="AX895" t="s">
        <v>74</v>
      </c>
      <c r="AY895" t="s">
        <v>74</v>
      </c>
      <c r="AZ895" t="s">
        <v>74</v>
      </c>
      <c r="BA895" t="s">
        <v>74</v>
      </c>
      <c r="BB895">
        <v>561</v>
      </c>
      <c r="BC895">
        <v>570</v>
      </c>
      <c r="BD895" t="s">
        <v>74</v>
      </c>
      <c r="BE895" t="s">
        <v>16351</v>
      </c>
      <c r="BF895" t="str">
        <f>HYPERLINK("http://dx.doi.org/10.1017/S0954102012000570","http://dx.doi.org/10.1017/S0954102012000570")</f>
        <v>http://dx.doi.org/10.1017/S0954102012000570</v>
      </c>
      <c r="BG895" t="s">
        <v>74</v>
      </c>
      <c r="BH895" t="s">
        <v>74</v>
      </c>
      <c r="BI895">
        <v>10</v>
      </c>
      <c r="BJ895" t="s">
        <v>823</v>
      </c>
      <c r="BK895" t="s">
        <v>102</v>
      </c>
      <c r="BL895" t="s">
        <v>824</v>
      </c>
      <c r="BM895" t="s">
        <v>16319</v>
      </c>
      <c r="BN895" t="s">
        <v>74</v>
      </c>
      <c r="BO895" t="s">
        <v>155</v>
      </c>
      <c r="BP895" t="s">
        <v>74</v>
      </c>
      <c r="BQ895" t="s">
        <v>74</v>
      </c>
      <c r="BR895" t="s">
        <v>105</v>
      </c>
      <c r="BS895" t="s">
        <v>16352</v>
      </c>
      <c r="BT895" t="str">
        <f>HYPERLINK("https%3A%2F%2Fwww.webofscience.com%2Fwos%2Fwoscc%2Ffull-record%2FWOS:000311918400004","View Full Record in Web of Science")</f>
        <v>View Full Record in Web of Science</v>
      </c>
    </row>
    <row r="896" spans="1:72" x14ac:dyDescent="0.15">
      <c r="A896" t="s">
        <v>72</v>
      </c>
      <c r="B896" t="s">
        <v>16353</v>
      </c>
      <c r="C896" t="s">
        <v>74</v>
      </c>
      <c r="D896" t="s">
        <v>74</v>
      </c>
      <c r="E896" t="s">
        <v>74</v>
      </c>
      <c r="F896" t="s">
        <v>16354</v>
      </c>
      <c r="G896" t="s">
        <v>74</v>
      </c>
      <c r="H896" t="s">
        <v>74</v>
      </c>
      <c r="I896" t="s">
        <v>16355</v>
      </c>
      <c r="J896" t="s">
        <v>803</v>
      </c>
      <c r="K896" t="s">
        <v>74</v>
      </c>
      <c r="L896" t="s">
        <v>74</v>
      </c>
      <c r="M896" t="s">
        <v>78</v>
      </c>
      <c r="N896" t="s">
        <v>79</v>
      </c>
      <c r="O896" t="s">
        <v>74</v>
      </c>
      <c r="P896" t="s">
        <v>74</v>
      </c>
      <c r="Q896" t="s">
        <v>74</v>
      </c>
      <c r="R896" t="s">
        <v>74</v>
      </c>
      <c r="S896" t="s">
        <v>74</v>
      </c>
      <c r="T896" t="s">
        <v>74</v>
      </c>
      <c r="U896" t="s">
        <v>16356</v>
      </c>
      <c r="V896" t="s">
        <v>74</v>
      </c>
      <c r="W896" t="s">
        <v>16357</v>
      </c>
      <c r="X896" t="s">
        <v>5925</v>
      </c>
      <c r="Y896" t="s">
        <v>5926</v>
      </c>
      <c r="Z896" t="s">
        <v>5927</v>
      </c>
      <c r="AA896" t="s">
        <v>16358</v>
      </c>
      <c r="AB896" t="s">
        <v>16331</v>
      </c>
      <c r="AC896" t="s">
        <v>16359</v>
      </c>
      <c r="AD896" t="s">
        <v>418</v>
      </c>
      <c r="AE896" t="s">
        <v>16360</v>
      </c>
      <c r="AF896" t="s">
        <v>74</v>
      </c>
      <c r="AG896">
        <v>9</v>
      </c>
      <c r="AH896">
        <v>14</v>
      </c>
      <c r="AI896">
        <v>15</v>
      </c>
      <c r="AJ896">
        <v>0</v>
      </c>
      <c r="AK896">
        <v>8</v>
      </c>
      <c r="AL896" t="s">
        <v>816</v>
      </c>
      <c r="AM896" t="s">
        <v>296</v>
      </c>
      <c r="AN896" t="s">
        <v>817</v>
      </c>
      <c r="AO896" t="s">
        <v>818</v>
      </c>
      <c r="AP896" t="s">
        <v>74</v>
      </c>
      <c r="AQ896" t="s">
        <v>74</v>
      </c>
      <c r="AR896" t="s">
        <v>820</v>
      </c>
      <c r="AS896" t="s">
        <v>821</v>
      </c>
      <c r="AT896" t="s">
        <v>15707</v>
      </c>
      <c r="AU896">
        <v>2012</v>
      </c>
      <c r="AV896">
        <v>24</v>
      </c>
      <c r="AW896">
        <v>6</v>
      </c>
      <c r="AX896" t="s">
        <v>74</v>
      </c>
      <c r="AY896" t="s">
        <v>74</v>
      </c>
      <c r="AZ896" t="s">
        <v>74</v>
      </c>
      <c r="BA896" t="s">
        <v>74</v>
      </c>
      <c r="BB896">
        <v>589</v>
      </c>
      <c r="BC896">
        <v>590</v>
      </c>
      <c r="BD896" t="s">
        <v>74</v>
      </c>
      <c r="BE896" t="s">
        <v>16361</v>
      </c>
      <c r="BF896" t="str">
        <f>HYPERLINK("http://dx.doi.org/10.1017/S0954102012000624","http://dx.doi.org/10.1017/S0954102012000624")</f>
        <v>http://dx.doi.org/10.1017/S0954102012000624</v>
      </c>
      <c r="BG896" t="s">
        <v>74</v>
      </c>
      <c r="BH896" t="s">
        <v>74</v>
      </c>
      <c r="BI896">
        <v>2</v>
      </c>
      <c r="BJ896" t="s">
        <v>823</v>
      </c>
      <c r="BK896" t="s">
        <v>102</v>
      </c>
      <c r="BL896" t="s">
        <v>824</v>
      </c>
      <c r="BM896" t="s">
        <v>16319</v>
      </c>
      <c r="BN896" t="s">
        <v>74</v>
      </c>
      <c r="BO896" t="s">
        <v>74</v>
      </c>
      <c r="BP896" t="s">
        <v>74</v>
      </c>
      <c r="BQ896" t="s">
        <v>74</v>
      </c>
      <c r="BR896" t="s">
        <v>105</v>
      </c>
      <c r="BS896" t="s">
        <v>16362</v>
      </c>
      <c r="BT896" t="str">
        <f>HYPERLINK("https%3A%2F%2Fwww.webofscience.com%2Fwos%2Fwoscc%2Ffull-record%2FWOS:000311918400006","View Full Record in Web of Science")</f>
        <v>View Full Record in Web of Science</v>
      </c>
    </row>
    <row r="897" spans="1:72" x14ac:dyDescent="0.15">
      <c r="A897" t="s">
        <v>72</v>
      </c>
      <c r="B897" t="s">
        <v>16363</v>
      </c>
      <c r="C897" t="s">
        <v>74</v>
      </c>
      <c r="D897" t="s">
        <v>74</v>
      </c>
      <c r="E897" t="s">
        <v>74</v>
      </c>
      <c r="F897" t="s">
        <v>16364</v>
      </c>
      <c r="G897" t="s">
        <v>74</v>
      </c>
      <c r="H897" t="s">
        <v>74</v>
      </c>
      <c r="I897" t="s">
        <v>16365</v>
      </c>
      <c r="J897" t="s">
        <v>803</v>
      </c>
      <c r="K897" t="s">
        <v>74</v>
      </c>
      <c r="L897" t="s">
        <v>74</v>
      </c>
      <c r="M897" t="s">
        <v>78</v>
      </c>
      <c r="N897" t="s">
        <v>79</v>
      </c>
      <c r="O897" t="s">
        <v>74</v>
      </c>
      <c r="P897" t="s">
        <v>74</v>
      </c>
      <c r="Q897" t="s">
        <v>74</v>
      </c>
      <c r="R897" t="s">
        <v>74</v>
      </c>
      <c r="S897" t="s">
        <v>74</v>
      </c>
      <c r="T897" t="s">
        <v>16366</v>
      </c>
      <c r="U897" t="s">
        <v>16367</v>
      </c>
      <c r="V897" t="s">
        <v>16368</v>
      </c>
      <c r="W897" t="s">
        <v>16369</v>
      </c>
      <c r="X897" t="s">
        <v>16370</v>
      </c>
      <c r="Y897" t="s">
        <v>16371</v>
      </c>
      <c r="Z897" t="s">
        <v>16372</v>
      </c>
      <c r="AA897" t="s">
        <v>16373</v>
      </c>
      <c r="AB897" t="s">
        <v>16374</v>
      </c>
      <c r="AC897" t="s">
        <v>16375</v>
      </c>
      <c r="AD897" t="s">
        <v>16376</v>
      </c>
      <c r="AE897" t="s">
        <v>16377</v>
      </c>
      <c r="AF897" t="s">
        <v>74</v>
      </c>
      <c r="AG897">
        <v>20</v>
      </c>
      <c r="AH897">
        <v>7</v>
      </c>
      <c r="AI897">
        <v>8</v>
      </c>
      <c r="AJ897">
        <v>0</v>
      </c>
      <c r="AK897">
        <v>12</v>
      </c>
      <c r="AL897" t="s">
        <v>816</v>
      </c>
      <c r="AM897" t="s">
        <v>296</v>
      </c>
      <c r="AN897" t="s">
        <v>817</v>
      </c>
      <c r="AO897" t="s">
        <v>818</v>
      </c>
      <c r="AP897" t="s">
        <v>819</v>
      </c>
      <c r="AQ897" t="s">
        <v>74</v>
      </c>
      <c r="AR897" t="s">
        <v>820</v>
      </c>
      <c r="AS897" t="s">
        <v>821</v>
      </c>
      <c r="AT897" t="s">
        <v>15707</v>
      </c>
      <c r="AU897">
        <v>2012</v>
      </c>
      <c r="AV897">
        <v>24</v>
      </c>
      <c r="AW897">
        <v>6</v>
      </c>
      <c r="AX897" t="s">
        <v>74</v>
      </c>
      <c r="AY897" t="s">
        <v>74</v>
      </c>
      <c r="AZ897" t="s">
        <v>74</v>
      </c>
      <c r="BA897" t="s">
        <v>74</v>
      </c>
      <c r="BB897">
        <v>619</v>
      </c>
      <c r="BC897">
        <v>624</v>
      </c>
      <c r="BD897" t="s">
        <v>74</v>
      </c>
      <c r="BE897" t="s">
        <v>16378</v>
      </c>
      <c r="BF897" t="str">
        <f>HYPERLINK("http://dx.doi.org/10.1017/S0954102012000430","http://dx.doi.org/10.1017/S0954102012000430")</f>
        <v>http://dx.doi.org/10.1017/S0954102012000430</v>
      </c>
      <c r="BG897" t="s">
        <v>74</v>
      </c>
      <c r="BH897" t="s">
        <v>74</v>
      </c>
      <c r="BI897">
        <v>6</v>
      </c>
      <c r="BJ897" t="s">
        <v>823</v>
      </c>
      <c r="BK897" t="s">
        <v>102</v>
      </c>
      <c r="BL897" t="s">
        <v>824</v>
      </c>
      <c r="BM897" t="s">
        <v>16319</v>
      </c>
      <c r="BN897" t="s">
        <v>74</v>
      </c>
      <c r="BO897" t="s">
        <v>74</v>
      </c>
      <c r="BP897" t="s">
        <v>74</v>
      </c>
      <c r="BQ897" t="s">
        <v>74</v>
      </c>
      <c r="BR897" t="s">
        <v>105</v>
      </c>
      <c r="BS897" t="s">
        <v>16379</v>
      </c>
      <c r="BT897" t="str">
        <f>HYPERLINK("https%3A%2F%2Fwww.webofscience.com%2Fwos%2Fwoscc%2Ffull-record%2FWOS:000311918400009","View Full Record in Web of Science")</f>
        <v>View Full Record in Web of Science</v>
      </c>
    </row>
    <row r="898" spans="1:72" x14ac:dyDescent="0.15">
      <c r="A898" t="s">
        <v>72</v>
      </c>
      <c r="B898" t="s">
        <v>16380</v>
      </c>
      <c r="C898" t="s">
        <v>74</v>
      </c>
      <c r="D898" t="s">
        <v>74</v>
      </c>
      <c r="E898" t="s">
        <v>74</v>
      </c>
      <c r="F898" t="s">
        <v>16381</v>
      </c>
      <c r="G898" t="s">
        <v>74</v>
      </c>
      <c r="H898" t="s">
        <v>74</v>
      </c>
      <c r="I898" t="s">
        <v>16382</v>
      </c>
      <c r="J898" t="s">
        <v>803</v>
      </c>
      <c r="K898" t="s">
        <v>74</v>
      </c>
      <c r="L898" t="s">
        <v>74</v>
      </c>
      <c r="M898" t="s">
        <v>78</v>
      </c>
      <c r="N898" t="s">
        <v>79</v>
      </c>
      <c r="O898" t="s">
        <v>74</v>
      </c>
      <c r="P898" t="s">
        <v>74</v>
      </c>
      <c r="Q898" t="s">
        <v>74</v>
      </c>
      <c r="R898" t="s">
        <v>74</v>
      </c>
      <c r="S898" t="s">
        <v>74</v>
      </c>
      <c r="T898" t="s">
        <v>16383</v>
      </c>
      <c r="U898" t="s">
        <v>16384</v>
      </c>
      <c r="V898" t="s">
        <v>16385</v>
      </c>
      <c r="W898" t="s">
        <v>16386</v>
      </c>
      <c r="X898" t="s">
        <v>16387</v>
      </c>
      <c r="Y898" t="s">
        <v>16388</v>
      </c>
      <c r="Z898" t="s">
        <v>16389</v>
      </c>
      <c r="AA898" t="s">
        <v>74</v>
      </c>
      <c r="AB898" t="s">
        <v>16390</v>
      </c>
      <c r="AC898" t="s">
        <v>16391</v>
      </c>
      <c r="AD898" t="s">
        <v>16392</v>
      </c>
      <c r="AE898" t="s">
        <v>16393</v>
      </c>
      <c r="AF898" t="s">
        <v>74</v>
      </c>
      <c r="AG898">
        <v>40</v>
      </c>
      <c r="AH898">
        <v>16</v>
      </c>
      <c r="AI898">
        <v>16</v>
      </c>
      <c r="AJ898">
        <v>0</v>
      </c>
      <c r="AK898">
        <v>14</v>
      </c>
      <c r="AL898" t="s">
        <v>816</v>
      </c>
      <c r="AM898" t="s">
        <v>296</v>
      </c>
      <c r="AN898" t="s">
        <v>817</v>
      </c>
      <c r="AO898" t="s">
        <v>818</v>
      </c>
      <c r="AP898" t="s">
        <v>819</v>
      </c>
      <c r="AQ898" t="s">
        <v>74</v>
      </c>
      <c r="AR898" t="s">
        <v>820</v>
      </c>
      <c r="AS898" t="s">
        <v>821</v>
      </c>
      <c r="AT898" t="s">
        <v>15707</v>
      </c>
      <c r="AU898">
        <v>2012</v>
      </c>
      <c r="AV898">
        <v>24</v>
      </c>
      <c r="AW898">
        <v>6</v>
      </c>
      <c r="AX898" t="s">
        <v>74</v>
      </c>
      <c r="AY898" t="s">
        <v>74</v>
      </c>
      <c r="AZ898" t="s">
        <v>74</v>
      </c>
      <c r="BA898" t="s">
        <v>74</v>
      </c>
      <c r="BB898">
        <v>637</v>
      </c>
      <c r="BC898">
        <v>658</v>
      </c>
      <c r="BD898" t="s">
        <v>74</v>
      </c>
      <c r="BE898" t="s">
        <v>16394</v>
      </c>
      <c r="BF898" t="str">
        <f>HYPERLINK("http://dx.doi.org/10.1017/S0954102012000405","http://dx.doi.org/10.1017/S0954102012000405")</f>
        <v>http://dx.doi.org/10.1017/S0954102012000405</v>
      </c>
      <c r="BG898" t="s">
        <v>74</v>
      </c>
      <c r="BH898" t="s">
        <v>74</v>
      </c>
      <c r="BI898">
        <v>22</v>
      </c>
      <c r="BJ898" t="s">
        <v>823</v>
      </c>
      <c r="BK898" t="s">
        <v>102</v>
      </c>
      <c r="BL898" t="s">
        <v>824</v>
      </c>
      <c r="BM898" t="s">
        <v>16319</v>
      </c>
      <c r="BN898" t="s">
        <v>74</v>
      </c>
      <c r="BO898" t="s">
        <v>74</v>
      </c>
      <c r="BP898" t="s">
        <v>74</v>
      </c>
      <c r="BQ898" t="s">
        <v>74</v>
      </c>
      <c r="BR898" t="s">
        <v>105</v>
      </c>
      <c r="BS898" t="s">
        <v>16395</v>
      </c>
      <c r="BT898" t="str">
        <f>HYPERLINK("https%3A%2F%2Fwww.webofscience.com%2Fwos%2Fwoscc%2Ffull-record%2FWOS:000311918400012","View Full Record in Web of Science")</f>
        <v>View Full Record in Web of Science</v>
      </c>
    </row>
    <row r="899" spans="1:72" x14ac:dyDescent="0.15">
      <c r="A899" t="s">
        <v>72</v>
      </c>
      <c r="B899" t="s">
        <v>16396</v>
      </c>
      <c r="C899" t="s">
        <v>74</v>
      </c>
      <c r="D899" t="s">
        <v>74</v>
      </c>
      <c r="E899" t="s">
        <v>74</v>
      </c>
      <c r="F899" t="s">
        <v>16397</v>
      </c>
      <c r="G899" t="s">
        <v>74</v>
      </c>
      <c r="H899" t="s">
        <v>74</v>
      </c>
      <c r="I899" t="s">
        <v>16398</v>
      </c>
      <c r="J899" t="s">
        <v>803</v>
      </c>
      <c r="K899" t="s">
        <v>74</v>
      </c>
      <c r="L899" t="s">
        <v>74</v>
      </c>
      <c r="M899" t="s">
        <v>78</v>
      </c>
      <c r="N899" t="s">
        <v>79</v>
      </c>
      <c r="O899" t="s">
        <v>74</v>
      </c>
      <c r="P899" t="s">
        <v>74</v>
      </c>
      <c r="Q899" t="s">
        <v>74</v>
      </c>
      <c r="R899" t="s">
        <v>74</v>
      </c>
      <c r="S899" t="s">
        <v>74</v>
      </c>
      <c r="T899" t="s">
        <v>16399</v>
      </c>
      <c r="U899" t="s">
        <v>16400</v>
      </c>
      <c r="V899" t="s">
        <v>16401</v>
      </c>
      <c r="W899" t="s">
        <v>16402</v>
      </c>
      <c r="X899" t="s">
        <v>16403</v>
      </c>
      <c r="Y899" t="s">
        <v>16404</v>
      </c>
      <c r="Z899" t="s">
        <v>15048</v>
      </c>
      <c r="AA899" t="s">
        <v>16405</v>
      </c>
      <c r="AB899" t="s">
        <v>16151</v>
      </c>
      <c r="AC899" t="s">
        <v>16406</v>
      </c>
      <c r="AD899" t="s">
        <v>16407</v>
      </c>
      <c r="AE899" t="s">
        <v>16408</v>
      </c>
      <c r="AF899" t="s">
        <v>74</v>
      </c>
      <c r="AG899">
        <v>17</v>
      </c>
      <c r="AH899">
        <v>3</v>
      </c>
      <c r="AI899">
        <v>6</v>
      </c>
      <c r="AJ899">
        <v>0</v>
      </c>
      <c r="AK899">
        <v>16</v>
      </c>
      <c r="AL899" t="s">
        <v>816</v>
      </c>
      <c r="AM899" t="s">
        <v>296</v>
      </c>
      <c r="AN899" t="s">
        <v>817</v>
      </c>
      <c r="AO899" t="s">
        <v>818</v>
      </c>
      <c r="AP899" t="s">
        <v>819</v>
      </c>
      <c r="AQ899" t="s">
        <v>74</v>
      </c>
      <c r="AR899" t="s">
        <v>820</v>
      </c>
      <c r="AS899" t="s">
        <v>821</v>
      </c>
      <c r="AT899" t="s">
        <v>15707</v>
      </c>
      <c r="AU899">
        <v>2012</v>
      </c>
      <c r="AV899">
        <v>24</v>
      </c>
      <c r="AW899">
        <v>6</v>
      </c>
      <c r="AX899" t="s">
        <v>74</v>
      </c>
      <c r="AY899" t="s">
        <v>74</v>
      </c>
      <c r="AZ899" t="s">
        <v>74</v>
      </c>
      <c r="BA899" t="s">
        <v>74</v>
      </c>
      <c r="BB899">
        <v>665</v>
      </c>
      <c r="BC899">
        <v>671</v>
      </c>
      <c r="BD899" t="s">
        <v>74</v>
      </c>
      <c r="BE899" t="s">
        <v>16409</v>
      </c>
      <c r="BF899" t="str">
        <f>HYPERLINK("http://dx.doi.org/10.1017/S0954102012000326","http://dx.doi.org/10.1017/S0954102012000326")</f>
        <v>http://dx.doi.org/10.1017/S0954102012000326</v>
      </c>
      <c r="BG899" t="s">
        <v>74</v>
      </c>
      <c r="BH899" t="s">
        <v>74</v>
      </c>
      <c r="BI899">
        <v>7</v>
      </c>
      <c r="BJ899" t="s">
        <v>823</v>
      </c>
      <c r="BK899" t="s">
        <v>102</v>
      </c>
      <c r="BL899" t="s">
        <v>824</v>
      </c>
      <c r="BM899" t="s">
        <v>16319</v>
      </c>
      <c r="BN899" t="s">
        <v>74</v>
      </c>
      <c r="BO899" t="s">
        <v>74</v>
      </c>
      <c r="BP899" t="s">
        <v>74</v>
      </c>
      <c r="BQ899" t="s">
        <v>74</v>
      </c>
      <c r="BR899" t="s">
        <v>105</v>
      </c>
      <c r="BS899" t="s">
        <v>16410</v>
      </c>
      <c r="BT899" t="str">
        <f>HYPERLINK("https%3A%2F%2Fwww.webofscience.com%2Fwos%2Fwoscc%2Ffull-record%2FWOS:000311918400014","View Full Record in Web of Science")</f>
        <v>View Full Record in Web of Science</v>
      </c>
    </row>
    <row r="900" spans="1:72" x14ac:dyDescent="0.15">
      <c r="A900" t="s">
        <v>72</v>
      </c>
      <c r="B900" t="s">
        <v>16411</v>
      </c>
      <c r="C900" t="s">
        <v>74</v>
      </c>
      <c r="D900" t="s">
        <v>74</v>
      </c>
      <c r="E900" t="s">
        <v>74</v>
      </c>
      <c r="F900" t="s">
        <v>16412</v>
      </c>
      <c r="G900" t="s">
        <v>74</v>
      </c>
      <c r="H900" t="s">
        <v>74</v>
      </c>
      <c r="I900" t="s">
        <v>16413</v>
      </c>
      <c r="J900" t="s">
        <v>362</v>
      </c>
      <c r="K900" t="s">
        <v>74</v>
      </c>
      <c r="L900" t="s">
        <v>74</v>
      </c>
      <c r="M900" t="s">
        <v>78</v>
      </c>
      <c r="N900" t="s">
        <v>79</v>
      </c>
      <c r="O900" t="s">
        <v>74</v>
      </c>
      <c r="P900" t="s">
        <v>74</v>
      </c>
      <c r="Q900" t="s">
        <v>74</v>
      </c>
      <c r="R900" t="s">
        <v>74</v>
      </c>
      <c r="S900" t="s">
        <v>74</v>
      </c>
      <c r="T900" t="s">
        <v>16414</v>
      </c>
      <c r="U900" t="s">
        <v>16415</v>
      </c>
      <c r="V900" t="s">
        <v>16416</v>
      </c>
      <c r="W900" t="s">
        <v>16417</v>
      </c>
      <c r="X900" t="s">
        <v>5925</v>
      </c>
      <c r="Y900" t="s">
        <v>16418</v>
      </c>
      <c r="Z900" t="s">
        <v>16419</v>
      </c>
      <c r="AA900" t="s">
        <v>16358</v>
      </c>
      <c r="AB900" t="s">
        <v>16331</v>
      </c>
      <c r="AC900" t="s">
        <v>16420</v>
      </c>
      <c r="AD900" t="s">
        <v>16421</v>
      </c>
      <c r="AE900" t="s">
        <v>16422</v>
      </c>
      <c r="AF900" t="s">
        <v>74</v>
      </c>
      <c r="AG900">
        <v>53</v>
      </c>
      <c r="AH900">
        <v>6</v>
      </c>
      <c r="AI900">
        <v>6</v>
      </c>
      <c r="AJ900">
        <v>1</v>
      </c>
      <c r="AK900">
        <v>32</v>
      </c>
      <c r="AL900" t="s">
        <v>257</v>
      </c>
      <c r="AM900" t="s">
        <v>215</v>
      </c>
      <c r="AN900" t="s">
        <v>216</v>
      </c>
      <c r="AO900" t="s">
        <v>374</v>
      </c>
      <c r="AP900" t="s">
        <v>16423</v>
      </c>
      <c r="AQ900" t="s">
        <v>74</v>
      </c>
      <c r="AR900" t="s">
        <v>375</v>
      </c>
      <c r="AS900" t="s">
        <v>376</v>
      </c>
      <c r="AT900" t="s">
        <v>15707</v>
      </c>
      <c r="AU900">
        <v>2012</v>
      </c>
      <c r="AV900">
        <v>48</v>
      </c>
      <c r="AW900">
        <v>6</v>
      </c>
      <c r="AX900" t="s">
        <v>74</v>
      </c>
      <c r="AY900" t="s">
        <v>74</v>
      </c>
      <c r="AZ900" t="s">
        <v>74</v>
      </c>
      <c r="BA900" t="s">
        <v>74</v>
      </c>
      <c r="BB900">
        <v>1403</v>
      </c>
      <c r="BC900">
        <v>1410</v>
      </c>
      <c r="BD900" t="s">
        <v>74</v>
      </c>
      <c r="BE900" t="s">
        <v>16424</v>
      </c>
      <c r="BF900" t="str">
        <f>HYPERLINK("http://dx.doi.org/10.1111/j.1529-8817.2012.01221.x","http://dx.doi.org/10.1111/j.1529-8817.2012.01221.x")</f>
        <v>http://dx.doi.org/10.1111/j.1529-8817.2012.01221.x</v>
      </c>
      <c r="BG900" t="s">
        <v>74</v>
      </c>
      <c r="BH900" t="s">
        <v>74</v>
      </c>
      <c r="BI900">
        <v>8</v>
      </c>
      <c r="BJ900" t="s">
        <v>378</v>
      </c>
      <c r="BK900" t="s">
        <v>102</v>
      </c>
      <c r="BL900" t="s">
        <v>378</v>
      </c>
      <c r="BM900" t="s">
        <v>16425</v>
      </c>
      <c r="BN900">
        <v>27009991</v>
      </c>
      <c r="BO900" t="s">
        <v>74</v>
      </c>
      <c r="BP900" t="s">
        <v>74</v>
      </c>
      <c r="BQ900" t="s">
        <v>74</v>
      </c>
      <c r="BR900" t="s">
        <v>105</v>
      </c>
      <c r="BS900" t="s">
        <v>16426</v>
      </c>
      <c r="BT900" t="str">
        <f>HYPERLINK("https%3A%2F%2Fwww.webofscience.com%2Fwos%2Fwoscc%2Ffull-record%2FWOS:000312459900012","View Full Record in Web of Science")</f>
        <v>View Full Record in Web of Science</v>
      </c>
    </row>
    <row r="901" spans="1:72" x14ac:dyDescent="0.15">
      <c r="A901" t="s">
        <v>72</v>
      </c>
      <c r="B901" t="s">
        <v>16427</v>
      </c>
      <c r="C901" t="s">
        <v>74</v>
      </c>
      <c r="D901" t="s">
        <v>74</v>
      </c>
      <c r="E901" t="s">
        <v>74</v>
      </c>
      <c r="F901" t="s">
        <v>16428</v>
      </c>
      <c r="G901" t="s">
        <v>74</v>
      </c>
      <c r="H901" t="s">
        <v>74</v>
      </c>
      <c r="I901" t="s">
        <v>16429</v>
      </c>
      <c r="J901" t="s">
        <v>16430</v>
      </c>
      <c r="K901" t="s">
        <v>74</v>
      </c>
      <c r="L901" t="s">
        <v>74</v>
      </c>
      <c r="M901" t="s">
        <v>78</v>
      </c>
      <c r="N901" t="s">
        <v>79</v>
      </c>
      <c r="O901" t="s">
        <v>74</v>
      </c>
      <c r="P901" t="s">
        <v>74</v>
      </c>
      <c r="Q901" t="s">
        <v>74</v>
      </c>
      <c r="R901" t="s">
        <v>74</v>
      </c>
      <c r="S901" t="s">
        <v>74</v>
      </c>
      <c r="T901" t="s">
        <v>74</v>
      </c>
      <c r="U901" t="s">
        <v>16431</v>
      </c>
      <c r="V901" t="s">
        <v>16432</v>
      </c>
      <c r="W901" t="s">
        <v>16433</v>
      </c>
      <c r="X901" t="s">
        <v>16434</v>
      </c>
      <c r="Y901" t="s">
        <v>16435</v>
      </c>
      <c r="Z901" t="s">
        <v>16436</v>
      </c>
      <c r="AA901" t="s">
        <v>74</v>
      </c>
      <c r="AB901" t="s">
        <v>74</v>
      </c>
      <c r="AC901" t="s">
        <v>16437</v>
      </c>
      <c r="AD901" t="s">
        <v>16438</v>
      </c>
      <c r="AE901" t="s">
        <v>16439</v>
      </c>
      <c r="AF901" t="s">
        <v>74</v>
      </c>
      <c r="AG901">
        <v>21</v>
      </c>
      <c r="AH901">
        <v>2</v>
      </c>
      <c r="AI901">
        <v>2</v>
      </c>
      <c r="AJ901">
        <v>0</v>
      </c>
      <c r="AK901">
        <v>4</v>
      </c>
      <c r="AL901" t="s">
        <v>91</v>
      </c>
      <c r="AM901" t="s">
        <v>92</v>
      </c>
      <c r="AN901" t="s">
        <v>93</v>
      </c>
      <c r="AO901" t="s">
        <v>16440</v>
      </c>
      <c r="AP901" t="s">
        <v>16441</v>
      </c>
      <c r="AQ901" t="s">
        <v>74</v>
      </c>
      <c r="AR901" t="s">
        <v>16442</v>
      </c>
      <c r="AS901" t="s">
        <v>16443</v>
      </c>
      <c r="AT901" t="s">
        <v>15707</v>
      </c>
      <c r="AU901">
        <v>2012</v>
      </c>
      <c r="AV901">
        <v>69</v>
      </c>
      <c r="AW901">
        <v>12</v>
      </c>
      <c r="AX901" t="s">
        <v>74</v>
      </c>
      <c r="AY901" t="s">
        <v>74</v>
      </c>
      <c r="AZ901" t="s">
        <v>74</v>
      </c>
      <c r="BA901" t="s">
        <v>74</v>
      </c>
      <c r="BB901">
        <v>3800</v>
      </c>
      <c r="BC901">
        <v>3811</v>
      </c>
      <c r="BD901" t="s">
        <v>74</v>
      </c>
      <c r="BE901" t="s">
        <v>16444</v>
      </c>
      <c r="BF901" t="str">
        <f>HYPERLINK("http://dx.doi.org/10.1175/JAS-D-11-0305.1","http://dx.doi.org/10.1175/JAS-D-11-0305.1")</f>
        <v>http://dx.doi.org/10.1175/JAS-D-11-0305.1</v>
      </c>
      <c r="BG901" t="s">
        <v>74</v>
      </c>
      <c r="BH901" t="s">
        <v>74</v>
      </c>
      <c r="BI901">
        <v>12</v>
      </c>
      <c r="BJ901" t="s">
        <v>101</v>
      </c>
      <c r="BK901" t="s">
        <v>102</v>
      </c>
      <c r="BL901" t="s">
        <v>101</v>
      </c>
      <c r="BM901" t="s">
        <v>16445</v>
      </c>
      <c r="BN901" t="s">
        <v>74</v>
      </c>
      <c r="BO901" t="s">
        <v>104</v>
      </c>
      <c r="BP901" t="s">
        <v>74</v>
      </c>
      <c r="BQ901" t="s">
        <v>74</v>
      </c>
      <c r="BR901" t="s">
        <v>105</v>
      </c>
      <c r="BS901" t="s">
        <v>16446</v>
      </c>
      <c r="BT901" t="str">
        <f>HYPERLINK("https%3A%2F%2Fwww.webofscience.com%2Fwos%2Fwoscc%2Ffull-record%2FWOS:000312430200022","View Full Record in Web of Science")</f>
        <v>View Full Record in Web of Science</v>
      </c>
    </row>
    <row r="902" spans="1:72" x14ac:dyDescent="0.15">
      <c r="A902" t="s">
        <v>72</v>
      </c>
      <c r="B902" t="s">
        <v>16447</v>
      </c>
      <c r="C902" t="s">
        <v>74</v>
      </c>
      <c r="D902" t="s">
        <v>74</v>
      </c>
      <c r="E902" t="s">
        <v>74</v>
      </c>
      <c r="F902" t="s">
        <v>16448</v>
      </c>
      <c r="G902" t="s">
        <v>74</v>
      </c>
      <c r="H902" t="s">
        <v>74</v>
      </c>
      <c r="I902" t="s">
        <v>16449</v>
      </c>
      <c r="J902" t="s">
        <v>16450</v>
      </c>
      <c r="K902" t="s">
        <v>74</v>
      </c>
      <c r="L902" t="s">
        <v>74</v>
      </c>
      <c r="M902" t="s">
        <v>78</v>
      </c>
      <c r="N902" t="s">
        <v>79</v>
      </c>
      <c r="O902" t="s">
        <v>74</v>
      </c>
      <c r="P902" t="s">
        <v>74</v>
      </c>
      <c r="Q902" t="s">
        <v>74</v>
      </c>
      <c r="R902" t="s">
        <v>74</v>
      </c>
      <c r="S902" t="s">
        <v>74</v>
      </c>
      <c r="T902" t="s">
        <v>16451</v>
      </c>
      <c r="U902" t="s">
        <v>16452</v>
      </c>
      <c r="V902" t="s">
        <v>16453</v>
      </c>
      <c r="W902" t="s">
        <v>16454</v>
      </c>
      <c r="X902" t="s">
        <v>16455</v>
      </c>
      <c r="Y902" t="s">
        <v>3281</v>
      </c>
      <c r="Z902" t="s">
        <v>16456</v>
      </c>
      <c r="AA902" t="s">
        <v>74</v>
      </c>
      <c r="AB902" t="s">
        <v>74</v>
      </c>
      <c r="AC902" t="s">
        <v>16457</v>
      </c>
      <c r="AD902" t="s">
        <v>16458</v>
      </c>
      <c r="AE902" t="s">
        <v>16459</v>
      </c>
      <c r="AF902" t="s">
        <v>74</v>
      </c>
      <c r="AG902">
        <v>42</v>
      </c>
      <c r="AH902">
        <v>2</v>
      </c>
      <c r="AI902">
        <v>2</v>
      </c>
      <c r="AJ902">
        <v>0</v>
      </c>
      <c r="AK902">
        <v>4</v>
      </c>
      <c r="AL902" t="s">
        <v>1343</v>
      </c>
      <c r="AM902" t="s">
        <v>1344</v>
      </c>
      <c r="AN902" t="s">
        <v>1345</v>
      </c>
      <c r="AO902" t="s">
        <v>16460</v>
      </c>
      <c r="AP902" t="s">
        <v>16461</v>
      </c>
      <c r="AQ902" t="s">
        <v>74</v>
      </c>
      <c r="AR902" t="s">
        <v>16462</v>
      </c>
      <c r="AS902" t="s">
        <v>16463</v>
      </c>
      <c r="AT902" t="s">
        <v>15707</v>
      </c>
      <c r="AU902">
        <v>2012</v>
      </c>
      <c r="AV902">
        <v>39</v>
      </c>
      <c r="AW902">
        <v>4</v>
      </c>
      <c r="AX902" t="s">
        <v>74</v>
      </c>
      <c r="AY902" t="s">
        <v>74</v>
      </c>
      <c r="AZ902" t="s">
        <v>74</v>
      </c>
      <c r="BA902" t="s">
        <v>74</v>
      </c>
      <c r="BB902">
        <v>265</v>
      </c>
      <c r="BC902">
        <v>290</v>
      </c>
      <c r="BD902" t="s">
        <v>74</v>
      </c>
      <c r="BE902" t="s">
        <v>16464</v>
      </c>
      <c r="BF902" t="str">
        <f>HYPERLINK("http://dx.doi.org/10.1080/03014223.2011.648200","http://dx.doi.org/10.1080/03014223.2011.648200")</f>
        <v>http://dx.doi.org/10.1080/03014223.2011.648200</v>
      </c>
      <c r="BG902" t="s">
        <v>74</v>
      </c>
      <c r="BH902" t="s">
        <v>74</v>
      </c>
      <c r="BI902">
        <v>26</v>
      </c>
      <c r="BJ902" t="s">
        <v>3023</v>
      </c>
      <c r="BK902" t="s">
        <v>102</v>
      </c>
      <c r="BL902" t="s">
        <v>3023</v>
      </c>
      <c r="BM902" t="s">
        <v>16465</v>
      </c>
      <c r="BN902" t="s">
        <v>74</v>
      </c>
      <c r="BO902" t="s">
        <v>128</v>
      </c>
      <c r="BP902" t="s">
        <v>74</v>
      </c>
      <c r="BQ902" t="s">
        <v>74</v>
      </c>
      <c r="BR902" t="s">
        <v>105</v>
      </c>
      <c r="BS902" t="s">
        <v>16466</v>
      </c>
      <c r="BT902" t="str">
        <f>HYPERLINK("https%3A%2F%2Fwww.webofscience.com%2Fwos%2Fwoscc%2Ffull-record%2FWOS:000312481500002","View Full Record in Web of Science")</f>
        <v>View Full Record in Web of Science</v>
      </c>
    </row>
    <row r="903" spans="1:72" x14ac:dyDescent="0.15">
      <c r="A903" t="s">
        <v>72</v>
      </c>
      <c r="B903" t="s">
        <v>16467</v>
      </c>
      <c r="C903" t="s">
        <v>74</v>
      </c>
      <c r="D903" t="s">
        <v>74</v>
      </c>
      <c r="E903" t="s">
        <v>74</v>
      </c>
      <c r="F903" t="s">
        <v>16468</v>
      </c>
      <c r="G903" t="s">
        <v>74</v>
      </c>
      <c r="H903" t="s">
        <v>74</v>
      </c>
      <c r="I903" t="s">
        <v>16469</v>
      </c>
      <c r="J903" t="s">
        <v>16470</v>
      </c>
      <c r="K903" t="s">
        <v>74</v>
      </c>
      <c r="L903" t="s">
        <v>74</v>
      </c>
      <c r="M903" t="s">
        <v>78</v>
      </c>
      <c r="N903" t="s">
        <v>1120</v>
      </c>
      <c r="O903" t="s">
        <v>74</v>
      </c>
      <c r="P903" t="s">
        <v>74</v>
      </c>
      <c r="Q903" t="s">
        <v>74</v>
      </c>
      <c r="R903" t="s">
        <v>74</v>
      </c>
      <c r="S903" t="s">
        <v>74</v>
      </c>
      <c r="T903" t="s">
        <v>16471</v>
      </c>
      <c r="U903" t="s">
        <v>16472</v>
      </c>
      <c r="V903" t="s">
        <v>16473</v>
      </c>
      <c r="W903" t="s">
        <v>16474</v>
      </c>
      <c r="X903" t="s">
        <v>16475</v>
      </c>
      <c r="Y903" t="s">
        <v>16476</v>
      </c>
      <c r="Z903" t="s">
        <v>16477</v>
      </c>
      <c r="AA903" t="s">
        <v>16478</v>
      </c>
      <c r="AB903" t="s">
        <v>16479</v>
      </c>
      <c r="AC903" t="s">
        <v>74</v>
      </c>
      <c r="AD903" t="s">
        <v>74</v>
      </c>
      <c r="AE903" t="s">
        <v>74</v>
      </c>
      <c r="AF903" t="s">
        <v>74</v>
      </c>
      <c r="AG903">
        <v>56</v>
      </c>
      <c r="AH903">
        <v>13</v>
      </c>
      <c r="AI903">
        <v>17</v>
      </c>
      <c r="AJ903">
        <v>1</v>
      </c>
      <c r="AK903">
        <v>19</v>
      </c>
      <c r="AL903" t="s">
        <v>541</v>
      </c>
      <c r="AM903" t="s">
        <v>542</v>
      </c>
      <c r="AN903" t="s">
        <v>543</v>
      </c>
      <c r="AO903" t="s">
        <v>16480</v>
      </c>
      <c r="AP903" t="s">
        <v>74</v>
      </c>
      <c r="AQ903" t="s">
        <v>74</v>
      </c>
      <c r="AR903" t="s">
        <v>16481</v>
      </c>
      <c r="AS903" t="s">
        <v>16482</v>
      </c>
      <c r="AT903" t="s">
        <v>15925</v>
      </c>
      <c r="AU903">
        <v>2012</v>
      </c>
      <c r="AV903">
        <v>184</v>
      </c>
      <c r="AW903">
        <v>3</v>
      </c>
      <c r="AX903" t="s">
        <v>74</v>
      </c>
      <c r="AY903" t="s">
        <v>74</v>
      </c>
      <c r="AZ903" t="s">
        <v>221</v>
      </c>
      <c r="BA903" t="s">
        <v>74</v>
      </c>
      <c r="BB903">
        <v>340</v>
      </c>
      <c r="BC903">
        <v>346</v>
      </c>
      <c r="BD903" t="s">
        <v>74</v>
      </c>
      <c r="BE903" t="s">
        <v>16483</v>
      </c>
      <c r="BF903" t="str">
        <f>HYPERLINK("http://dx.doi.org/10.1016/j.resp.2012.05.014","http://dx.doi.org/10.1016/j.resp.2012.05.014")</f>
        <v>http://dx.doi.org/10.1016/j.resp.2012.05.014</v>
      </c>
      <c r="BG903" t="s">
        <v>74</v>
      </c>
      <c r="BH903" t="s">
        <v>74</v>
      </c>
      <c r="BI903">
        <v>7</v>
      </c>
      <c r="BJ903" t="s">
        <v>16484</v>
      </c>
      <c r="BK903" t="s">
        <v>102</v>
      </c>
      <c r="BL903" t="s">
        <v>16484</v>
      </c>
      <c r="BM903" t="s">
        <v>16485</v>
      </c>
      <c r="BN903">
        <v>22652438</v>
      </c>
      <c r="BO903" t="s">
        <v>74</v>
      </c>
      <c r="BP903" t="s">
        <v>74</v>
      </c>
      <c r="BQ903" t="s">
        <v>74</v>
      </c>
      <c r="BR903" t="s">
        <v>105</v>
      </c>
      <c r="BS903" t="s">
        <v>16486</v>
      </c>
      <c r="BT903" t="str">
        <f>HYPERLINK("https%3A%2F%2Fwww.webofscience.com%2Fwos%2Fwoscc%2Ffull-record%2FWOS:000312428600015","View Full Record in Web of Science")</f>
        <v>View Full Record in Web of Science</v>
      </c>
    </row>
    <row r="904" spans="1:72" x14ac:dyDescent="0.15">
      <c r="A904" t="s">
        <v>72</v>
      </c>
      <c r="B904" t="s">
        <v>16487</v>
      </c>
      <c r="C904" t="s">
        <v>74</v>
      </c>
      <c r="D904" t="s">
        <v>74</v>
      </c>
      <c r="E904" t="s">
        <v>74</v>
      </c>
      <c r="F904" t="s">
        <v>16488</v>
      </c>
      <c r="G904" t="s">
        <v>74</v>
      </c>
      <c r="H904" t="s">
        <v>74</v>
      </c>
      <c r="I904" t="s">
        <v>16489</v>
      </c>
      <c r="J904" t="s">
        <v>178</v>
      </c>
      <c r="K904" t="s">
        <v>74</v>
      </c>
      <c r="L904" t="s">
        <v>74</v>
      </c>
      <c r="M904" t="s">
        <v>78</v>
      </c>
      <c r="N904" t="s">
        <v>79</v>
      </c>
      <c r="O904" t="s">
        <v>74</v>
      </c>
      <c r="P904" t="s">
        <v>74</v>
      </c>
      <c r="Q904" t="s">
        <v>74</v>
      </c>
      <c r="R904" t="s">
        <v>74</v>
      </c>
      <c r="S904" t="s">
        <v>74</v>
      </c>
      <c r="T904" t="s">
        <v>74</v>
      </c>
      <c r="U904" t="s">
        <v>16490</v>
      </c>
      <c r="V904" t="s">
        <v>16491</v>
      </c>
      <c r="W904" t="s">
        <v>16492</v>
      </c>
      <c r="X904" t="s">
        <v>16493</v>
      </c>
      <c r="Y904" t="s">
        <v>16494</v>
      </c>
      <c r="Z904" t="s">
        <v>16495</v>
      </c>
      <c r="AA904" t="s">
        <v>16496</v>
      </c>
      <c r="AB904" t="s">
        <v>16497</v>
      </c>
      <c r="AC904" t="s">
        <v>16498</v>
      </c>
      <c r="AD904" t="s">
        <v>16499</v>
      </c>
      <c r="AE904" t="s">
        <v>16500</v>
      </c>
      <c r="AF904" t="s">
        <v>74</v>
      </c>
      <c r="AG904">
        <v>18</v>
      </c>
      <c r="AH904">
        <v>91</v>
      </c>
      <c r="AI904">
        <v>100</v>
      </c>
      <c r="AJ904">
        <v>0</v>
      </c>
      <c r="AK904">
        <v>44</v>
      </c>
      <c r="AL904" t="s">
        <v>91</v>
      </c>
      <c r="AM904" t="s">
        <v>92</v>
      </c>
      <c r="AN904" t="s">
        <v>9184</v>
      </c>
      <c r="AO904" t="s">
        <v>190</v>
      </c>
      <c r="AP904" t="s">
        <v>191</v>
      </c>
      <c r="AQ904" t="s">
        <v>74</v>
      </c>
      <c r="AR904" t="s">
        <v>192</v>
      </c>
      <c r="AS904" t="s">
        <v>193</v>
      </c>
      <c r="AT904" t="s">
        <v>15707</v>
      </c>
      <c r="AU904">
        <v>2012</v>
      </c>
      <c r="AV904">
        <v>25</v>
      </c>
      <c r="AW904">
        <v>23</v>
      </c>
      <c r="AX904" t="s">
        <v>74</v>
      </c>
      <c r="AY904" t="s">
        <v>74</v>
      </c>
      <c r="AZ904" t="s">
        <v>74</v>
      </c>
      <c r="BA904" t="s">
        <v>74</v>
      </c>
      <c r="BB904">
        <v>8362</v>
      </c>
      <c r="BC904">
        <v>8370</v>
      </c>
      <c r="BD904" t="s">
        <v>74</v>
      </c>
      <c r="BE904" t="s">
        <v>16501</v>
      </c>
      <c r="BF904" t="str">
        <f>HYPERLINK("http://dx.doi.org/10.1175/JCLI-D-12-00266.1","http://dx.doi.org/10.1175/JCLI-D-12-00266.1")</f>
        <v>http://dx.doi.org/10.1175/JCLI-D-12-00266.1</v>
      </c>
      <c r="BG904" t="s">
        <v>74</v>
      </c>
      <c r="BH904" t="s">
        <v>74</v>
      </c>
      <c r="BI904">
        <v>9</v>
      </c>
      <c r="BJ904" t="s">
        <v>101</v>
      </c>
      <c r="BK904" t="s">
        <v>102</v>
      </c>
      <c r="BL904" t="s">
        <v>101</v>
      </c>
      <c r="BM904" t="s">
        <v>16502</v>
      </c>
      <c r="BN904" t="s">
        <v>74</v>
      </c>
      <c r="BO904" t="s">
        <v>104</v>
      </c>
      <c r="BP904" t="s">
        <v>74</v>
      </c>
      <c r="BQ904" t="s">
        <v>74</v>
      </c>
      <c r="BR904" t="s">
        <v>105</v>
      </c>
      <c r="BS904" t="s">
        <v>16503</v>
      </c>
      <c r="BT904" t="str">
        <f>HYPERLINK("https%3A%2F%2Fwww.webofscience.com%2Fwos%2Fwoscc%2Ffull-record%2FWOS:000312107300021","View Full Record in Web of Science")</f>
        <v>View Full Record in Web of Science</v>
      </c>
    </row>
    <row r="905" spans="1:72" x14ac:dyDescent="0.15">
      <c r="A905" t="s">
        <v>72</v>
      </c>
      <c r="B905" t="s">
        <v>16504</v>
      </c>
      <c r="C905" t="s">
        <v>74</v>
      </c>
      <c r="D905" t="s">
        <v>74</v>
      </c>
      <c r="E905" t="s">
        <v>74</v>
      </c>
      <c r="F905" t="s">
        <v>16505</v>
      </c>
      <c r="G905" t="s">
        <v>74</v>
      </c>
      <c r="H905" t="s">
        <v>74</v>
      </c>
      <c r="I905" t="s">
        <v>16506</v>
      </c>
      <c r="J905" t="s">
        <v>1724</v>
      </c>
      <c r="K905" t="s">
        <v>74</v>
      </c>
      <c r="L905" t="s">
        <v>74</v>
      </c>
      <c r="M905" t="s">
        <v>78</v>
      </c>
      <c r="N905" t="s">
        <v>79</v>
      </c>
      <c r="O905" t="s">
        <v>74</v>
      </c>
      <c r="P905" t="s">
        <v>74</v>
      </c>
      <c r="Q905" t="s">
        <v>74</v>
      </c>
      <c r="R905" t="s">
        <v>74</v>
      </c>
      <c r="S905" t="s">
        <v>74</v>
      </c>
      <c r="T905" t="s">
        <v>74</v>
      </c>
      <c r="U905" t="s">
        <v>16507</v>
      </c>
      <c r="V905" t="s">
        <v>16508</v>
      </c>
      <c r="W905" t="s">
        <v>16509</v>
      </c>
      <c r="X905" t="s">
        <v>16510</v>
      </c>
      <c r="Y905" t="s">
        <v>16511</v>
      </c>
      <c r="Z905" t="s">
        <v>74</v>
      </c>
      <c r="AA905" t="s">
        <v>16512</v>
      </c>
      <c r="AB905" t="s">
        <v>16513</v>
      </c>
      <c r="AC905" t="s">
        <v>16514</v>
      </c>
      <c r="AD905" t="s">
        <v>16515</v>
      </c>
      <c r="AE905" t="s">
        <v>16516</v>
      </c>
      <c r="AF905" t="s">
        <v>74</v>
      </c>
      <c r="AG905">
        <v>31</v>
      </c>
      <c r="AH905">
        <v>49</v>
      </c>
      <c r="AI905">
        <v>56</v>
      </c>
      <c r="AJ905">
        <v>4</v>
      </c>
      <c r="AK905">
        <v>111</v>
      </c>
      <c r="AL905" t="s">
        <v>1735</v>
      </c>
      <c r="AM905" t="s">
        <v>1321</v>
      </c>
      <c r="AN905" t="s">
        <v>1736</v>
      </c>
      <c r="AO905" t="s">
        <v>1737</v>
      </c>
      <c r="AP905" t="s">
        <v>1738</v>
      </c>
      <c r="AQ905" t="s">
        <v>74</v>
      </c>
      <c r="AR905" t="s">
        <v>1724</v>
      </c>
      <c r="AS905" t="s">
        <v>1605</v>
      </c>
      <c r="AT905" t="s">
        <v>15707</v>
      </c>
      <c r="AU905">
        <v>2012</v>
      </c>
      <c r="AV905">
        <v>40</v>
      </c>
      <c r="AW905">
        <v>12</v>
      </c>
      <c r="AX905" t="s">
        <v>74</v>
      </c>
      <c r="AY905" t="s">
        <v>74</v>
      </c>
      <c r="AZ905" t="s">
        <v>74</v>
      </c>
      <c r="BA905" t="s">
        <v>74</v>
      </c>
      <c r="BB905">
        <v>1075</v>
      </c>
      <c r="BC905">
        <v>1078</v>
      </c>
      <c r="BD905" t="s">
        <v>74</v>
      </c>
      <c r="BE905" t="s">
        <v>16517</v>
      </c>
      <c r="BF905" t="str">
        <f>HYPERLINK("http://dx.doi.org/10.1130/G33265.1","http://dx.doi.org/10.1130/G33265.1")</f>
        <v>http://dx.doi.org/10.1130/G33265.1</v>
      </c>
      <c r="BG905" t="s">
        <v>74</v>
      </c>
      <c r="BH905" t="s">
        <v>74</v>
      </c>
      <c r="BI905">
        <v>4</v>
      </c>
      <c r="BJ905" t="s">
        <v>1605</v>
      </c>
      <c r="BK905" t="s">
        <v>102</v>
      </c>
      <c r="BL905" t="s">
        <v>1605</v>
      </c>
      <c r="BM905" t="s">
        <v>16518</v>
      </c>
      <c r="BN905" t="s">
        <v>74</v>
      </c>
      <c r="BO905" t="s">
        <v>429</v>
      </c>
      <c r="BP905" t="s">
        <v>74</v>
      </c>
      <c r="BQ905" t="s">
        <v>74</v>
      </c>
      <c r="BR905" t="s">
        <v>105</v>
      </c>
      <c r="BS905" t="s">
        <v>16519</v>
      </c>
      <c r="BT905" t="str">
        <f>HYPERLINK("https%3A%2F%2Fwww.webofscience.com%2Fwos%2Fwoscc%2Ffull-record%2FWOS:000311739700009","View Full Record in Web of Science")</f>
        <v>View Full Record in Web of Science</v>
      </c>
    </row>
    <row r="906" spans="1:72" x14ac:dyDescent="0.15">
      <c r="A906" t="s">
        <v>72</v>
      </c>
      <c r="B906" t="s">
        <v>16520</v>
      </c>
      <c r="C906" t="s">
        <v>74</v>
      </c>
      <c r="D906" t="s">
        <v>74</v>
      </c>
      <c r="E906" t="s">
        <v>74</v>
      </c>
      <c r="F906" t="s">
        <v>16521</v>
      </c>
      <c r="G906" t="s">
        <v>74</v>
      </c>
      <c r="H906" t="s">
        <v>74</v>
      </c>
      <c r="I906" t="s">
        <v>16522</v>
      </c>
      <c r="J906" t="s">
        <v>12532</v>
      </c>
      <c r="K906" t="s">
        <v>74</v>
      </c>
      <c r="L906" t="s">
        <v>74</v>
      </c>
      <c r="M906" t="s">
        <v>78</v>
      </c>
      <c r="N906" t="s">
        <v>79</v>
      </c>
      <c r="O906" t="s">
        <v>74</v>
      </c>
      <c r="P906" t="s">
        <v>74</v>
      </c>
      <c r="Q906" t="s">
        <v>74</v>
      </c>
      <c r="R906" t="s">
        <v>74</v>
      </c>
      <c r="S906" t="s">
        <v>74</v>
      </c>
      <c r="T906" t="s">
        <v>74</v>
      </c>
      <c r="U906" t="s">
        <v>16523</v>
      </c>
      <c r="V906" t="s">
        <v>16524</v>
      </c>
      <c r="W906" t="s">
        <v>16525</v>
      </c>
      <c r="X906" t="s">
        <v>16526</v>
      </c>
      <c r="Y906" t="s">
        <v>16527</v>
      </c>
      <c r="Z906" t="s">
        <v>10054</v>
      </c>
      <c r="AA906" t="s">
        <v>16528</v>
      </c>
      <c r="AB906" t="s">
        <v>16529</v>
      </c>
      <c r="AC906" t="s">
        <v>16530</v>
      </c>
      <c r="AD906" t="s">
        <v>16531</v>
      </c>
      <c r="AE906" t="s">
        <v>16532</v>
      </c>
      <c r="AF906" t="s">
        <v>74</v>
      </c>
      <c r="AG906">
        <v>17</v>
      </c>
      <c r="AH906">
        <v>4</v>
      </c>
      <c r="AI906">
        <v>4</v>
      </c>
      <c r="AJ906">
        <v>0</v>
      </c>
      <c r="AK906">
        <v>6</v>
      </c>
      <c r="AL906" t="s">
        <v>295</v>
      </c>
      <c r="AM906" t="s">
        <v>296</v>
      </c>
      <c r="AN906" t="s">
        <v>297</v>
      </c>
      <c r="AO906" t="s">
        <v>12541</v>
      </c>
      <c r="AP906" t="s">
        <v>74</v>
      </c>
      <c r="AQ906" t="s">
        <v>74</v>
      </c>
      <c r="AR906" t="s">
        <v>12543</v>
      </c>
      <c r="AS906" t="s">
        <v>12544</v>
      </c>
      <c r="AT906" t="s">
        <v>15707</v>
      </c>
      <c r="AU906">
        <v>2012</v>
      </c>
      <c r="AV906">
        <v>52</v>
      </c>
      <c r="AW906">
        <v>7</v>
      </c>
      <c r="AX906" t="s">
        <v>74</v>
      </c>
      <c r="AY906" t="s">
        <v>74</v>
      </c>
      <c r="AZ906" t="s">
        <v>74</v>
      </c>
      <c r="BA906" t="s">
        <v>74</v>
      </c>
      <c r="BB906">
        <v>937</v>
      </c>
      <c r="BC906">
        <v>943</v>
      </c>
      <c r="BD906" t="s">
        <v>74</v>
      </c>
      <c r="BE906" t="s">
        <v>16533</v>
      </c>
      <c r="BF906" t="str">
        <f>HYPERLINK("http://dx.doi.org/10.1134/S0016793212070201","http://dx.doi.org/10.1134/S0016793212070201")</f>
        <v>http://dx.doi.org/10.1134/S0016793212070201</v>
      </c>
      <c r="BG906" t="s">
        <v>74</v>
      </c>
      <c r="BH906" t="s">
        <v>74</v>
      </c>
      <c r="BI906">
        <v>7</v>
      </c>
      <c r="BJ906" t="s">
        <v>263</v>
      </c>
      <c r="BK906" t="s">
        <v>102</v>
      </c>
      <c r="BL906" t="s">
        <v>263</v>
      </c>
      <c r="BM906" t="s">
        <v>16534</v>
      </c>
      <c r="BN906" t="s">
        <v>74</v>
      </c>
      <c r="BO906" t="s">
        <v>74</v>
      </c>
      <c r="BP906" t="s">
        <v>74</v>
      </c>
      <c r="BQ906" t="s">
        <v>74</v>
      </c>
      <c r="BR906" t="s">
        <v>105</v>
      </c>
      <c r="BS906" t="s">
        <v>16535</v>
      </c>
      <c r="BT906" t="str">
        <f>HYPERLINK("https%3A%2F%2Fwww.webofscience.com%2Fwos%2Fwoscc%2Ffull-record%2FWOS:000312061700018","View Full Record in Web of Science")</f>
        <v>View Full Record in Web of Science</v>
      </c>
    </row>
    <row r="907" spans="1:72" x14ac:dyDescent="0.15">
      <c r="A907" t="s">
        <v>72</v>
      </c>
      <c r="B907" t="s">
        <v>16536</v>
      </c>
      <c r="C907" t="s">
        <v>74</v>
      </c>
      <c r="D907" t="s">
        <v>74</v>
      </c>
      <c r="E907" t="s">
        <v>74</v>
      </c>
      <c r="F907" t="s">
        <v>16537</v>
      </c>
      <c r="G907" t="s">
        <v>74</v>
      </c>
      <c r="H907" t="s">
        <v>74</v>
      </c>
      <c r="I907" t="s">
        <v>16538</v>
      </c>
      <c r="J907" t="s">
        <v>16539</v>
      </c>
      <c r="K907" t="s">
        <v>74</v>
      </c>
      <c r="L907" t="s">
        <v>74</v>
      </c>
      <c r="M907" t="s">
        <v>78</v>
      </c>
      <c r="N907" t="s">
        <v>14559</v>
      </c>
      <c r="O907" t="s">
        <v>74</v>
      </c>
      <c r="P907" t="s">
        <v>74</v>
      </c>
      <c r="Q907" t="s">
        <v>74</v>
      </c>
      <c r="R907" t="s">
        <v>74</v>
      </c>
      <c r="S907" t="s">
        <v>74</v>
      </c>
      <c r="T907" t="s">
        <v>74</v>
      </c>
      <c r="U907" t="s">
        <v>74</v>
      </c>
      <c r="V907" t="s">
        <v>74</v>
      </c>
      <c r="W907" t="s">
        <v>16540</v>
      </c>
      <c r="X907" t="s">
        <v>16541</v>
      </c>
      <c r="Y907" t="s">
        <v>16542</v>
      </c>
      <c r="Z907" t="s">
        <v>74</v>
      </c>
      <c r="AA907" t="s">
        <v>74</v>
      </c>
      <c r="AB907" t="s">
        <v>74</v>
      </c>
      <c r="AC907" t="s">
        <v>74</v>
      </c>
      <c r="AD907" t="s">
        <v>74</v>
      </c>
      <c r="AE907" t="s">
        <v>74</v>
      </c>
      <c r="AF907" t="s">
        <v>74</v>
      </c>
      <c r="AG907">
        <v>1</v>
      </c>
      <c r="AH907">
        <v>0</v>
      </c>
      <c r="AI907">
        <v>0</v>
      </c>
      <c r="AJ907">
        <v>0</v>
      </c>
      <c r="AK907">
        <v>0</v>
      </c>
      <c r="AL907" t="s">
        <v>420</v>
      </c>
      <c r="AM907" t="s">
        <v>421</v>
      </c>
      <c r="AN907" t="s">
        <v>422</v>
      </c>
      <c r="AO907" t="s">
        <v>16543</v>
      </c>
      <c r="AP907" t="s">
        <v>74</v>
      </c>
      <c r="AQ907" t="s">
        <v>74</v>
      </c>
      <c r="AR907" t="s">
        <v>16544</v>
      </c>
      <c r="AS907" t="s">
        <v>16545</v>
      </c>
      <c r="AT907" t="s">
        <v>16546</v>
      </c>
      <c r="AU907">
        <v>2012</v>
      </c>
      <c r="AV907">
        <v>65</v>
      </c>
      <c r="AW907">
        <v>4</v>
      </c>
      <c r="AX907" t="s">
        <v>74</v>
      </c>
      <c r="AY907" t="s">
        <v>74</v>
      </c>
      <c r="AZ907" t="s">
        <v>74</v>
      </c>
      <c r="BA907" t="s">
        <v>74</v>
      </c>
      <c r="BB907">
        <v>1296</v>
      </c>
      <c r="BC907">
        <v>1297</v>
      </c>
      <c r="BD907" t="s">
        <v>74</v>
      </c>
      <c r="BE907" t="s">
        <v>16547</v>
      </c>
      <c r="BF907" t="str">
        <f>HYPERLINK("http://dx.doi.org/10.1086/669428","http://dx.doi.org/10.1086/669428")</f>
        <v>http://dx.doi.org/10.1086/669428</v>
      </c>
      <c r="BG907" t="s">
        <v>74</v>
      </c>
      <c r="BH907" t="s">
        <v>74</v>
      </c>
      <c r="BI907">
        <v>2</v>
      </c>
      <c r="BJ907" t="s">
        <v>16548</v>
      </c>
      <c r="BK907" t="s">
        <v>15710</v>
      </c>
      <c r="BL907" t="s">
        <v>16549</v>
      </c>
      <c r="BM907" t="s">
        <v>16550</v>
      </c>
      <c r="BN907" t="s">
        <v>74</v>
      </c>
      <c r="BO907" t="s">
        <v>74</v>
      </c>
      <c r="BP907" t="s">
        <v>74</v>
      </c>
      <c r="BQ907" t="s">
        <v>74</v>
      </c>
      <c r="BR907" t="s">
        <v>105</v>
      </c>
      <c r="BS907" t="s">
        <v>16551</v>
      </c>
      <c r="BT907" t="str">
        <f>HYPERLINK("https%3A%2F%2Fwww.webofscience.com%2Fwos%2Fwoscc%2Ffull-record%2FWOS:000312041100086","View Full Record in Web of Science")</f>
        <v>View Full Record in Web of Science</v>
      </c>
    </row>
    <row r="908" spans="1:72" x14ac:dyDescent="0.15">
      <c r="A908" t="s">
        <v>72</v>
      </c>
      <c r="B908" t="s">
        <v>16552</v>
      </c>
      <c r="C908" t="s">
        <v>74</v>
      </c>
      <c r="D908" t="s">
        <v>74</v>
      </c>
      <c r="E908" t="s">
        <v>74</v>
      </c>
      <c r="F908" t="s">
        <v>16553</v>
      </c>
      <c r="G908" t="s">
        <v>74</v>
      </c>
      <c r="H908" t="s">
        <v>74</v>
      </c>
      <c r="I908" t="s">
        <v>16554</v>
      </c>
      <c r="J908" t="s">
        <v>16555</v>
      </c>
      <c r="K908" t="s">
        <v>74</v>
      </c>
      <c r="L908" t="s">
        <v>74</v>
      </c>
      <c r="M908" t="s">
        <v>78</v>
      </c>
      <c r="N908" t="s">
        <v>79</v>
      </c>
      <c r="O908" t="s">
        <v>74</v>
      </c>
      <c r="P908" t="s">
        <v>74</v>
      </c>
      <c r="Q908" t="s">
        <v>74</v>
      </c>
      <c r="R908" t="s">
        <v>74</v>
      </c>
      <c r="S908" t="s">
        <v>74</v>
      </c>
      <c r="T908" t="s">
        <v>16556</v>
      </c>
      <c r="U908" t="s">
        <v>16557</v>
      </c>
      <c r="V908" t="s">
        <v>16558</v>
      </c>
      <c r="W908" t="s">
        <v>16559</v>
      </c>
      <c r="X908" t="s">
        <v>1249</v>
      </c>
      <c r="Y908" t="s">
        <v>16560</v>
      </c>
      <c r="Z908" t="s">
        <v>3351</v>
      </c>
      <c r="AA908" t="s">
        <v>74</v>
      </c>
      <c r="AB908" t="s">
        <v>74</v>
      </c>
      <c r="AC908" t="s">
        <v>9158</v>
      </c>
      <c r="AD908" t="s">
        <v>9159</v>
      </c>
      <c r="AE908" t="s">
        <v>16561</v>
      </c>
      <c r="AF908" t="s">
        <v>74</v>
      </c>
      <c r="AG908">
        <v>33</v>
      </c>
      <c r="AH908">
        <v>5</v>
      </c>
      <c r="AI908">
        <v>7</v>
      </c>
      <c r="AJ908">
        <v>0</v>
      </c>
      <c r="AK908">
        <v>16</v>
      </c>
      <c r="AL908" t="s">
        <v>9724</v>
      </c>
      <c r="AM908" t="s">
        <v>296</v>
      </c>
      <c r="AN908" t="s">
        <v>9725</v>
      </c>
      <c r="AO908" t="s">
        <v>16562</v>
      </c>
      <c r="AP908" t="s">
        <v>74</v>
      </c>
      <c r="AQ908" t="s">
        <v>74</v>
      </c>
      <c r="AR908" t="s">
        <v>16563</v>
      </c>
      <c r="AS908" t="s">
        <v>16564</v>
      </c>
      <c r="AT908" t="s">
        <v>16546</v>
      </c>
      <c r="AU908">
        <v>2012</v>
      </c>
      <c r="AV908">
        <v>23</v>
      </c>
      <c r="AW908">
        <v>4</v>
      </c>
      <c r="AX908" t="s">
        <v>74</v>
      </c>
      <c r="AY908" t="s">
        <v>74</v>
      </c>
      <c r="AZ908" t="s">
        <v>74</v>
      </c>
      <c r="BA908" t="s">
        <v>74</v>
      </c>
      <c r="BB908">
        <v>365</v>
      </c>
      <c r="BC908">
        <v>370</v>
      </c>
      <c r="BD908" t="s">
        <v>74</v>
      </c>
      <c r="BE908" t="s">
        <v>16565</v>
      </c>
      <c r="BF908" t="str">
        <f>HYPERLINK("http://dx.doi.org/10.1016/j.wem.2012.05.006","http://dx.doi.org/10.1016/j.wem.2012.05.006")</f>
        <v>http://dx.doi.org/10.1016/j.wem.2012.05.006</v>
      </c>
      <c r="BG908" t="s">
        <v>74</v>
      </c>
      <c r="BH908" t="s">
        <v>74</v>
      </c>
      <c r="BI908">
        <v>6</v>
      </c>
      <c r="BJ908" t="s">
        <v>16566</v>
      </c>
      <c r="BK908" t="s">
        <v>102</v>
      </c>
      <c r="BL908" t="s">
        <v>16566</v>
      </c>
      <c r="BM908" t="s">
        <v>16567</v>
      </c>
      <c r="BN908">
        <v>22835802</v>
      </c>
      <c r="BO908" t="s">
        <v>128</v>
      </c>
      <c r="BP908" t="s">
        <v>74</v>
      </c>
      <c r="BQ908" t="s">
        <v>74</v>
      </c>
      <c r="BR908" t="s">
        <v>105</v>
      </c>
      <c r="BS908" t="s">
        <v>16568</v>
      </c>
      <c r="BT908" t="str">
        <f>HYPERLINK("https%3A%2F%2Fwww.webofscience.com%2Fwos%2Fwoscc%2Ffull-record%2FWOS:000311914700011","View Full Record in Web of Science")</f>
        <v>View Full Record in Web of Science</v>
      </c>
    </row>
    <row r="909" spans="1:72" x14ac:dyDescent="0.15">
      <c r="A909" t="s">
        <v>72</v>
      </c>
      <c r="B909" t="s">
        <v>16569</v>
      </c>
      <c r="C909" t="s">
        <v>74</v>
      </c>
      <c r="D909" t="s">
        <v>74</v>
      </c>
      <c r="E909" t="s">
        <v>74</v>
      </c>
      <c r="F909" t="s">
        <v>16570</v>
      </c>
      <c r="G909" t="s">
        <v>74</v>
      </c>
      <c r="H909" t="s">
        <v>74</v>
      </c>
      <c r="I909" t="s">
        <v>16571</v>
      </c>
      <c r="J909" t="s">
        <v>16572</v>
      </c>
      <c r="K909" t="s">
        <v>74</v>
      </c>
      <c r="L909" t="s">
        <v>74</v>
      </c>
      <c r="M909" t="s">
        <v>78</v>
      </c>
      <c r="N909" t="s">
        <v>79</v>
      </c>
      <c r="O909" t="s">
        <v>74</v>
      </c>
      <c r="P909" t="s">
        <v>74</v>
      </c>
      <c r="Q909" t="s">
        <v>74</v>
      </c>
      <c r="R909" t="s">
        <v>74</v>
      </c>
      <c r="S909" t="s">
        <v>74</v>
      </c>
      <c r="T909" t="s">
        <v>16573</v>
      </c>
      <c r="U909" t="s">
        <v>16574</v>
      </c>
      <c r="V909" t="s">
        <v>16575</v>
      </c>
      <c r="W909" t="s">
        <v>16576</v>
      </c>
      <c r="X909" t="s">
        <v>896</v>
      </c>
      <c r="Y909" t="s">
        <v>16577</v>
      </c>
      <c r="Z909" t="s">
        <v>16578</v>
      </c>
      <c r="AA909" t="s">
        <v>899</v>
      </c>
      <c r="AB909" t="s">
        <v>74</v>
      </c>
      <c r="AC909" t="s">
        <v>16579</v>
      </c>
      <c r="AD909" t="s">
        <v>16580</v>
      </c>
      <c r="AE909" t="s">
        <v>16581</v>
      </c>
      <c r="AF909" t="s">
        <v>74</v>
      </c>
      <c r="AG909">
        <v>69</v>
      </c>
      <c r="AH909">
        <v>12</v>
      </c>
      <c r="AI909">
        <v>16</v>
      </c>
      <c r="AJ909">
        <v>0</v>
      </c>
      <c r="AK909">
        <v>5</v>
      </c>
      <c r="AL909" t="s">
        <v>1343</v>
      </c>
      <c r="AM909" t="s">
        <v>1344</v>
      </c>
      <c r="AN909" t="s">
        <v>1345</v>
      </c>
      <c r="AO909" t="s">
        <v>16582</v>
      </c>
      <c r="AP909" t="s">
        <v>16583</v>
      </c>
      <c r="AQ909" t="s">
        <v>74</v>
      </c>
      <c r="AR909" t="s">
        <v>16572</v>
      </c>
      <c r="AS909" t="s">
        <v>16584</v>
      </c>
      <c r="AT909" t="s">
        <v>15925</v>
      </c>
      <c r="AU909">
        <v>2012</v>
      </c>
      <c r="AV909">
        <v>36</v>
      </c>
      <c r="AW909">
        <v>4</v>
      </c>
      <c r="AX909" t="s">
        <v>74</v>
      </c>
      <c r="AY909" t="s">
        <v>74</v>
      </c>
      <c r="AZ909" t="s">
        <v>74</v>
      </c>
      <c r="BA909" t="s">
        <v>74</v>
      </c>
      <c r="BB909">
        <v>531</v>
      </c>
      <c r="BC909">
        <v>541</v>
      </c>
      <c r="BD909" t="s">
        <v>74</v>
      </c>
      <c r="BE909" t="s">
        <v>16585</v>
      </c>
      <c r="BF909" t="str">
        <f>HYPERLINK("http://dx.doi.org/10.1080/03115518.2012.688673","http://dx.doi.org/10.1080/03115518.2012.688673")</f>
        <v>http://dx.doi.org/10.1080/03115518.2012.688673</v>
      </c>
      <c r="BG909" t="s">
        <v>74</v>
      </c>
      <c r="BH909" t="s">
        <v>74</v>
      </c>
      <c r="BI909">
        <v>11</v>
      </c>
      <c r="BJ909" t="s">
        <v>4346</v>
      </c>
      <c r="BK909" t="s">
        <v>102</v>
      </c>
      <c r="BL909" t="s">
        <v>4346</v>
      </c>
      <c r="BM909" t="s">
        <v>16586</v>
      </c>
      <c r="BN909" t="s">
        <v>74</v>
      </c>
      <c r="BO909" t="s">
        <v>429</v>
      </c>
      <c r="BP909" t="s">
        <v>74</v>
      </c>
      <c r="BQ909" t="s">
        <v>74</v>
      </c>
      <c r="BR909" t="s">
        <v>105</v>
      </c>
      <c r="BS909" t="s">
        <v>16587</v>
      </c>
      <c r="BT909" t="str">
        <f>HYPERLINK("https%3A%2F%2Fwww.webofscience.com%2Fwos%2Fwoscc%2Ffull-record%2FWOS:000311940000010","View Full Record in Web of Science")</f>
        <v>View Full Record in Web of Science</v>
      </c>
    </row>
    <row r="910" spans="1:72" x14ac:dyDescent="0.15">
      <c r="A910" t="s">
        <v>72</v>
      </c>
      <c r="B910" t="s">
        <v>16588</v>
      </c>
      <c r="C910" t="s">
        <v>74</v>
      </c>
      <c r="D910" t="s">
        <v>74</v>
      </c>
      <c r="E910" t="s">
        <v>74</v>
      </c>
      <c r="F910" t="s">
        <v>16589</v>
      </c>
      <c r="G910" t="s">
        <v>74</v>
      </c>
      <c r="H910" t="s">
        <v>74</v>
      </c>
      <c r="I910" t="s">
        <v>16590</v>
      </c>
      <c r="J910" t="s">
        <v>1760</v>
      </c>
      <c r="K910" t="s">
        <v>74</v>
      </c>
      <c r="L910" t="s">
        <v>74</v>
      </c>
      <c r="M910" t="s">
        <v>78</v>
      </c>
      <c r="N910" t="s">
        <v>79</v>
      </c>
      <c r="O910" t="s">
        <v>74</v>
      </c>
      <c r="P910" t="s">
        <v>74</v>
      </c>
      <c r="Q910" t="s">
        <v>74</v>
      </c>
      <c r="R910" t="s">
        <v>74</v>
      </c>
      <c r="S910" t="s">
        <v>74</v>
      </c>
      <c r="T910" t="s">
        <v>16591</v>
      </c>
      <c r="U910" t="s">
        <v>16592</v>
      </c>
      <c r="V910" t="s">
        <v>16593</v>
      </c>
      <c r="W910" t="s">
        <v>16594</v>
      </c>
      <c r="X910" t="s">
        <v>16595</v>
      </c>
      <c r="Y910" t="s">
        <v>16596</v>
      </c>
      <c r="Z910" t="s">
        <v>16597</v>
      </c>
      <c r="AA910" t="s">
        <v>74</v>
      </c>
      <c r="AB910" t="s">
        <v>16598</v>
      </c>
      <c r="AC910" t="s">
        <v>16599</v>
      </c>
      <c r="AD910" t="s">
        <v>857</v>
      </c>
      <c r="AE910" t="s">
        <v>16600</v>
      </c>
      <c r="AF910" t="s">
        <v>74</v>
      </c>
      <c r="AG910">
        <v>68</v>
      </c>
      <c r="AH910">
        <v>13</v>
      </c>
      <c r="AI910">
        <v>14</v>
      </c>
      <c r="AJ910">
        <v>1</v>
      </c>
      <c r="AK910">
        <v>13</v>
      </c>
      <c r="AL910" t="s">
        <v>1132</v>
      </c>
      <c r="AM910" t="s">
        <v>147</v>
      </c>
      <c r="AN910" t="s">
        <v>1133</v>
      </c>
      <c r="AO910" t="s">
        <v>1773</v>
      </c>
      <c r="AP910" t="s">
        <v>1774</v>
      </c>
      <c r="AQ910" t="s">
        <v>74</v>
      </c>
      <c r="AR910" t="s">
        <v>1775</v>
      </c>
      <c r="AS910" t="s">
        <v>1776</v>
      </c>
      <c r="AT910" t="s">
        <v>15707</v>
      </c>
      <c r="AU910">
        <v>2012</v>
      </c>
      <c r="AV910">
        <v>191</v>
      </c>
      <c r="AW910">
        <v>3</v>
      </c>
      <c r="AX910" t="s">
        <v>74</v>
      </c>
      <c r="AY910" t="s">
        <v>74</v>
      </c>
      <c r="AZ910" t="s">
        <v>74</v>
      </c>
      <c r="BA910" t="s">
        <v>74</v>
      </c>
      <c r="BB910">
        <v>932</v>
      </c>
      <c r="BC910">
        <v>938</v>
      </c>
      <c r="BD910" t="s">
        <v>74</v>
      </c>
      <c r="BE910" t="s">
        <v>16601</v>
      </c>
      <c r="BF910" t="str">
        <f>HYPERLINK("http://dx.doi.org/10.1111/j.1365-246X.2012.05684.x","http://dx.doi.org/10.1111/j.1365-246X.2012.05684.x")</f>
        <v>http://dx.doi.org/10.1111/j.1365-246X.2012.05684.x</v>
      </c>
      <c r="BG910" t="s">
        <v>74</v>
      </c>
      <c r="BH910" t="s">
        <v>74</v>
      </c>
      <c r="BI910">
        <v>7</v>
      </c>
      <c r="BJ910" t="s">
        <v>263</v>
      </c>
      <c r="BK910" t="s">
        <v>102</v>
      </c>
      <c r="BL910" t="s">
        <v>263</v>
      </c>
      <c r="BM910" t="s">
        <v>16602</v>
      </c>
      <c r="BN910" t="s">
        <v>74</v>
      </c>
      <c r="BO910" t="s">
        <v>128</v>
      </c>
      <c r="BP910" t="s">
        <v>74</v>
      </c>
      <c r="BQ910" t="s">
        <v>74</v>
      </c>
      <c r="BR910" t="s">
        <v>105</v>
      </c>
      <c r="BS910" t="s">
        <v>16603</v>
      </c>
      <c r="BT910" t="str">
        <f>HYPERLINK("https%3A%2F%2Fwww.webofscience.com%2Fwos%2Fwoscc%2Ffull-record%2FWOS:000310982400005","View Full Record in Web of Science")</f>
        <v>View Full Record in Web of Science</v>
      </c>
    </row>
    <row r="911" spans="1:72" x14ac:dyDescent="0.15">
      <c r="A911" t="s">
        <v>72</v>
      </c>
      <c r="B911" t="s">
        <v>16604</v>
      </c>
      <c r="C911" t="s">
        <v>74</v>
      </c>
      <c r="D911" t="s">
        <v>74</v>
      </c>
      <c r="E911" t="s">
        <v>74</v>
      </c>
      <c r="F911" t="s">
        <v>16605</v>
      </c>
      <c r="G911" t="s">
        <v>74</v>
      </c>
      <c r="H911" t="s">
        <v>74</v>
      </c>
      <c r="I911" t="s">
        <v>16606</v>
      </c>
      <c r="J911" t="s">
        <v>690</v>
      </c>
      <c r="K911" t="s">
        <v>74</v>
      </c>
      <c r="L911" t="s">
        <v>74</v>
      </c>
      <c r="M911" t="s">
        <v>78</v>
      </c>
      <c r="N911" t="s">
        <v>79</v>
      </c>
      <c r="O911" t="s">
        <v>74</v>
      </c>
      <c r="P911" t="s">
        <v>74</v>
      </c>
      <c r="Q911" t="s">
        <v>74</v>
      </c>
      <c r="R911" t="s">
        <v>74</v>
      </c>
      <c r="S911" t="s">
        <v>74</v>
      </c>
      <c r="T911" t="s">
        <v>16607</v>
      </c>
      <c r="U911" t="s">
        <v>16608</v>
      </c>
      <c r="V911" t="s">
        <v>16609</v>
      </c>
      <c r="W911" t="s">
        <v>16610</v>
      </c>
      <c r="X911" t="s">
        <v>16611</v>
      </c>
      <c r="Y911" t="s">
        <v>16612</v>
      </c>
      <c r="Z911" t="s">
        <v>16613</v>
      </c>
      <c r="AA911" t="s">
        <v>16614</v>
      </c>
      <c r="AB911" t="s">
        <v>16615</v>
      </c>
      <c r="AC911" t="s">
        <v>16616</v>
      </c>
      <c r="AD911" t="s">
        <v>16617</v>
      </c>
      <c r="AE911" t="s">
        <v>16618</v>
      </c>
      <c r="AF911" t="s">
        <v>74</v>
      </c>
      <c r="AG911">
        <v>26</v>
      </c>
      <c r="AH911">
        <v>14</v>
      </c>
      <c r="AI911">
        <v>16</v>
      </c>
      <c r="AJ911">
        <v>1</v>
      </c>
      <c r="AK911">
        <v>18</v>
      </c>
      <c r="AL911" t="s">
        <v>703</v>
      </c>
      <c r="AM911" t="s">
        <v>704</v>
      </c>
      <c r="AN911" t="s">
        <v>705</v>
      </c>
      <c r="AO911" t="s">
        <v>706</v>
      </c>
      <c r="AP911" t="s">
        <v>74</v>
      </c>
      <c r="AQ911" t="s">
        <v>74</v>
      </c>
      <c r="AR911" t="s">
        <v>708</v>
      </c>
      <c r="AS911" t="s">
        <v>709</v>
      </c>
      <c r="AT911" t="s">
        <v>15707</v>
      </c>
      <c r="AU911">
        <v>2012</v>
      </c>
      <c r="AV911">
        <v>50</v>
      </c>
      <c r="AW911">
        <v>12</v>
      </c>
      <c r="AX911" t="s">
        <v>74</v>
      </c>
      <c r="AY911" t="s">
        <v>74</v>
      </c>
      <c r="AZ911" t="s">
        <v>221</v>
      </c>
      <c r="BA911" t="s">
        <v>74</v>
      </c>
      <c r="BB911">
        <v>4860</v>
      </c>
      <c r="BC911">
        <v>4874</v>
      </c>
      <c r="BD911" t="s">
        <v>74</v>
      </c>
      <c r="BE911" t="s">
        <v>16619</v>
      </c>
      <c r="BF911" t="str">
        <f>HYPERLINK("http://dx.doi.org/10.1109/TGRS.2012.2200687","http://dx.doi.org/10.1109/TGRS.2012.2200687")</f>
        <v>http://dx.doi.org/10.1109/TGRS.2012.2200687</v>
      </c>
      <c r="BG911" t="s">
        <v>74</v>
      </c>
      <c r="BH911" t="s">
        <v>74</v>
      </c>
      <c r="BI911">
        <v>15</v>
      </c>
      <c r="BJ911" t="s">
        <v>711</v>
      </c>
      <c r="BK911" t="s">
        <v>102</v>
      </c>
      <c r="BL911" t="s">
        <v>712</v>
      </c>
      <c r="BM911" t="s">
        <v>16620</v>
      </c>
      <c r="BN911" t="s">
        <v>74</v>
      </c>
      <c r="BO911" t="s">
        <v>74</v>
      </c>
      <c r="BP911" t="s">
        <v>74</v>
      </c>
      <c r="BQ911" t="s">
        <v>74</v>
      </c>
      <c r="BR911" t="s">
        <v>105</v>
      </c>
      <c r="BS911" t="s">
        <v>16621</v>
      </c>
      <c r="BT911" t="str">
        <f>HYPERLINK("https%3A%2F%2Fwww.webofscience.com%2Fwos%2Fwoscc%2Ffull-record%2FWOS:000311791100004","View Full Record in Web of Science")</f>
        <v>View Full Record in Web of Science</v>
      </c>
    </row>
    <row r="912" spans="1:72" x14ac:dyDescent="0.15">
      <c r="A912" t="s">
        <v>72</v>
      </c>
      <c r="B912" t="s">
        <v>16622</v>
      </c>
      <c r="C912" t="s">
        <v>74</v>
      </c>
      <c r="D912" t="s">
        <v>74</v>
      </c>
      <c r="E912" t="s">
        <v>74</v>
      </c>
      <c r="F912" t="s">
        <v>16623</v>
      </c>
      <c r="G912" t="s">
        <v>74</v>
      </c>
      <c r="H912" t="s">
        <v>74</v>
      </c>
      <c r="I912" t="s">
        <v>16624</v>
      </c>
      <c r="J912" t="s">
        <v>16625</v>
      </c>
      <c r="K912" t="s">
        <v>74</v>
      </c>
      <c r="L912" t="s">
        <v>74</v>
      </c>
      <c r="M912" t="s">
        <v>78</v>
      </c>
      <c r="N912" t="s">
        <v>79</v>
      </c>
      <c r="O912" t="s">
        <v>74</v>
      </c>
      <c r="P912" t="s">
        <v>74</v>
      </c>
      <c r="Q912" t="s">
        <v>74</v>
      </c>
      <c r="R912" t="s">
        <v>74</v>
      </c>
      <c r="S912" t="s">
        <v>74</v>
      </c>
      <c r="T912" t="s">
        <v>74</v>
      </c>
      <c r="U912" t="s">
        <v>16626</v>
      </c>
      <c r="V912" t="s">
        <v>16627</v>
      </c>
      <c r="W912" t="s">
        <v>16628</v>
      </c>
      <c r="X912" t="s">
        <v>16629</v>
      </c>
      <c r="Y912" t="s">
        <v>16630</v>
      </c>
      <c r="Z912" t="s">
        <v>16631</v>
      </c>
      <c r="AA912" t="s">
        <v>16632</v>
      </c>
      <c r="AB912" t="s">
        <v>74</v>
      </c>
      <c r="AC912" t="s">
        <v>16633</v>
      </c>
      <c r="AD912" t="s">
        <v>16634</v>
      </c>
      <c r="AE912" t="s">
        <v>16635</v>
      </c>
      <c r="AF912" t="s">
        <v>74</v>
      </c>
      <c r="AG912">
        <v>74</v>
      </c>
      <c r="AH912">
        <v>36</v>
      </c>
      <c r="AI912">
        <v>39</v>
      </c>
      <c r="AJ912">
        <v>0</v>
      </c>
      <c r="AK912">
        <v>29</v>
      </c>
      <c r="AL912" t="s">
        <v>91</v>
      </c>
      <c r="AM912" t="s">
        <v>92</v>
      </c>
      <c r="AN912" t="s">
        <v>93</v>
      </c>
      <c r="AO912" t="s">
        <v>16636</v>
      </c>
      <c r="AP912" t="s">
        <v>16637</v>
      </c>
      <c r="AQ912" t="s">
        <v>74</v>
      </c>
      <c r="AR912" t="s">
        <v>16638</v>
      </c>
      <c r="AS912" t="s">
        <v>16639</v>
      </c>
      <c r="AT912" t="s">
        <v>15707</v>
      </c>
      <c r="AU912">
        <v>2012</v>
      </c>
      <c r="AV912">
        <v>140</v>
      </c>
      <c r="AW912">
        <v>12</v>
      </c>
      <c r="AX912" t="s">
        <v>74</v>
      </c>
      <c r="AY912" t="s">
        <v>74</v>
      </c>
      <c r="AZ912" t="s">
        <v>74</v>
      </c>
      <c r="BA912" t="s">
        <v>74</v>
      </c>
      <c r="BB912">
        <v>3919</v>
      </c>
      <c r="BC912">
        <v>3935</v>
      </c>
      <c r="BD912" t="s">
        <v>74</v>
      </c>
      <c r="BE912" t="s">
        <v>16640</v>
      </c>
      <c r="BF912" t="str">
        <f>HYPERLINK("http://dx.doi.org/10.1175/MWR-D-12-00016.1","http://dx.doi.org/10.1175/MWR-D-12-00016.1")</f>
        <v>http://dx.doi.org/10.1175/MWR-D-12-00016.1</v>
      </c>
      <c r="BG912" t="s">
        <v>74</v>
      </c>
      <c r="BH912" t="s">
        <v>74</v>
      </c>
      <c r="BI912">
        <v>17</v>
      </c>
      <c r="BJ912" t="s">
        <v>101</v>
      </c>
      <c r="BK912" t="s">
        <v>102</v>
      </c>
      <c r="BL912" t="s">
        <v>101</v>
      </c>
      <c r="BM912" t="s">
        <v>16641</v>
      </c>
      <c r="BN912" t="s">
        <v>74</v>
      </c>
      <c r="BO912" t="s">
        <v>104</v>
      </c>
      <c r="BP912" t="s">
        <v>74</v>
      </c>
      <c r="BQ912" t="s">
        <v>74</v>
      </c>
      <c r="BR912" t="s">
        <v>105</v>
      </c>
      <c r="BS912" t="s">
        <v>16642</v>
      </c>
      <c r="BT912" t="str">
        <f>HYPERLINK("https%3A%2F%2Fwww.webofscience.com%2Fwos%2Fwoscc%2Ffull-record%2FWOS:000311945300008","View Full Record in Web of Science")</f>
        <v>View Full Record in Web of Science</v>
      </c>
    </row>
    <row r="913" spans="1:72" x14ac:dyDescent="0.15">
      <c r="A913" t="s">
        <v>72</v>
      </c>
      <c r="B913" t="s">
        <v>16643</v>
      </c>
      <c r="C913" t="s">
        <v>74</v>
      </c>
      <c r="D913" t="s">
        <v>74</v>
      </c>
      <c r="E913" t="s">
        <v>74</v>
      </c>
      <c r="F913" t="s">
        <v>16644</v>
      </c>
      <c r="G913" t="s">
        <v>74</v>
      </c>
      <c r="H913" t="s">
        <v>74</v>
      </c>
      <c r="I913" t="s">
        <v>16645</v>
      </c>
      <c r="J913" t="s">
        <v>16646</v>
      </c>
      <c r="K913" t="s">
        <v>74</v>
      </c>
      <c r="L913" t="s">
        <v>74</v>
      </c>
      <c r="M913" t="s">
        <v>78</v>
      </c>
      <c r="N913" t="s">
        <v>79</v>
      </c>
      <c r="O913" t="s">
        <v>74</v>
      </c>
      <c r="P913" t="s">
        <v>74</v>
      </c>
      <c r="Q913" t="s">
        <v>74</v>
      </c>
      <c r="R913" t="s">
        <v>74</v>
      </c>
      <c r="S913" t="s">
        <v>74</v>
      </c>
      <c r="T913" t="s">
        <v>16647</v>
      </c>
      <c r="U913" t="s">
        <v>16648</v>
      </c>
      <c r="V913" t="s">
        <v>16649</v>
      </c>
      <c r="W913" t="s">
        <v>16650</v>
      </c>
      <c r="X913" t="s">
        <v>16651</v>
      </c>
      <c r="Y913" t="s">
        <v>992</v>
      </c>
      <c r="Z913" t="s">
        <v>993</v>
      </c>
      <c r="AA913" t="s">
        <v>74</v>
      </c>
      <c r="AB913" t="s">
        <v>994</v>
      </c>
      <c r="AC913" t="s">
        <v>74</v>
      </c>
      <c r="AD913" t="s">
        <v>74</v>
      </c>
      <c r="AE913" t="s">
        <v>74</v>
      </c>
      <c r="AF913" t="s">
        <v>74</v>
      </c>
      <c r="AG913">
        <v>52</v>
      </c>
      <c r="AH913">
        <v>4</v>
      </c>
      <c r="AI913">
        <v>5</v>
      </c>
      <c r="AJ913">
        <v>1</v>
      </c>
      <c r="AK913">
        <v>86</v>
      </c>
      <c r="AL913" t="s">
        <v>257</v>
      </c>
      <c r="AM913" t="s">
        <v>215</v>
      </c>
      <c r="AN913" t="s">
        <v>216</v>
      </c>
      <c r="AO913" t="s">
        <v>16652</v>
      </c>
      <c r="AP913" t="s">
        <v>16653</v>
      </c>
      <c r="AQ913" t="s">
        <v>74</v>
      </c>
      <c r="AR913" t="s">
        <v>16654</v>
      </c>
      <c r="AS913" t="s">
        <v>16655</v>
      </c>
      <c r="AT913" t="s">
        <v>15707</v>
      </c>
      <c r="AU913">
        <v>2012</v>
      </c>
      <c r="AV913">
        <v>37</v>
      </c>
      <c r="AW913">
        <v>4</v>
      </c>
      <c r="AX913" t="s">
        <v>74</v>
      </c>
      <c r="AY913" t="s">
        <v>74</v>
      </c>
      <c r="AZ913" t="s">
        <v>74</v>
      </c>
      <c r="BA913" t="s">
        <v>74</v>
      </c>
      <c r="BB913">
        <v>354</v>
      </c>
      <c r="BC913">
        <v>359</v>
      </c>
      <c r="BD913" t="s">
        <v>74</v>
      </c>
      <c r="BE913" t="s">
        <v>16656</v>
      </c>
      <c r="BF913" t="str">
        <f>HYPERLINK("http://dx.doi.org/10.1111/j.1365-3032.2012.00851.x","http://dx.doi.org/10.1111/j.1365-3032.2012.00851.x")</f>
        <v>http://dx.doi.org/10.1111/j.1365-3032.2012.00851.x</v>
      </c>
      <c r="BG913" t="s">
        <v>74</v>
      </c>
      <c r="BH913" t="s">
        <v>74</v>
      </c>
      <c r="BI913">
        <v>6</v>
      </c>
      <c r="BJ913" t="s">
        <v>16247</v>
      </c>
      <c r="BK913" t="s">
        <v>102</v>
      </c>
      <c r="BL913" t="s">
        <v>16247</v>
      </c>
      <c r="BM913" t="s">
        <v>16657</v>
      </c>
      <c r="BN913" t="s">
        <v>74</v>
      </c>
      <c r="BO913" t="s">
        <v>128</v>
      </c>
      <c r="BP913" t="s">
        <v>74</v>
      </c>
      <c r="BQ913" t="s">
        <v>74</v>
      </c>
      <c r="BR913" t="s">
        <v>105</v>
      </c>
      <c r="BS913" t="s">
        <v>16658</v>
      </c>
      <c r="BT913" t="str">
        <f>HYPERLINK("https%3A%2F%2Fwww.webofscience.com%2Fwos%2Fwoscc%2Ffull-record%2FWOS:000311575800009","View Full Record in Web of Science")</f>
        <v>View Full Record in Web of Science</v>
      </c>
    </row>
    <row r="914" spans="1:72" x14ac:dyDescent="0.15">
      <c r="A914" t="s">
        <v>72</v>
      </c>
      <c r="B914" t="s">
        <v>16659</v>
      </c>
      <c r="C914" t="s">
        <v>74</v>
      </c>
      <c r="D914" t="s">
        <v>74</v>
      </c>
      <c r="E914" t="s">
        <v>74</v>
      </c>
      <c r="F914" t="s">
        <v>16660</v>
      </c>
      <c r="G914" t="s">
        <v>74</v>
      </c>
      <c r="H914" t="s">
        <v>74</v>
      </c>
      <c r="I914" t="s">
        <v>16661</v>
      </c>
      <c r="J914" t="s">
        <v>16662</v>
      </c>
      <c r="K914" t="s">
        <v>74</v>
      </c>
      <c r="L914" t="s">
        <v>74</v>
      </c>
      <c r="M914" t="s">
        <v>78</v>
      </c>
      <c r="N914" t="s">
        <v>79</v>
      </c>
      <c r="O914" t="s">
        <v>74</v>
      </c>
      <c r="P914" t="s">
        <v>74</v>
      </c>
      <c r="Q914" t="s">
        <v>74</v>
      </c>
      <c r="R914" t="s">
        <v>74</v>
      </c>
      <c r="S914" t="s">
        <v>74</v>
      </c>
      <c r="T914" t="s">
        <v>16663</v>
      </c>
      <c r="U914" t="s">
        <v>16664</v>
      </c>
      <c r="V914" t="s">
        <v>16665</v>
      </c>
      <c r="W914" t="s">
        <v>16666</v>
      </c>
      <c r="X914" t="s">
        <v>16667</v>
      </c>
      <c r="Y914" t="s">
        <v>16668</v>
      </c>
      <c r="Z914" t="s">
        <v>16669</v>
      </c>
      <c r="AA914" t="s">
        <v>16670</v>
      </c>
      <c r="AB914" t="s">
        <v>16671</v>
      </c>
      <c r="AC914" t="s">
        <v>16672</v>
      </c>
      <c r="AD914" t="s">
        <v>16673</v>
      </c>
      <c r="AE914" t="s">
        <v>16674</v>
      </c>
      <c r="AF914" t="s">
        <v>74</v>
      </c>
      <c r="AG914">
        <v>101</v>
      </c>
      <c r="AH914">
        <v>5</v>
      </c>
      <c r="AI914">
        <v>5</v>
      </c>
      <c r="AJ914">
        <v>0</v>
      </c>
      <c r="AK914">
        <v>16</v>
      </c>
      <c r="AL914" t="s">
        <v>257</v>
      </c>
      <c r="AM914" t="s">
        <v>215</v>
      </c>
      <c r="AN914" t="s">
        <v>216</v>
      </c>
      <c r="AO914" t="s">
        <v>16675</v>
      </c>
      <c r="AP914" t="s">
        <v>16676</v>
      </c>
      <c r="AQ914" t="s">
        <v>74</v>
      </c>
      <c r="AR914" t="s">
        <v>16677</v>
      </c>
      <c r="AS914" t="s">
        <v>16678</v>
      </c>
      <c r="AT914" t="s">
        <v>15707</v>
      </c>
      <c r="AU914">
        <v>2012</v>
      </c>
      <c r="AV914">
        <v>21</v>
      </c>
      <c r="AW914">
        <v>4</v>
      </c>
      <c r="AX914" t="s">
        <v>74</v>
      </c>
      <c r="AY914" t="s">
        <v>74</v>
      </c>
      <c r="AZ914" t="s">
        <v>74</v>
      </c>
      <c r="BA914" t="s">
        <v>74</v>
      </c>
      <c r="BB914">
        <v>327</v>
      </c>
      <c r="BC914">
        <v>350</v>
      </c>
      <c r="BD914" t="s">
        <v>74</v>
      </c>
      <c r="BE914" t="s">
        <v>16679</v>
      </c>
      <c r="BF914" t="str">
        <f>HYPERLINK("http://dx.doi.org/10.1111/iar.12002","http://dx.doi.org/10.1111/iar.12002")</f>
        <v>http://dx.doi.org/10.1111/iar.12002</v>
      </c>
      <c r="BG914" t="s">
        <v>74</v>
      </c>
      <c r="BH914" t="s">
        <v>74</v>
      </c>
      <c r="BI914">
        <v>24</v>
      </c>
      <c r="BJ914" t="s">
        <v>1604</v>
      </c>
      <c r="BK914" t="s">
        <v>102</v>
      </c>
      <c r="BL914" t="s">
        <v>1605</v>
      </c>
      <c r="BM914" t="s">
        <v>16680</v>
      </c>
      <c r="BN914" t="s">
        <v>74</v>
      </c>
      <c r="BO914" t="s">
        <v>74</v>
      </c>
      <c r="BP914" t="s">
        <v>74</v>
      </c>
      <c r="BQ914" t="s">
        <v>74</v>
      </c>
      <c r="BR914" t="s">
        <v>105</v>
      </c>
      <c r="BS914" t="s">
        <v>16681</v>
      </c>
      <c r="BT914" t="str">
        <f>HYPERLINK("https%3A%2F%2Fwww.webofscience.com%2Fwos%2Fwoscc%2Ffull-record%2FWOS:000311612500007","View Full Record in Web of Science")</f>
        <v>View Full Record in Web of Science</v>
      </c>
    </row>
    <row r="915" spans="1:72" x14ac:dyDescent="0.15">
      <c r="A915" t="s">
        <v>72</v>
      </c>
      <c r="B915" t="s">
        <v>16682</v>
      </c>
      <c r="C915" t="s">
        <v>74</v>
      </c>
      <c r="D915" t="s">
        <v>74</v>
      </c>
      <c r="E915" t="s">
        <v>74</v>
      </c>
      <c r="F915" t="s">
        <v>16683</v>
      </c>
      <c r="G915" t="s">
        <v>74</v>
      </c>
      <c r="H915" t="s">
        <v>74</v>
      </c>
      <c r="I915" t="s">
        <v>16684</v>
      </c>
      <c r="J915" t="s">
        <v>1085</v>
      </c>
      <c r="K915" t="s">
        <v>74</v>
      </c>
      <c r="L915" t="s">
        <v>74</v>
      </c>
      <c r="M915" t="s">
        <v>78</v>
      </c>
      <c r="N915" t="s">
        <v>79</v>
      </c>
      <c r="O915" t="s">
        <v>74</v>
      </c>
      <c r="P915" t="s">
        <v>74</v>
      </c>
      <c r="Q915" t="s">
        <v>74</v>
      </c>
      <c r="R915" t="s">
        <v>74</v>
      </c>
      <c r="S915" t="s">
        <v>74</v>
      </c>
      <c r="T915" t="s">
        <v>74</v>
      </c>
      <c r="U915" t="s">
        <v>16685</v>
      </c>
      <c r="V915" t="s">
        <v>16686</v>
      </c>
      <c r="W915" t="s">
        <v>16687</v>
      </c>
      <c r="X915" t="s">
        <v>16688</v>
      </c>
      <c r="Y915" t="s">
        <v>16689</v>
      </c>
      <c r="Z915" t="s">
        <v>16690</v>
      </c>
      <c r="AA915" t="s">
        <v>6906</v>
      </c>
      <c r="AB915" t="s">
        <v>16691</v>
      </c>
      <c r="AC915" t="s">
        <v>16692</v>
      </c>
      <c r="AD915" t="s">
        <v>16692</v>
      </c>
      <c r="AE915" t="s">
        <v>16693</v>
      </c>
      <c r="AF915" t="s">
        <v>74</v>
      </c>
      <c r="AG915">
        <v>53</v>
      </c>
      <c r="AH915">
        <v>6</v>
      </c>
      <c r="AI915">
        <v>6</v>
      </c>
      <c r="AJ915">
        <v>0</v>
      </c>
      <c r="AK915">
        <v>53</v>
      </c>
      <c r="AL915" t="s">
        <v>397</v>
      </c>
      <c r="AM915" t="s">
        <v>398</v>
      </c>
      <c r="AN915" t="s">
        <v>399</v>
      </c>
      <c r="AO915" t="s">
        <v>1090</v>
      </c>
      <c r="AP915" t="s">
        <v>1091</v>
      </c>
      <c r="AQ915" t="s">
        <v>74</v>
      </c>
      <c r="AR915" t="s">
        <v>1092</v>
      </c>
      <c r="AS915" t="s">
        <v>1093</v>
      </c>
      <c r="AT915" t="s">
        <v>15707</v>
      </c>
      <c r="AU915">
        <v>2012</v>
      </c>
      <c r="AV915">
        <v>159</v>
      </c>
      <c r="AW915">
        <v>12</v>
      </c>
      <c r="AX915" t="s">
        <v>74</v>
      </c>
      <c r="AY915" t="s">
        <v>74</v>
      </c>
      <c r="AZ915" t="s">
        <v>74</v>
      </c>
      <c r="BA915" t="s">
        <v>74</v>
      </c>
      <c r="BB915">
        <v>2687</v>
      </c>
      <c r="BC915">
        <v>2696</v>
      </c>
      <c r="BD915" t="s">
        <v>74</v>
      </c>
      <c r="BE915" t="s">
        <v>16694</v>
      </c>
      <c r="BF915" t="str">
        <f>HYPERLINK("http://dx.doi.org/10.1007/s00227-012-2026-2","http://dx.doi.org/10.1007/s00227-012-2026-2")</f>
        <v>http://dx.doi.org/10.1007/s00227-012-2026-2</v>
      </c>
      <c r="BG915" t="s">
        <v>74</v>
      </c>
      <c r="BH915" t="s">
        <v>74</v>
      </c>
      <c r="BI915">
        <v>10</v>
      </c>
      <c r="BJ915" t="s">
        <v>223</v>
      </c>
      <c r="BK915" t="s">
        <v>102</v>
      </c>
      <c r="BL915" t="s">
        <v>223</v>
      </c>
      <c r="BM915" t="s">
        <v>16695</v>
      </c>
      <c r="BN915" t="s">
        <v>74</v>
      </c>
      <c r="BO915" t="s">
        <v>74</v>
      </c>
      <c r="BP915" t="s">
        <v>74</v>
      </c>
      <c r="BQ915" t="s">
        <v>74</v>
      </c>
      <c r="BR915" t="s">
        <v>105</v>
      </c>
      <c r="BS915" t="s">
        <v>16696</v>
      </c>
      <c r="BT915" t="str">
        <f>HYPERLINK("https%3A%2F%2Fwww.webofscience.com%2Fwos%2Fwoscc%2Ffull-record%2FWOS:000311535500005","View Full Record in Web of Science")</f>
        <v>View Full Record in Web of Science</v>
      </c>
    </row>
    <row r="916" spans="1:72" x14ac:dyDescent="0.15">
      <c r="A916" t="s">
        <v>72</v>
      </c>
      <c r="B916" t="s">
        <v>16697</v>
      </c>
      <c r="C916" t="s">
        <v>74</v>
      </c>
      <c r="D916" t="s">
        <v>74</v>
      </c>
      <c r="E916" t="s">
        <v>74</v>
      </c>
      <c r="F916" t="s">
        <v>16698</v>
      </c>
      <c r="G916" t="s">
        <v>74</v>
      </c>
      <c r="H916" t="s">
        <v>74</v>
      </c>
      <c r="I916" t="s">
        <v>16699</v>
      </c>
      <c r="J916" t="s">
        <v>1085</v>
      </c>
      <c r="K916" t="s">
        <v>74</v>
      </c>
      <c r="L916" t="s">
        <v>74</v>
      </c>
      <c r="M916" t="s">
        <v>78</v>
      </c>
      <c r="N916" t="s">
        <v>79</v>
      </c>
      <c r="O916" t="s">
        <v>74</v>
      </c>
      <c r="P916" t="s">
        <v>74</v>
      </c>
      <c r="Q916" t="s">
        <v>74</v>
      </c>
      <c r="R916" t="s">
        <v>74</v>
      </c>
      <c r="S916" t="s">
        <v>74</v>
      </c>
      <c r="T916" t="s">
        <v>74</v>
      </c>
      <c r="U916" t="s">
        <v>16700</v>
      </c>
      <c r="V916" t="s">
        <v>16701</v>
      </c>
      <c r="W916" t="s">
        <v>16702</v>
      </c>
      <c r="X916" t="s">
        <v>16703</v>
      </c>
      <c r="Y916" t="s">
        <v>16704</v>
      </c>
      <c r="Z916" t="s">
        <v>16705</v>
      </c>
      <c r="AA916" t="s">
        <v>16706</v>
      </c>
      <c r="AB916" t="s">
        <v>16707</v>
      </c>
      <c r="AC916" t="s">
        <v>16708</v>
      </c>
      <c r="AD916" t="s">
        <v>16709</v>
      </c>
      <c r="AE916" t="s">
        <v>16710</v>
      </c>
      <c r="AF916" t="s">
        <v>74</v>
      </c>
      <c r="AG916">
        <v>64</v>
      </c>
      <c r="AH916">
        <v>41</v>
      </c>
      <c r="AI916">
        <v>47</v>
      </c>
      <c r="AJ916">
        <v>0</v>
      </c>
      <c r="AK916">
        <v>84</v>
      </c>
      <c r="AL916" t="s">
        <v>397</v>
      </c>
      <c r="AM916" t="s">
        <v>398</v>
      </c>
      <c r="AN916" t="s">
        <v>399</v>
      </c>
      <c r="AO916" t="s">
        <v>1090</v>
      </c>
      <c r="AP916" t="s">
        <v>1091</v>
      </c>
      <c r="AQ916" t="s">
        <v>74</v>
      </c>
      <c r="AR916" t="s">
        <v>1092</v>
      </c>
      <c r="AS916" t="s">
        <v>1093</v>
      </c>
      <c r="AT916" t="s">
        <v>15707</v>
      </c>
      <c r="AU916">
        <v>2012</v>
      </c>
      <c r="AV916">
        <v>159</v>
      </c>
      <c r="AW916">
        <v>12</v>
      </c>
      <c r="AX916" t="s">
        <v>74</v>
      </c>
      <c r="AY916" t="s">
        <v>74</v>
      </c>
      <c r="AZ916" t="s">
        <v>74</v>
      </c>
      <c r="BA916" t="s">
        <v>74</v>
      </c>
      <c r="BB916">
        <v>2743</v>
      </c>
      <c r="BC916">
        <v>2756</v>
      </c>
      <c r="BD916" t="s">
        <v>74</v>
      </c>
      <c r="BE916" t="s">
        <v>16711</v>
      </c>
      <c r="BF916" t="str">
        <f>HYPERLINK("http://dx.doi.org/10.1007/s00227-012-2035-1","http://dx.doi.org/10.1007/s00227-012-2035-1")</f>
        <v>http://dx.doi.org/10.1007/s00227-012-2035-1</v>
      </c>
      <c r="BG916" t="s">
        <v>74</v>
      </c>
      <c r="BH916" t="s">
        <v>74</v>
      </c>
      <c r="BI916">
        <v>14</v>
      </c>
      <c r="BJ916" t="s">
        <v>223</v>
      </c>
      <c r="BK916" t="s">
        <v>102</v>
      </c>
      <c r="BL916" t="s">
        <v>223</v>
      </c>
      <c r="BM916" t="s">
        <v>16695</v>
      </c>
      <c r="BN916" t="s">
        <v>74</v>
      </c>
      <c r="BO916" t="s">
        <v>74</v>
      </c>
      <c r="BP916" t="s">
        <v>74</v>
      </c>
      <c r="BQ916" t="s">
        <v>74</v>
      </c>
      <c r="BR916" t="s">
        <v>105</v>
      </c>
      <c r="BS916" t="s">
        <v>16712</v>
      </c>
      <c r="BT916" t="str">
        <f>HYPERLINK("https%3A%2F%2Fwww.webofscience.com%2Fwos%2Fwoscc%2Ffull-record%2FWOS:000311535500010","View Full Record in Web of Science")</f>
        <v>View Full Record in Web of Science</v>
      </c>
    </row>
    <row r="917" spans="1:72" x14ac:dyDescent="0.15">
      <c r="A917" t="s">
        <v>72</v>
      </c>
      <c r="B917" t="s">
        <v>16713</v>
      </c>
      <c r="C917" t="s">
        <v>74</v>
      </c>
      <c r="D917" t="s">
        <v>74</v>
      </c>
      <c r="E917" t="s">
        <v>74</v>
      </c>
      <c r="F917" t="s">
        <v>16714</v>
      </c>
      <c r="G917" t="s">
        <v>74</v>
      </c>
      <c r="H917" t="s">
        <v>74</v>
      </c>
      <c r="I917" t="s">
        <v>16715</v>
      </c>
      <c r="J917" t="s">
        <v>1085</v>
      </c>
      <c r="K917" t="s">
        <v>74</v>
      </c>
      <c r="L917" t="s">
        <v>74</v>
      </c>
      <c r="M917" t="s">
        <v>78</v>
      </c>
      <c r="N917" t="s">
        <v>79</v>
      </c>
      <c r="O917" t="s">
        <v>74</v>
      </c>
      <c r="P917" t="s">
        <v>74</v>
      </c>
      <c r="Q917" t="s">
        <v>74</v>
      </c>
      <c r="R917" t="s">
        <v>74</v>
      </c>
      <c r="S917" t="s">
        <v>74</v>
      </c>
      <c r="T917" t="s">
        <v>74</v>
      </c>
      <c r="U917" t="s">
        <v>16716</v>
      </c>
      <c r="V917" t="s">
        <v>16717</v>
      </c>
      <c r="W917" t="s">
        <v>16718</v>
      </c>
      <c r="X917" t="s">
        <v>16719</v>
      </c>
      <c r="Y917" t="s">
        <v>16720</v>
      </c>
      <c r="Z917" t="s">
        <v>16721</v>
      </c>
      <c r="AA917" t="s">
        <v>16722</v>
      </c>
      <c r="AB917" t="s">
        <v>16723</v>
      </c>
      <c r="AC917" t="s">
        <v>16724</v>
      </c>
      <c r="AD917" t="s">
        <v>16725</v>
      </c>
      <c r="AE917" t="s">
        <v>16726</v>
      </c>
      <c r="AF917" t="s">
        <v>74</v>
      </c>
      <c r="AG917">
        <v>56</v>
      </c>
      <c r="AH917">
        <v>12</v>
      </c>
      <c r="AI917">
        <v>16</v>
      </c>
      <c r="AJ917">
        <v>0</v>
      </c>
      <c r="AK917">
        <v>32</v>
      </c>
      <c r="AL917" t="s">
        <v>397</v>
      </c>
      <c r="AM917" t="s">
        <v>398</v>
      </c>
      <c r="AN917" t="s">
        <v>399</v>
      </c>
      <c r="AO917" t="s">
        <v>1090</v>
      </c>
      <c r="AP917" t="s">
        <v>1091</v>
      </c>
      <c r="AQ917" t="s">
        <v>74</v>
      </c>
      <c r="AR917" t="s">
        <v>1092</v>
      </c>
      <c r="AS917" t="s">
        <v>1093</v>
      </c>
      <c r="AT917" t="s">
        <v>15707</v>
      </c>
      <c r="AU917">
        <v>2012</v>
      </c>
      <c r="AV917">
        <v>159</v>
      </c>
      <c r="AW917">
        <v>12</v>
      </c>
      <c r="AX917" t="s">
        <v>74</v>
      </c>
      <c r="AY917" t="s">
        <v>74</v>
      </c>
      <c r="AZ917" t="s">
        <v>74</v>
      </c>
      <c r="BA917" t="s">
        <v>74</v>
      </c>
      <c r="BB917">
        <v>2827</v>
      </c>
      <c r="BC917">
        <v>2837</v>
      </c>
      <c r="BD917" t="s">
        <v>74</v>
      </c>
      <c r="BE917" t="s">
        <v>16727</v>
      </c>
      <c r="BF917" t="str">
        <f>HYPERLINK("http://dx.doi.org/10.1007/s00227-012-2044-0","http://dx.doi.org/10.1007/s00227-012-2044-0")</f>
        <v>http://dx.doi.org/10.1007/s00227-012-2044-0</v>
      </c>
      <c r="BG917" t="s">
        <v>74</v>
      </c>
      <c r="BH917" t="s">
        <v>74</v>
      </c>
      <c r="BI917">
        <v>11</v>
      </c>
      <c r="BJ917" t="s">
        <v>223</v>
      </c>
      <c r="BK917" t="s">
        <v>102</v>
      </c>
      <c r="BL917" t="s">
        <v>223</v>
      </c>
      <c r="BM917" t="s">
        <v>16695</v>
      </c>
      <c r="BN917" t="s">
        <v>74</v>
      </c>
      <c r="BO917" t="s">
        <v>74</v>
      </c>
      <c r="BP917" t="s">
        <v>74</v>
      </c>
      <c r="BQ917" t="s">
        <v>74</v>
      </c>
      <c r="BR917" t="s">
        <v>105</v>
      </c>
      <c r="BS917" t="s">
        <v>16728</v>
      </c>
      <c r="BT917" t="str">
        <f>HYPERLINK("https%3A%2F%2Fwww.webofscience.com%2Fwos%2Fwoscc%2Ffull-record%2FWOS:000311535500017","View Full Record in Web of Science")</f>
        <v>View Full Record in Web of Science</v>
      </c>
    </row>
    <row r="918" spans="1:72" x14ac:dyDescent="0.15">
      <c r="A918" t="s">
        <v>72</v>
      </c>
      <c r="B918" t="s">
        <v>16729</v>
      </c>
      <c r="C918" t="s">
        <v>74</v>
      </c>
      <c r="D918" t="s">
        <v>74</v>
      </c>
      <c r="E918" t="s">
        <v>74</v>
      </c>
      <c r="F918" t="s">
        <v>16730</v>
      </c>
      <c r="G918" t="s">
        <v>74</v>
      </c>
      <c r="H918" t="s">
        <v>74</v>
      </c>
      <c r="I918" t="s">
        <v>16731</v>
      </c>
      <c r="J918" t="s">
        <v>16732</v>
      </c>
      <c r="K918" t="s">
        <v>74</v>
      </c>
      <c r="L918" t="s">
        <v>74</v>
      </c>
      <c r="M918" t="s">
        <v>78</v>
      </c>
      <c r="N918" t="s">
        <v>79</v>
      </c>
      <c r="O918" t="s">
        <v>74</v>
      </c>
      <c r="P918" t="s">
        <v>74</v>
      </c>
      <c r="Q918" t="s">
        <v>74</v>
      </c>
      <c r="R918" t="s">
        <v>74</v>
      </c>
      <c r="S918" t="s">
        <v>74</v>
      </c>
      <c r="T918" t="s">
        <v>16733</v>
      </c>
      <c r="U918" t="s">
        <v>16734</v>
      </c>
      <c r="V918" t="s">
        <v>16735</v>
      </c>
      <c r="W918" t="s">
        <v>16736</v>
      </c>
      <c r="X918" t="s">
        <v>16737</v>
      </c>
      <c r="Y918" t="s">
        <v>16738</v>
      </c>
      <c r="Z918" t="s">
        <v>16739</v>
      </c>
      <c r="AA918" t="s">
        <v>16740</v>
      </c>
      <c r="AB918" t="s">
        <v>16741</v>
      </c>
      <c r="AC918" t="s">
        <v>16742</v>
      </c>
      <c r="AD918" t="s">
        <v>16742</v>
      </c>
      <c r="AE918" t="s">
        <v>16743</v>
      </c>
      <c r="AF918" t="s">
        <v>74</v>
      </c>
      <c r="AG918">
        <v>87</v>
      </c>
      <c r="AH918">
        <v>29</v>
      </c>
      <c r="AI918">
        <v>33</v>
      </c>
      <c r="AJ918">
        <v>1</v>
      </c>
      <c r="AK918">
        <v>252</v>
      </c>
      <c r="AL918" t="s">
        <v>257</v>
      </c>
      <c r="AM918" t="s">
        <v>215</v>
      </c>
      <c r="AN918" t="s">
        <v>216</v>
      </c>
      <c r="AO918" t="s">
        <v>16744</v>
      </c>
      <c r="AP918" t="s">
        <v>16745</v>
      </c>
      <c r="AQ918" t="s">
        <v>74</v>
      </c>
      <c r="AR918" t="s">
        <v>16746</v>
      </c>
      <c r="AS918" t="s">
        <v>16747</v>
      </c>
      <c r="AT918" t="s">
        <v>15707</v>
      </c>
      <c r="AU918">
        <v>2012</v>
      </c>
      <c r="AV918">
        <v>21</v>
      </c>
      <c r="AW918">
        <v>23</v>
      </c>
      <c r="AX918" t="s">
        <v>74</v>
      </c>
      <c r="AY918" t="s">
        <v>74</v>
      </c>
      <c r="AZ918" t="s">
        <v>74</v>
      </c>
      <c r="BA918" t="s">
        <v>74</v>
      </c>
      <c r="BB918">
        <v>5715</v>
      </c>
      <c r="BC918">
        <v>5727</v>
      </c>
      <c r="BD918" t="s">
        <v>74</v>
      </c>
      <c r="BE918" t="s">
        <v>16748</v>
      </c>
      <c r="BF918" t="str">
        <f>HYPERLINK("http://dx.doi.org/10.1111/mec.12025","http://dx.doi.org/10.1111/mec.12025")</f>
        <v>http://dx.doi.org/10.1111/mec.12025</v>
      </c>
      <c r="BG918" t="s">
        <v>74</v>
      </c>
      <c r="BH918" t="s">
        <v>74</v>
      </c>
      <c r="BI918">
        <v>13</v>
      </c>
      <c r="BJ918" t="s">
        <v>13731</v>
      </c>
      <c r="BK918" t="s">
        <v>102</v>
      </c>
      <c r="BL918" t="s">
        <v>13732</v>
      </c>
      <c r="BM918" t="s">
        <v>16749</v>
      </c>
      <c r="BN918">
        <v>23137299</v>
      </c>
      <c r="BO918" t="s">
        <v>74</v>
      </c>
      <c r="BP918" t="s">
        <v>74</v>
      </c>
      <c r="BQ918" t="s">
        <v>74</v>
      </c>
      <c r="BR918" t="s">
        <v>105</v>
      </c>
      <c r="BS918" t="s">
        <v>16750</v>
      </c>
      <c r="BT918" t="str">
        <f>HYPERLINK("https%3A%2F%2Fwww.webofscience.com%2Fwos%2Fwoscc%2Ffull-record%2FWOS:000311399000010","View Full Record in Web of Science")</f>
        <v>View Full Record in Web of Science</v>
      </c>
    </row>
    <row r="919" spans="1:72" x14ac:dyDescent="0.15">
      <c r="A919" t="s">
        <v>72</v>
      </c>
      <c r="B919" t="s">
        <v>16751</v>
      </c>
      <c r="C919" t="s">
        <v>74</v>
      </c>
      <c r="D919" t="s">
        <v>74</v>
      </c>
      <c r="E919" t="s">
        <v>74</v>
      </c>
      <c r="F919" t="s">
        <v>16752</v>
      </c>
      <c r="G919" t="s">
        <v>74</v>
      </c>
      <c r="H919" t="s">
        <v>74</v>
      </c>
      <c r="I919" t="s">
        <v>16753</v>
      </c>
      <c r="J919" t="s">
        <v>964</v>
      </c>
      <c r="K919" t="s">
        <v>74</v>
      </c>
      <c r="L919" t="s">
        <v>74</v>
      </c>
      <c r="M919" t="s">
        <v>78</v>
      </c>
      <c r="N919" t="s">
        <v>79</v>
      </c>
      <c r="O919" t="s">
        <v>74</v>
      </c>
      <c r="P919" t="s">
        <v>74</v>
      </c>
      <c r="Q919" t="s">
        <v>74</v>
      </c>
      <c r="R919" t="s">
        <v>74</v>
      </c>
      <c r="S919" t="s">
        <v>74</v>
      </c>
      <c r="T919" t="s">
        <v>16754</v>
      </c>
      <c r="U919" t="s">
        <v>16755</v>
      </c>
      <c r="V919" t="s">
        <v>16756</v>
      </c>
      <c r="W919" t="s">
        <v>16757</v>
      </c>
      <c r="X919" t="s">
        <v>16758</v>
      </c>
      <c r="Y919" t="s">
        <v>74</v>
      </c>
      <c r="Z919" t="s">
        <v>1107</v>
      </c>
      <c r="AA919" t="s">
        <v>74</v>
      </c>
      <c r="AB919" t="s">
        <v>74</v>
      </c>
      <c r="AC919" t="s">
        <v>16759</v>
      </c>
      <c r="AD919" t="s">
        <v>16760</v>
      </c>
      <c r="AE919" t="s">
        <v>16761</v>
      </c>
      <c r="AF919" t="s">
        <v>74</v>
      </c>
      <c r="AG919">
        <v>63</v>
      </c>
      <c r="AH919">
        <v>3</v>
      </c>
      <c r="AI919">
        <v>3</v>
      </c>
      <c r="AJ919">
        <v>0</v>
      </c>
      <c r="AK919">
        <v>31</v>
      </c>
      <c r="AL919" t="s">
        <v>500</v>
      </c>
      <c r="AM919" t="s">
        <v>296</v>
      </c>
      <c r="AN919" t="s">
        <v>525</v>
      </c>
      <c r="AO919" t="s">
        <v>976</v>
      </c>
      <c r="AP919" t="s">
        <v>977</v>
      </c>
      <c r="AQ919" t="s">
        <v>74</v>
      </c>
      <c r="AR919" t="s">
        <v>978</v>
      </c>
      <c r="AS919" t="s">
        <v>979</v>
      </c>
      <c r="AT919" t="s">
        <v>15707</v>
      </c>
      <c r="AU919">
        <v>2012</v>
      </c>
      <c r="AV919">
        <v>35</v>
      </c>
      <c r="AW919">
        <v>12</v>
      </c>
      <c r="AX919" t="s">
        <v>74</v>
      </c>
      <c r="AY919" t="s">
        <v>74</v>
      </c>
      <c r="AZ919" t="s">
        <v>74</v>
      </c>
      <c r="BA919" t="s">
        <v>74</v>
      </c>
      <c r="BB919">
        <v>1825</v>
      </c>
      <c r="BC919">
        <v>1836</v>
      </c>
      <c r="BD919" t="s">
        <v>74</v>
      </c>
      <c r="BE919" t="s">
        <v>16762</v>
      </c>
      <c r="BF919" t="str">
        <f>HYPERLINK("http://dx.doi.org/10.1007/s00300-012-1225-0","http://dx.doi.org/10.1007/s00300-012-1225-0")</f>
        <v>http://dx.doi.org/10.1007/s00300-012-1225-0</v>
      </c>
      <c r="BG919" t="s">
        <v>74</v>
      </c>
      <c r="BH919" t="s">
        <v>74</v>
      </c>
      <c r="BI919">
        <v>12</v>
      </c>
      <c r="BJ919" t="s">
        <v>981</v>
      </c>
      <c r="BK919" t="s">
        <v>102</v>
      </c>
      <c r="BL919" t="s">
        <v>958</v>
      </c>
      <c r="BM919" t="s">
        <v>16763</v>
      </c>
      <c r="BN919" t="s">
        <v>74</v>
      </c>
      <c r="BO919" t="s">
        <v>74</v>
      </c>
      <c r="BP919" t="s">
        <v>74</v>
      </c>
      <c r="BQ919" t="s">
        <v>74</v>
      </c>
      <c r="BR919" t="s">
        <v>105</v>
      </c>
      <c r="BS919" t="s">
        <v>16764</v>
      </c>
      <c r="BT919" t="str">
        <f>HYPERLINK("https%3A%2F%2Fwww.webofscience.com%2Fwos%2Fwoscc%2Ffull-record%2FWOS:000310992200005","View Full Record in Web of Science")</f>
        <v>View Full Record in Web of Science</v>
      </c>
    </row>
    <row r="920" spans="1:72" x14ac:dyDescent="0.15">
      <c r="A920" t="s">
        <v>72</v>
      </c>
      <c r="B920" t="s">
        <v>16765</v>
      </c>
      <c r="C920" t="s">
        <v>74</v>
      </c>
      <c r="D920" t="s">
        <v>74</v>
      </c>
      <c r="E920" t="s">
        <v>74</v>
      </c>
      <c r="F920" t="s">
        <v>16766</v>
      </c>
      <c r="G920" t="s">
        <v>74</v>
      </c>
      <c r="H920" t="s">
        <v>74</v>
      </c>
      <c r="I920" t="s">
        <v>16767</v>
      </c>
      <c r="J920" t="s">
        <v>964</v>
      </c>
      <c r="K920" t="s">
        <v>74</v>
      </c>
      <c r="L920" t="s">
        <v>74</v>
      </c>
      <c r="M920" t="s">
        <v>78</v>
      </c>
      <c r="N920" t="s">
        <v>79</v>
      </c>
      <c r="O920" t="s">
        <v>74</v>
      </c>
      <c r="P920" t="s">
        <v>74</v>
      </c>
      <c r="Q920" t="s">
        <v>74</v>
      </c>
      <c r="R920" t="s">
        <v>74</v>
      </c>
      <c r="S920" t="s">
        <v>74</v>
      </c>
      <c r="T920" t="s">
        <v>16768</v>
      </c>
      <c r="U920" t="s">
        <v>16769</v>
      </c>
      <c r="V920" t="s">
        <v>16770</v>
      </c>
      <c r="W920" t="s">
        <v>16771</v>
      </c>
      <c r="X920" t="s">
        <v>16772</v>
      </c>
      <c r="Y920" t="s">
        <v>16773</v>
      </c>
      <c r="Z920" t="s">
        <v>16774</v>
      </c>
      <c r="AA920" t="s">
        <v>74</v>
      </c>
      <c r="AB920" t="s">
        <v>16775</v>
      </c>
      <c r="AC920" t="s">
        <v>16776</v>
      </c>
      <c r="AD920" t="s">
        <v>16776</v>
      </c>
      <c r="AE920" t="s">
        <v>16777</v>
      </c>
      <c r="AF920" t="s">
        <v>74</v>
      </c>
      <c r="AG920">
        <v>43</v>
      </c>
      <c r="AH920">
        <v>14</v>
      </c>
      <c r="AI920">
        <v>14</v>
      </c>
      <c r="AJ920">
        <v>0</v>
      </c>
      <c r="AK920">
        <v>13</v>
      </c>
      <c r="AL920" t="s">
        <v>500</v>
      </c>
      <c r="AM920" t="s">
        <v>296</v>
      </c>
      <c r="AN920" t="s">
        <v>525</v>
      </c>
      <c r="AO920" t="s">
        <v>976</v>
      </c>
      <c r="AP920" t="s">
        <v>977</v>
      </c>
      <c r="AQ920" t="s">
        <v>74</v>
      </c>
      <c r="AR920" t="s">
        <v>978</v>
      </c>
      <c r="AS920" t="s">
        <v>979</v>
      </c>
      <c r="AT920" t="s">
        <v>15707</v>
      </c>
      <c r="AU920">
        <v>2012</v>
      </c>
      <c r="AV920">
        <v>35</v>
      </c>
      <c r="AW920">
        <v>12</v>
      </c>
      <c r="AX920" t="s">
        <v>74</v>
      </c>
      <c r="AY920" t="s">
        <v>74</v>
      </c>
      <c r="AZ920" t="s">
        <v>74</v>
      </c>
      <c r="BA920" t="s">
        <v>74</v>
      </c>
      <c r="BB920">
        <v>1851</v>
      </c>
      <c r="BC920">
        <v>1859</v>
      </c>
      <c r="BD920" t="s">
        <v>74</v>
      </c>
      <c r="BE920" t="s">
        <v>16778</v>
      </c>
      <c r="BF920" t="str">
        <f>HYPERLINK("http://dx.doi.org/10.1007/s00300-012-1227-y","http://dx.doi.org/10.1007/s00300-012-1227-y")</f>
        <v>http://dx.doi.org/10.1007/s00300-012-1227-y</v>
      </c>
      <c r="BG920" t="s">
        <v>74</v>
      </c>
      <c r="BH920" t="s">
        <v>74</v>
      </c>
      <c r="BI920">
        <v>9</v>
      </c>
      <c r="BJ920" t="s">
        <v>981</v>
      </c>
      <c r="BK920" t="s">
        <v>102</v>
      </c>
      <c r="BL920" t="s">
        <v>958</v>
      </c>
      <c r="BM920" t="s">
        <v>16763</v>
      </c>
      <c r="BN920" t="s">
        <v>74</v>
      </c>
      <c r="BO920" t="s">
        <v>74</v>
      </c>
      <c r="BP920" t="s">
        <v>74</v>
      </c>
      <c r="BQ920" t="s">
        <v>74</v>
      </c>
      <c r="BR920" t="s">
        <v>105</v>
      </c>
      <c r="BS920" t="s">
        <v>16779</v>
      </c>
      <c r="BT920" t="str">
        <f>HYPERLINK("https%3A%2F%2Fwww.webofscience.com%2Fwos%2Fwoscc%2Ffull-record%2FWOS:000310992200007","View Full Record in Web of Science")</f>
        <v>View Full Record in Web of Science</v>
      </c>
    </row>
    <row r="921" spans="1:72" x14ac:dyDescent="0.15">
      <c r="A921" t="s">
        <v>72</v>
      </c>
      <c r="B921" t="s">
        <v>16780</v>
      </c>
      <c r="C921" t="s">
        <v>74</v>
      </c>
      <c r="D921" t="s">
        <v>74</v>
      </c>
      <c r="E921" t="s">
        <v>74</v>
      </c>
      <c r="F921" t="s">
        <v>16781</v>
      </c>
      <c r="G921" t="s">
        <v>74</v>
      </c>
      <c r="H921" t="s">
        <v>74</v>
      </c>
      <c r="I921" t="s">
        <v>16782</v>
      </c>
      <c r="J921" t="s">
        <v>964</v>
      </c>
      <c r="K921" t="s">
        <v>74</v>
      </c>
      <c r="L921" t="s">
        <v>74</v>
      </c>
      <c r="M921" t="s">
        <v>78</v>
      </c>
      <c r="N921" t="s">
        <v>79</v>
      </c>
      <c r="O921" t="s">
        <v>74</v>
      </c>
      <c r="P921" t="s">
        <v>74</v>
      </c>
      <c r="Q921" t="s">
        <v>74</v>
      </c>
      <c r="R921" t="s">
        <v>74</v>
      </c>
      <c r="S921" t="s">
        <v>74</v>
      </c>
      <c r="T921" t="s">
        <v>16783</v>
      </c>
      <c r="U921" t="s">
        <v>16784</v>
      </c>
      <c r="V921" t="s">
        <v>16785</v>
      </c>
      <c r="W921" t="s">
        <v>16786</v>
      </c>
      <c r="X921" t="s">
        <v>8238</v>
      </c>
      <c r="Y921" t="s">
        <v>16787</v>
      </c>
      <c r="Z921" t="s">
        <v>16788</v>
      </c>
      <c r="AA921" t="s">
        <v>74</v>
      </c>
      <c r="AB921" t="s">
        <v>16789</v>
      </c>
      <c r="AC921" t="s">
        <v>16790</v>
      </c>
      <c r="AD921" t="s">
        <v>16791</v>
      </c>
      <c r="AE921" t="s">
        <v>16792</v>
      </c>
      <c r="AF921" t="s">
        <v>74</v>
      </c>
      <c r="AG921">
        <v>39</v>
      </c>
      <c r="AH921">
        <v>19</v>
      </c>
      <c r="AI921">
        <v>19</v>
      </c>
      <c r="AJ921">
        <v>0</v>
      </c>
      <c r="AK921">
        <v>31</v>
      </c>
      <c r="AL921" t="s">
        <v>500</v>
      </c>
      <c r="AM921" t="s">
        <v>296</v>
      </c>
      <c r="AN921" t="s">
        <v>525</v>
      </c>
      <c r="AO921" t="s">
        <v>976</v>
      </c>
      <c r="AP921" t="s">
        <v>74</v>
      </c>
      <c r="AQ921" t="s">
        <v>74</v>
      </c>
      <c r="AR921" t="s">
        <v>978</v>
      </c>
      <c r="AS921" t="s">
        <v>979</v>
      </c>
      <c r="AT921" t="s">
        <v>15707</v>
      </c>
      <c r="AU921">
        <v>2012</v>
      </c>
      <c r="AV921">
        <v>35</v>
      </c>
      <c r="AW921">
        <v>12</v>
      </c>
      <c r="AX921" t="s">
        <v>74</v>
      </c>
      <c r="AY921" t="s">
        <v>74</v>
      </c>
      <c r="AZ921" t="s">
        <v>74</v>
      </c>
      <c r="BA921" t="s">
        <v>74</v>
      </c>
      <c r="BB921">
        <v>1861</v>
      </c>
      <c r="BC921">
        <v>1868</v>
      </c>
      <c r="BD921" t="s">
        <v>74</v>
      </c>
      <c r="BE921" t="s">
        <v>16793</v>
      </c>
      <c r="BF921" t="str">
        <f>HYPERLINK("http://dx.doi.org/10.1007/s00300-012-1228-x","http://dx.doi.org/10.1007/s00300-012-1228-x")</f>
        <v>http://dx.doi.org/10.1007/s00300-012-1228-x</v>
      </c>
      <c r="BG921" t="s">
        <v>74</v>
      </c>
      <c r="BH921" t="s">
        <v>74</v>
      </c>
      <c r="BI921">
        <v>8</v>
      </c>
      <c r="BJ921" t="s">
        <v>981</v>
      </c>
      <c r="BK921" t="s">
        <v>102</v>
      </c>
      <c r="BL921" t="s">
        <v>958</v>
      </c>
      <c r="BM921" t="s">
        <v>16763</v>
      </c>
      <c r="BN921" t="s">
        <v>74</v>
      </c>
      <c r="BO921" t="s">
        <v>429</v>
      </c>
      <c r="BP921" t="s">
        <v>74</v>
      </c>
      <c r="BQ921" t="s">
        <v>74</v>
      </c>
      <c r="BR921" t="s">
        <v>105</v>
      </c>
      <c r="BS921" t="s">
        <v>16794</v>
      </c>
      <c r="BT921" t="str">
        <f>HYPERLINK("https%3A%2F%2Fwww.webofscience.com%2Fwos%2Fwoscc%2Ffull-record%2FWOS:000310992200008","View Full Record in Web of Science")</f>
        <v>View Full Record in Web of Science</v>
      </c>
    </row>
    <row r="922" spans="1:72" x14ac:dyDescent="0.15">
      <c r="A922" t="s">
        <v>72</v>
      </c>
      <c r="B922" t="s">
        <v>16795</v>
      </c>
      <c r="C922" t="s">
        <v>74</v>
      </c>
      <c r="D922" t="s">
        <v>74</v>
      </c>
      <c r="E922" t="s">
        <v>74</v>
      </c>
      <c r="F922" t="s">
        <v>16796</v>
      </c>
      <c r="G922" t="s">
        <v>74</v>
      </c>
      <c r="H922" t="s">
        <v>74</v>
      </c>
      <c r="I922" t="s">
        <v>16797</v>
      </c>
      <c r="J922" t="s">
        <v>964</v>
      </c>
      <c r="K922" t="s">
        <v>74</v>
      </c>
      <c r="L922" t="s">
        <v>74</v>
      </c>
      <c r="M922" t="s">
        <v>78</v>
      </c>
      <c r="N922" t="s">
        <v>79</v>
      </c>
      <c r="O922" t="s">
        <v>74</v>
      </c>
      <c r="P922" t="s">
        <v>74</v>
      </c>
      <c r="Q922" t="s">
        <v>74</v>
      </c>
      <c r="R922" t="s">
        <v>74</v>
      </c>
      <c r="S922" t="s">
        <v>74</v>
      </c>
      <c r="T922" t="s">
        <v>16798</v>
      </c>
      <c r="U922" t="s">
        <v>16799</v>
      </c>
      <c r="V922" t="s">
        <v>16800</v>
      </c>
      <c r="W922" t="s">
        <v>16801</v>
      </c>
      <c r="X922" t="s">
        <v>16802</v>
      </c>
      <c r="Y922" t="s">
        <v>16803</v>
      </c>
      <c r="Z922" t="s">
        <v>16804</v>
      </c>
      <c r="AA922" t="s">
        <v>16805</v>
      </c>
      <c r="AB922" t="s">
        <v>16806</v>
      </c>
      <c r="AC922" t="s">
        <v>16807</v>
      </c>
      <c r="AD922" t="s">
        <v>16808</v>
      </c>
      <c r="AE922" t="s">
        <v>16809</v>
      </c>
      <c r="AF922" t="s">
        <v>74</v>
      </c>
      <c r="AG922">
        <v>71</v>
      </c>
      <c r="AH922">
        <v>35</v>
      </c>
      <c r="AI922">
        <v>37</v>
      </c>
      <c r="AJ922">
        <v>2</v>
      </c>
      <c r="AK922">
        <v>65</v>
      </c>
      <c r="AL922" t="s">
        <v>500</v>
      </c>
      <c r="AM922" t="s">
        <v>296</v>
      </c>
      <c r="AN922" t="s">
        <v>501</v>
      </c>
      <c r="AO922" t="s">
        <v>976</v>
      </c>
      <c r="AP922" t="s">
        <v>977</v>
      </c>
      <c r="AQ922" t="s">
        <v>74</v>
      </c>
      <c r="AR922" t="s">
        <v>978</v>
      </c>
      <c r="AS922" t="s">
        <v>979</v>
      </c>
      <c r="AT922" t="s">
        <v>15707</v>
      </c>
      <c r="AU922">
        <v>2012</v>
      </c>
      <c r="AV922">
        <v>35</v>
      </c>
      <c r="AW922">
        <v>12</v>
      </c>
      <c r="AX922" t="s">
        <v>74</v>
      </c>
      <c r="AY922" t="s">
        <v>74</v>
      </c>
      <c r="AZ922" t="s">
        <v>74</v>
      </c>
      <c r="BA922" t="s">
        <v>74</v>
      </c>
      <c r="BB922">
        <v>1869</v>
      </c>
      <c r="BC922">
        <v>1878</v>
      </c>
      <c r="BD922" t="s">
        <v>74</v>
      </c>
      <c r="BE922" t="s">
        <v>16810</v>
      </c>
      <c r="BF922" t="str">
        <f>HYPERLINK("http://dx.doi.org/10.1007/s00300-012-1229-9","http://dx.doi.org/10.1007/s00300-012-1229-9")</f>
        <v>http://dx.doi.org/10.1007/s00300-012-1229-9</v>
      </c>
      <c r="BG922" t="s">
        <v>74</v>
      </c>
      <c r="BH922" t="s">
        <v>74</v>
      </c>
      <c r="BI922">
        <v>10</v>
      </c>
      <c r="BJ922" t="s">
        <v>981</v>
      </c>
      <c r="BK922" t="s">
        <v>102</v>
      </c>
      <c r="BL922" t="s">
        <v>958</v>
      </c>
      <c r="BM922" t="s">
        <v>16763</v>
      </c>
      <c r="BN922" t="s">
        <v>74</v>
      </c>
      <c r="BO922" t="s">
        <v>74</v>
      </c>
      <c r="BP922" t="s">
        <v>74</v>
      </c>
      <c r="BQ922" t="s">
        <v>74</v>
      </c>
      <c r="BR922" t="s">
        <v>105</v>
      </c>
      <c r="BS922" t="s">
        <v>16811</v>
      </c>
      <c r="BT922" t="str">
        <f>HYPERLINK("https%3A%2F%2Fwww.webofscience.com%2Fwos%2Fwoscc%2Ffull-record%2FWOS:000310992200009","View Full Record in Web of Science")</f>
        <v>View Full Record in Web of Science</v>
      </c>
    </row>
    <row r="923" spans="1:72" x14ac:dyDescent="0.15">
      <c r="A923" t="s">
        <v>72</v>
      </c>
      <c r="B923" t="s">
        <v>16812</v>
      </c>
      <c r="C923" t="s">
        <v>74</v>
      </c>
      <c r="D923" t="s">
        <v>74</v>
      </c>
      <c r="E923" t="s">
        <v>74</v>
      </c>
      <c r="F923" t="s">
        <v>16813</v>
      </c>
      <c r="G923" t="s">
        <v>74</v>
      </c>
      <c r="H923" t="s">
        <v>74</v>
      </c>
      <c r="I923" t="s">
        <v>16814</v>
      </c>
      <c r="J923" t="s">
        <v>964</v>
      </c>
      <c r="K923" t="s">
        <v>74</v>
      </c>
      <c r="L923" t="s">
        <v>74</v>
      </c>
      <c r="M923" t="s">
        <v>78</v>
      </c>
      <c r="N923" t="s">
        <v>79</v>
      </c>
      <c r="O923" t="s">
        <v>74</v>
      </c>
      <c r="P923" t="s">
        <v>74</v>
      </c>
      <c r="Q923" t="s">
        <v>74</v>
      </c>
      <c r="R923" t="s">
        <v>74</v>
      </c>
      <c r="S923" t="s">
        <v>74</v>
      </c>
      <c r="T923" t="s">
        <v>16815</v>
      </c>
      <c r="U923" t="s">
        <v>16816</v>
      </c>
      <c r="V923" t="s">
        <v>16817</v>
      </c>
      <c r="W923" t="s">
        <v>16818</v>
      </c>
      <c r="X923" t="s">
        <v>16819</v>
      </c>
      <c r="Y923" t="s">
        <v>16820</v>
      </c>
      <c r="Z923" t="s">
        <v>16821</v>
      </c>
      <c r="AA923" t="s">
        <v>74</v>
      </c>
      <c r="AB923" t="s">
        <v>13298</v>
      </c>
      <c r="AC923" t="s">
        <v>16822</v>
      </c>
      <c r="AD923" t="s">
        <v>16823</v>
      </c>
      <c r="AE923" t="s">
        <v>16824</v>
      </c>
      <c r="AF923" t="s">
        <v>74</v>
      </c>
      <c r="AG923">
        <v>36</v>
      </c>
      <c r="AH923">
        <v>10</v>
      </c>
      <c r="AI923">
        <v>11</v>
      </c>
      <c r="AJ923">
        <v>0</v>
      </c>
      <c r="AK923">
        <v>131</v>
      </c>
      <c r="AL923" t="s">
        <v>500</v>
      </c>
      <c r="AM923" t="s">
        <v>296</v>
      </c>
      <c r="AN923" t="s">
        <v>525</v>
      </c>
      <c r="AO923" t="s">
        <v>976</v>
      </c>
      <c r="AP923" t="s">
        <v>977</v>
      </c>
      <c r="AQ923" t="s">
        <v>74</v>
      </c>
      <c r="AR923" t="s">
        <v>978</v>
      </c>
      <c r="AS923" t="s">
        <v>979</v>
      </c>
      <c r="AT923" t="s">
        <v>15707</v>
      </c>
      <c r="AU923">
        <v>2012</v>
      </c>
      <c r="AV923">
        <v>35</v>
      </c>
      <c r="AW923">
        <v>12</v>
      </c>
      <c r="AX923" t="s">
        <v>74</v>
      </c>
      <c r="AY923" t="s">
        <v>74</v>
      </c>
      <c r="AZ923" t="s">
        <v>74</v>
      </c>
      <c r="BA923" t="s">
        <v>74</v>
      </c>
      <c r="BB923">
        <v>1921</v>
      </c>
      <c r="BC923">
        <v>1927</v>
      </c>
      <c r="BD923" t="s">
        <v>74</v>
      </c>
      <c r="BE923" t="s">
        <v>16825</v>
      </c>
      <c r="BF923" t="str">
        <f>HYPERLINK("http://dx.doi.org/10.1007/s00300-012-1217-0","http://dx.doi.org/10.1007/s00300-012-1217-0")</f>
        <v>http://dx.doi.org/10.1007/s00300-012-1217-0</v>
      </c>
      <c r="BG923" t="s">
        <v>74</v>
      </c>
      <c r="BH923" t="s">
        <v>74</v>
      </c>
      <c r="BI923">
        <v>7</v>
      </c>
      <c r="BJ923" t="s">
        <v>981</v>
      </c>
      <c r="BK923" t="s">
        <v>102</v>
      </c>
      <c r="BL923" t="s">
        <v>958</v>
      </c>
      <c r="BM923" t="s">
        <v>16763</v>
      </c>
      <c r="BN923" t="s">
        <v>74</v>
      </c>
      <c r="BO923" t="s">
        <v>155</v>
      </c>
      <c r="BP923" t="s">
        <v>74</v>
      </c>
      <c r="BQ923" t="s">
        <v>74</v>
      </c>
      <c r="BR923" t="s">
        <v>105</v>
      </c>
      <c r="BS923" t="s">
        <v>16826</v>
      </c>
      <c r="BT923" t="str">
        <f>HYPERLINK("https%3A%2F%2Fwww.webofscience.com%2Fwos%2Fwoscc%2Ffull-record%2FWOS:000310992200013","View Full Record in Web of Science")</f>
        <v>View Full Record in Web of Science</v>
      </c>
    </row>
    <row r="924" spans="1:72" x14ac:dyDescent="0.15">
      <c r="A924" t="s">
        <v>72</v>
      </c>
      <c r="B924" t="s">
        <v>16827</v>
      </c>
      <c r="C924" t="s">
        <v>74</v>
      </c>
      <c r="D924" t="s">
        <v>74</v>
      </c>
      <c r="E924" t="s">
        <v>74</v>
      </c>
      <c r="F924" t="s">
        <v>16828</v>
      </c>
      <c r="G924" t="s">
        <v>74</v>
      </c>
      <c r="H924" t="s">
        <v>74</v>
      </c>
      <c r="I924" t="s">
        <v>16829</v>
      </c>
      <c r="J924" t="s">
        <v>16830</v>
      </c>
      <c r="K924" t="s">
        <v>74</v>
      </c>
      <c r="L924" t="s">
        <v>74</v>
      </c>
      <c r="M924" t="s">
        <v>78</v>
      </c>
      <c r="N924" t="s">
        <v>79</v>
      </c>
      <c r="O924" t="s">
        <v>74</v>
      </c>
      <c r="P924" t="s">
        <v>74</v>
      </c>
      <c r="Q924" t="s">
        <v>74</v>
      </c>
      <c r="R924" t="s">
        <v>74</v>
      </c>
      <c r="S924" t="s">
        <v>74</v>
      </c>
      <c r="T924" t="s">
        <v>16831</v>
      </c>
      <c r="U924" t="s">
        <v>74</v>
      </c>
      <c r="V924" t="s">
        <v>16832</v>
      </c>
      <c r="W924" t="s">
        <v>16833</v>
      </c>
      <c r="X924" t="s">
        <v>16834</v>
      </c>
      <c r="Y924" t="s">
        <v>16835</v>
      </c>
      <c r="Z924" t="s">
        <v>16836</v>
      </c>
      <c r="AA924" t="s">
        <v>16837</v>
      </c>
      <c r="AB924" t="s">
        <v>16838</v>
      </c>
      <c r="AC924" t="s">
        <v>16839</v>
      </c>
      <c r="AD924" t="s">
        <v>16840</v>
      </c>
      <c r="AE924" t="s">
        <v>16841</v>
      </c>
      <c r="AF924" t="s">
        <v>74</v>
      </c>
      <c r="AG924">
        <v>9</v>
      </c>
      <c r="AH924">
        <v>0</v>
      </c>
      <c r="AI924">
        <v>0</v>
      </c>
      <c r="AJ924">
        <v>0</v>
      </c>
      <c r="AK924">
        <v>15</v>
      </c>
      <c r="AL924" t="s">
        <v>257</v>
      </c>
      <c r="AM924" t="s">
        <v>215</v>
      </c>
      <c r="AN924" t="s">
        <v>216</v>
      </c>
      <c r="AO924" t="s">
        <v>16842</v>
      </c>
      <c r="AP924" t="s">
        <v>16843</v>
      </c>
      <c r="AQ924" t="s">
        <v>74</v>
      </c>
      <c r="AR924" t="s">
        <v>16844</v>
      </c>
      <c r="AS924" t="s">
        <v>16845</v>
      </c>
      <c r="AT924" t="s">
        <v>15707</v>
      </c>
      <c r="AU924">
        <v>2012</v>
      </c>
      <c r="AV924">
        <v>55</v>
      </c>
      <c r="AW924">
        <v>12</v>
      </c>
      <c r="AX924" t="s">
        <v>74</v>
      </c>
      <c r="AY924" t="s">
        <v>74</v>
      </c>
      <c r="AZ924" t="s">
        <v>221</v>
      </c>
      <c r="BA924" t="s">
        <v>74</v>
      </c>
      <c r="BB924">
        <v>1166</v>
      </c>
      <c r="BC924">
        <v>1171</v>
      </c>
      <c r="BD924" t="s">
        <v>74</v>
      </c>
      <c r="BE924" t="s">
        <v>16846</v>
      </c>
      <c r="BF924" t="str">
        <f>HYPERLINK("http://dx.doi.org/10.1002/ajim.22051","http://dx.doi.org/10.1002/ajim.22051")</f>
        <v>http://dx.doi.org/10.1002/ajim.22051</v>
      </c>
      <c r="BG924" t="s">
        <v>74</v>
      </c>
      <c r="BH924" t="s">
        <v>74</v>
      </c>
      <c r="BI924">
        <v>6</v>
      </c>
      <c r="BJ924" t="s">
        <v>8161</v>
      </c>
      <c r="BK924" t="s">
        <v>102</v>
      </c>
      <c r="BL924" t="s">
        <v>8161</v>
      </c>
      <c r="BM924" t="s">
        <v>16847</v>
      </c>
      <c r="BN924">
        <v>22495910</v>
      </c>
      <c r="BO924" t="s">
        <v>74</v>
      </c>
      <c r="BP924" t="s">
        <v>74</v>
      </c>
      <c r="BQ924" t="s">
        <v>74</v>
      </c>
      <c r="BR924" t="s">
        <v>105</v>
      </c>
      <c r="BS924" t="s">
        <v>16848</v>
      </c>
      <c r="BT924" t="str">
        <f>HYPERLINK("https%3A%2F%2Fwww.webofscience.com%2Fwos%2Fwoscc%2Ffull-record%2FWOS:000310805600011","View Full Record in Web of Science")</f>
        <v>View Full Record in Web of Science</v>
      </c>
    </row>
    <row r="925" spans="1:72" x14ac:dyDescent="0.15">
      <c r="A925" t="s">
        <v>72</v>
      </c>
      <c r="B925" t="s">
        <v>16849</v>
      </c>
      <c r="C925" t="s">
        <v>74</v>
      </c>
      <c r="D925" t="s">
        <v>74</v>
      </c>
      <c r="E925" t="s">
        <v>74</v>
      </c>
      <c r="F925" t="s">
        <v>16850</v>
      </c>
      <c r="G925" t="s">
        <v>74</v>
      </c>
      <c r="H925" t="s">
        <v>74</v>
      </c>
      <c r="I925" t="s">
        <v>16851</v>
      </c>
      <c r="J925" t="s">
        <v>1679</v>
      </c>
      <c r="K925" t="s">
        <v>74</v>
      </c>
      <c r="L925" t="s">
        <v>74</v>
      </c>
      <c r="M925" t="s">
        <v>78</v>
      </c>
      <c r="N925" t="s">
        <v>79</v>
      </c>
      <c r="O925" t="s">
        <v>74</v>
      </c>
      <c r="P925" t="s">
        <v>74</v>
      </c>
      <c r="Q925" t="s">
        <v>74</v>
      </c>
      <c r="R925" t="s">
        <v>74</v>
      </c>
      <c r="S925" t="s">
        <v>74</v>
      </c>
      <c r="T925" t="s">
        <v>74</v>
      </c>
      <c r="U925" t="s">
        <v>16852</v>
      </c>
      <c r="V925" t="s">
        <v>16853</v>
      </c>
      <c r="W925" t="s">
        <v>16854</v>
      </c>
      <c r="X925" t="s">
        <v>16855</v>
      </c>
      <c r="Y925" t="s">
        <v>16856</v>
      </c>
      <c r="Z925" t="s">
        <v>16857</v>
      </c>
      <c r="AA925" t="s">
        <v>16858</v>
      </c>
      <c r="AB925" t="s">
        <v>16859</v>
      </c>
      <c r="AC925" t="s">
        <v>16860</v>
      </c>
      <c r="AD925" t="s">
        <v>16861</v>
      </c>
      <c r="AE925" t="s">
        <v>16862</v>
      </c>
      <c r="AF925" t="s">
        <v>74</v>
      </c>
      <c r="AG925">
        <v>35</v>
      </c>
      <c r="AH925">
        <v>36</v>
      </c>
      <c r="AI925">
        <v>44</v>
      </c>
      <c r="AJ925">
        <v>5</v>
      </c>
      <c r="AK925">
        <v>85</v>
      </c>
      <c r="AL925" t="s">
        <v>257</v>
      </c>
      <c r="AM925" t="s">
        <v>215</v>
      </c>
      <c r="AN925" t="s">
        <v>216</v>
      </c>
      <c r="AO925" t="s">
        <v>1691</v>
      </c>
      <c r="AP925" t="s">
        <v>74</v>
      </c>
      <c r="AQ925" t="s">
        <v>74</v>
      </c>
      <c r="AR925" t="s">
        <v>1692</v>
      </c>
      <c r="AS925" t="s">
        <v>1693</v>
      </c>
      <c r="AT925" t="s">
        <v>15707</v>
      </c>
      <c r="AU925">
        <v>2012</v>
      </c>
      <c r="AV925">
        <v>4</v>
      </c>
      <c r="AW925">
        <v>6</v>
      </c>
      <c r="AX925" t="s">
        <v>74</v>
      </c>
      <c r="AY925" t="s">
        <v>74</v>
      </c>
      <c r="AZ925" t="s">
        <v>74</v>
      </c>
      <c r="BA925" t="s">
        <v>74</v>
      </c>
      <c r="BB925">
        <v>633</v>
      </c>
      <c r="BC925">
        <v>641</v>
      </c>
      <c r="BD925" t="s">
        <v>74</v>
      </c>
      <c r="BE925" t="s">
        <v>16863</v>
      </c>
      <c r="BF925" t="str">
        <f>HYPERLINK("http://dx.doi.org/10.1111/j.1758-2229.2012.00389.x","http://dx.doi.org/10.1111/j.1758-2229.2012.00389.x")</f>
        <v>http://dx.doi.org/10.1111/j.1758-2229.2012.00389.x</v>
      </c>
      <c r="BG925" t="s">
        <v>74</v>
      </c>
      <c r="BH925" t="s">
        <v>74</v>
      </c>
      <c r="BI925">
        <v>9</v>
      </c>
      <c r="BJ925" t="s">
        <v>1695</v>
      </c>
      <c r="BK925" t="s">
        <v>102</v>
      </c>
      <c r="BL925" t="s">
        <v>1696</v>
      </c>
      <c r="BM925" t="s">
        <v>16864</v>
      </c>
      <c r="BN925">
        <v>23760934</v>
      </c>
      <c r="BO925" t="s">
        <v>74</v>
      </c>
      <c r="BP925" t="s">
        <v>74</v>
      </c>
      <c r="BQ925" t="s">
        <v>74</v>
      </c>
      <c r="BR925" t="s">
        <v>105</v>
      </c>
      <c r="BS925" t="s">
        <v>16865</v>
      </c>
      <c r="BT925" t="str">
        <f>HYPERLINK("https%3A%2F%2Fwww.webofscience.com%2Fwos%2Fwoscc%2Ffull-record%2FWOS:000311057000007","View Full Record in Web of Science")</f>
        <v>View Full Record in Web of Science</v>
      </c>
    </row>
    <row r="926" spans="1:72" x14ac:dyDescent="0.15">
      <c r="A926" t="s">
        <v>72</v>
      </c>
      <c r="B926" t="s">
        <v>16866</v>
      </c>
      <c r="C926" t="s">
        <v>74</v>
      </c>
      <c r="D926" t="s">
        <v>74</v>
      </c>
      <c r="E926" t="s">
        <v>74</v>
      </c>
      <c r="F926" t="s">
        <v>16867</v>
      </c>
      <c r="G926" t="s">
        <v>74</v>
      </c>
      <c r="H926" t="s">
        <v>74</v>
      </c>
      <c r="I926" t="s">
        <v>16868</v>
      </c>
      <c r="J926" t="s">
        <v>1946</v>
      </c>
      <c r="K926" t="s">
        <v>74</v>
      </c>
      <c r="L926" t="s">
        <v>74</v>
      </c>
      <c r="M926" t="s">
        <v>78</v>
      </c>
      <c r="N926" t="s">
        <v>79</v>
      </c>
      <c r="O926" t="s">
        <v>74</v>
      </c>
      <c r="P926" t="s">
        <v>74</v>
      </c>
      <c r="Q926" t="s">
        <v>74</v>
      </c>
      <c r="R926" t="s">
        <v>74</v>
      </c>
      <c r="S926" t="s">
        <v>74</v>
      </c>
      <c r="T926" t="s">
        <v>16869</v>
      </c>
      <c r="U926" t="s">
        <v>16870</v>
      </c>
      <c r="V926" t="s">
        <v>16871</v>
      </c>
      <c r="W926" t="s">
        <v>16872</v>
      </c>
      <c r="X926" t="s">
        <v>16873</v>
      </c>
      <c r="Y926" t="s">
        <v>16874</v>
      </c>
      <c r="Z926" t="s">
        <v>16875</v>
      </c>
      <c r="AA926" t="s">
        <v>16876</v>
      </c>
      <c r="AB926" t="s">
        <v>16877</v>
      </c>
      <c r="AC926" t="s">
        <v>16878</v>
      </c>
      <c r="AD926" t="s">
        <v>16879</v>
      </c>
      <c r="AE926" t="s">
        <v>16880</v>
      </c>
      <c r="AF926" t="s">
        <v>74</v>
      </c>
      <c r="AG926">
        <v>67</v>
      </c>
      <c r="AH926">
        <v>30</v>
      </c>
      <c r="AI926">
        <v>31</v>
      </c>
      <c r="AJ926">
        <v>1</v>
      </c>
      <c r="AK926">
        <v>37</v>
      </c>
      <c r="AL926" t="s">
        <v>500</v>
      </c>
      <c r="AM926" t="s">
        <v>950</v>
      </c>
      <c r="AN926" t="s">
        <v>951</v>
      </c>
      <c r="AO926" t="s">
        <v>1958</v>
      </c>
      <c r="AP926" t="s">
        <v>1959</v>
      </c>
      <c r="AQ926" t="s">
        <v>74</v>
      </c>
      <c r="AR926" t="s">
        <v>1960</v>
      </c>
      <c r="AS926" t="s">
        <v>1961</v>
      </c>
      <c r="AT926" t="s">
        <v>15707</v>
      </c>
      <c r="AU926">
        <v>2012</v>
      </c>
      <c r="AV926">
        <v>48</v>
      </c>
      <c r="AW926">
        <v>4</v>
      </c>
      <c r="AX926" t="s">
        <v>74</v>
      </c>
      <c r="AY926" t="s">
        <v>74</v>
      </c>
      <c r="AZ926" t="s">
        <v>74</v>
      </c>
      <c r="BA926" t="s">
        <v>74</v>
      </c>
      <c r="BB926">
        <v>801</v>
      </c>
      <c r="BC926">
        <v>817</v>
      </c>
      <c r="BD926" t="s">
        <v>74</v>
      </c>
      <c r="BE926" t="s">
        <v>16881</v>
      </c>
      <c r="BF926" t="str">
        <f>HYPERLINK("http://dx.doi.org/10.1007/s10933-012-9645-y","http://dx.doi.org/10.1007/s10933-012-9645-y")</f>
        <v>http://dx.doi.org/10.1007/s10933-012-9645-y</v>
      </c>
      <c r="BG926" t="s">
        <v>74</v>
      </c>
      <c r="BH926" t="s">
        <v>74</v>
      </c>
      <c r="BI926">
        <v>17</v>
      </c>
      <c r="BJ926" t="s">
        <v>1963</v>
      </c>
      <c r="BK926" t="s">
        <v>102</v>
      </c>
      <c r="BL926" t="s">
        <v>1964</v>
      </c>
      <c r="BM926" t="s">
        <v>16882</v>
      </c>
      <c r="BN926" t="s">
        <v>74</v>
      </c>
      <c r="BO926" t="s">
        <v>74</v>
      </c>
      <c r="BP926" t="s">
        <v>74</v>
      </c>
      <c r="BQ926" t="s">
        <v>74</v>
      </c>
      <c r="BR926" t="s">
        <v>105</v>
      </c>
      <c r="BS926" t="s">
        <v>16883</v>
      </c>
      <c r="BT926" t="str">
        <f>HYPERLINK("https%3A%2F%2Fwww.webofscience.com%2Fwos%2Fwoscc%2Ffull-record%2FWOS:000311395000009","View Full Record in Web of Science")</f>
        <v>View Full Record in Web of Science</v>
      </c>
    </row>
    <row r="927" spans="1:72" x14ac:dyDescent="0.15">
      <c r="A927" t="s">
        <v>72</v>
      </c>
      <c r="B927" t="s">
        <v>16884</v>
      </c>
      <c r="C927" t="s">
        <v>74</v>
      </c>
      <c r="D927" t="s">
        <v>74</v>
      </c>
      <c r="E927" t="s">
        <v>74</v>
      </c>
      <c r="F927" t="s">
        <v>16885</v>
      </c>
      <c r="G927" t="s">
        <v>74</v>
      </c>
      <c r="H927" t="s">
        <v>74</v>
      </c>
      <c r="I927" t="s">
        <v>16886</v>
      </c>
      <c r="J927" t="s">
        <v>941</v>
      </c>
      <c r="K927" t="s">
        <v>74</v>
      </c>
      <c r="L927" t="s">
        <v>74</v>
      </c>
      <c r="M927" t="s">
        <v>78</v>
      </c>
      <c r="N927" t="s">
        <v>79</v>
      </c>
      <c r="O927" t="s">
        <v>74</v>
      </c>
      <c r="P927" t="s">
        <v>74</v>
      </c>
      <c r="Q927" t="s">
        <v>74</v>
      </c>
      <c r="R927" t="s">
        <v>74</v>
      </c>
      <c r="S927" t="s">
        <v>74</v>
      </c>
      <c r="T927" t="s">
        <v>16887</v>
      </c>
      <c r="U927" t="s">
        <v>16888</v>
      </c>
      <c r="V927" t="s">
        <v>16889</v>
      </c>
      <c r="W927" t="s">
        <v>16890</v>
      </c>
      <c r="X927" t="s">
        <v>16891</v>
      </c>
      <c r="Y927" t="s">
        <v>16892</v>
      </c>
      <c r="Z927" t="s">
        <v>16893</v>
      </c>
      <c r="AA927" t="s">
        <v>16894</v>
      </c>
      <c r="AB927" t="s">
        <v>16895</v>
      </c>
      <c r="AC927" t="s">
        <v>16896</v>
      </c>
      <c r="AD927" t="s">
        <v>16897</v>
      </c>
      <c r="AE927" t="s">
        <v>16898</v>
      </c>
      <c r="AF927" t="s">
        <v>74</v>
      </c>
      <c r="AG927">
        <v>62</v>
      </c>
      <c r="AH927">
        <v>26</v>
      </c>
      <c r="AI927">
        <v>27</v>
      </c>
      <c r="AJ927">
        <v>0</v>
      </c>
      <c r="AK927">
        <v>36</v>
      </c>
      <c r="AL927" t="s">
        <v>500</v>
      </c>
      <c r="AM927" t="s">
        <v>950</v>
      </c>
      <c r="AN927" t="s">
        <v>951</v>
      </c>
      <c r="AO927" t="s">
        <v>952</v>
      </c>
      <c r="AP927" t="s">
        <v>953</v>
      </c>
      <c r="AQ927" t="s">
        <v>74</v>
      </c>
      <c r="AR927" t="s">
        <v>954</v>
      </c>
      <c r="AS927" t="s">
        <v>955</v>
      </c>
      <c r="AT927" t="s">
        <v>15707</v>
      </c>
      <c r="AU927">
        <v>2012</v>
      </c>
      <c r="AV927">
        <v>21</v>
      </c>
      <c r="AW927">
        <v>13</v>
      </c>
      <c r="AX927" t="s">
        <v>74</v>
      </c>
      <c r="AY927" t="s">
        <v>74</v>
      </c>
      <c r="AZ927" t="s">
        <v>74</v>
      </c>
      <c r="BA927" t="s">
        <v>74</v>
      </c>
      <c r="BB927">
        <v>3411</v>
      </c>
      <c r="BC927">
        <v>3421</v>
      </c>
      <c r="BD927" t="s">
        <v>74</v>
      </c>
      <c r="BE927" t="s">
        <v>16899</v>
      </c>
      <c r="BF927" t="str">
        <f>HYPERLINK("http://dx.doi.org/10.1007/s10531-012-0371-6","http://dx.doi.org/10.1007/s10531-012-0371-6")</f>
        <v>http://dx.doi.org/10.1007/s10531-012-0371-6</v>
      </c>
      <c r="BG927" t="s">
        <v>74</v>
      </c>
      <c r="BH927" t="s">
        <v>74</v>
      </c>
      <c r="BI927">
        <v>11</v>
      </c>
      <c r="BJ927" t="s">
        <v>957</v>
      </c>
      <c r="BK927" t="s">
        <v>102</v>
      </c>
      <c r="BL927" t="s">
        <v>958</v>
      </c>
      <c r="BM927" t="s">
        <v>16900</v>
      </c>
      <c r="BN927" t="s">
        <v>74</v>
      </c>
      <c r="BO927" t="s">
        <v>16901</v>
      </c>
      <c r="BP927" t="s">
        <v>74</v>
      </c>
      <c r="BQ927" t="s">
        <v>74</v>
      </c>
      <c r="BR927" t="s">
        <v>105</v>
      </c>
      <c r="BS927" t="s">
        <v>16902</v>
      </c>
      <c r="BT927" t="str">
        <f>HYPERLINK("https%3A%2F%2Fwww.webofscience.com%2Fwos%2Fwoscc%2Ffull-record%2FWOS:000310586500009","View Full Record in Web of Science")</f>
        <v>View Full Record in Web of Science</v>
      </c>
    </row>
    <row r="928" spans="1:72" x14ac:dyDescent="0.15">
      <c r="A928" t="s">
        <v>72</v>
      </c>
      <c r="B928" t="s">
        <v>16903</v>
      </c>
      <c r="C928" t="s">
        <v>74</v>
      </c>
      <c r="D928" t="s">
        <v>74</v>
      </c>
      <c r="E928" t="s">
        <v>74</v>
      </c>
      <c r="F928" t="s">
        <v>16904</v>
      </c>
      <c r="G928" t="s">
        <v>74</v>
      </c>
      <c r="H928" t="s">
        <v>74</v>
      </c>
      <c r="I928" t="s">
        <v>16905</v>
      </c>
      <c r="J928" t="s">
        <v>9751</v>
      </c>
      <c r="K928" t="s">
        <v>74</v>
      </c>
      <c r="L928" t="s">
        <v>74</v>
      </c>
      <c r="M928" t="s">
        <v>78</v>
      </c>
      <c r="N928" t="s">
        <v>79</v>
      </c>
      <c r="O928" t="s">
        <v>74</v>
      </c>
      <c r="P928" t="s">
        <v>74</v>
      </c>
      <c r="Q928" t="s">
        <v>74</v>
      </c>
      <c r="R928" t="s">
        <v>74</v>
      </c>
      <c r="S928" t="s">
        <v>74</v>
      </c>
      <c r="T928" t="s">
        <v>16906</v>
      </c>
      <c r="U928" t="s">
        <v>16907</v>
      </c>
      <c r="V928" t="s">
        <v>16908</v>
      </c>
      <c r="W928" t="s">
        <v>16909</v>
      </c>
      <c r="X928" t="s">
        <v>16910</v>
      </c>
      <c r="Y928" t="s">
        <v>16911</v>
      </c>
      <c r="Z928" t="s">
        <v>16912</v>
      </c>
      <c r="AA928" t="s">
        <v>74</v>
      </c>
      <c r="AB928" t="s">
        <v>74</v>
      </c>
      <c r="AC928" t="s">
        <v>16913</v>
      </c>
      <c r="AD928" t="s">
        <v>16913</v>
      </c>
      <c r="AE928" t="s">
        <v>16914</v>
      </c>
      <c r="AF928" t="s">
        <v>74</v>
      </c>
      <c r="AG928">
        <v>9</v>
      </c>
      <c r="AH928">
        <v>13</v>
      </c>
      <c r="AI928">
        <v>14</v>
      </c>
      <c r="AJ928">
        <v>1</v>
      </c>
      <c r="AK928">
        <v>19</v>
      </c>
      <c r="AL928" t="s">
        <v>541</v>
      </c>
      <c r="AM928" t="s">
        <v>542</v>
      </c>
      <c r="AN928" t="s">
        <v>543</v>
      </c>
      <c r="AO928" t="s">
        <v>9763</v>
      </c>
      <c r="AP928" t="s">
        <v>74</v>
      </c>
      <c r="AQ928" t="s">
        <v>74</v>
      </c>
      <c r="AR928" t="s">
        <v>9765</v>
      </c>
      <c r="AS928" t="s">
        <v>9766</v>
      </c>
      <c r="AT928" t="s">
        <v>15707</v>
      </c>
      <c r="AU928">
        <v>2012</v>
      </c>
      <c r="AV928">
        <v>134</v>
      </c>
      <c r="AW928" t="s">
        <v>74</v>
      </c>
      <c r="AX928" t="s">
        <v>74</v>
      </c>
      <c r="AY928" t="s">
        <v>74</v>
      </c>
      <c r="AZ928" t="s">
        <v>74</v>
      </c>
      <c r="BA928" t="s">
        <v>74</v>
      </c>
      <c r="BB928">
        <v>125</v>
      </c>
      <c r="BC928">
        <v>132</v>
      </c>
      <c r="BD928" t="s">
        <v>74</v>
      </c>
      <c r="BE928" t="s">
        <v>16915</v>
      </c>
      <c r="BF928" t="str">
        <f>HYPERLINK("http://dx.doi.org/10.1016/j.fishres.2012.07.024","http://dx.doi.org/10.1016/j.fishres.2012.07.024")</f>
        <v>http://dx.doi.org/10.1016/j.fishres.2012.07.024</v>
      </c>
      <c r="BG928" t="s">
        <v>74</v>
      </c>
      <c r="BH928" t="s">
        <v>74</v>
      </c>
      <c r="BI928">
        <v>8</v>
      </c>
      <c r="BJ928" t="s">
        <v>5387</v>
      </c>
      <c r="BK928" t="s">
        <v>102</v>
      </c>
      <c r="BL928" t="s">
        <v>5387</v>
      </c>
      <c r="BM928" t="s">
        <v>16916</v>
      </c>
      <c r="BN928" t="s">
        <v>74</v>
      </c>
      <c r="BO928" t="s">
        <v>74</v>
      </c>
      <c r="BP928" t="s">
        <v>74</v>
      </c>
      <c r="BQ928" t="s">
        <v>74</v>
      </c>
      <c r="BR928" t="s">
        <v>105</v>
      </c>
      <c r="BS928" t="s">
        <v>16917</v>
      </c>
      <c r="BT928" t="str">
        <f>HYPERLINK("https%3A%2F%2Fwww.webofscience.com%2Fwos%2Fwoscc%2Ffull-record%2FWOS:000310821600014","View Full Record in Web of Science")</f>
        <v>View Full Record in Web of Science</v>
      </c>
    </row>
    <row r="929" spans="1:72" x14ac:dyDescent="0.15">
      <c r="A929" t="s">
        <v>72</v>
      </c>
      <c r="B929" t="s">
        <v>16918</v>
      </c>
      <c r="C929" t="s">
        <v>74</v>
      </c>
      <c r="D929" t="s">
        <v>74</v>
      </c>
      <c r="E929" t="s">
        <v>74</v>
      </c>
      <c r="F929" t="s">
        <v>16919</v>
      </c>
      <c r="G929" t="s">
        <v>74</v>
      </c>
      <c r="H929" t="s">
        <v>74</v>
      </c>
      <c r="I929" t="s">
        <v>16920</v>
      </c>
      <c r="J929" t="s">
        <v>16921</v>
      </c>
      <c r="K929" t="s">
        <v>74</v>
      </c>
      <c r="L929" t="s">
        <v>74</v>
      </c>
      <c r="M929" t="s">
        <v>78</v>
      </c>
      <c r="N929" t="s">
        <v>12117</v>
      </c>
      <c r="O929" t="s">
        <v>74</v>
      </c>
      <c r="P929" t="s">
        <v>74</v>
      </c>
      <c r="Q929" t="s">
        <v>74</v>
      </c>
      <c r="R929" t="s">
        <v>74</v>
      </c>
      <c r="S929" t="s">
        <v>74</v>
      </c>
      <c r="T929" t="s">
        <v>74</v>
      </c>
      <c r="U929" t="s">
        <v>74</v>
      </c>
      <c r="V929" t="s">
        <v>74</v>
      </c>
      <c r="W929" t="s">
        <v>16922</v>
      </c>
      <c r="X929" t="s">
        <v>16923</v>
      </c>
      <c r="Y929" t="s">
        <v>16924</v>
      </c>
      <c r="Z929" t="s">
        <v>16925</v>
      </c>
      <c r="AA929" t="s">
        <v>16926</v>
      </c>
      <c r="AB929" t="s">
        <v>16927</v>
      </c>
      <c r="AC929" t="s">
        <v>74</v>
      </c>
      <c r="AD929" t="s">
        <v>74</v>
      </c>
      <c r="AE929" t="s">
        <v>74</v>
      </c>
      <c r="AF929" t="s">
        <v>74</v>
      </c>
      <c r="AG929">
        <v>1</v>
      </c>
      <c r="AH929">
        <v>0</v>
      </c>
      <c r="AI929">
        <v>0</v>
      </c>
      <c r="AJ929">
        <v>0</v>
      </c>
      <c r="AK929">
        <v>14</v>
      </c>
      <c r="AL929" t="s">
        <v>447</v>
      </c>
      <c r="AM929" t="s">
        <v>147</v>
      </c>
      <c r="AN929" t="s">
        <v>448</v>
      </c>
      <c r="AO929" t="s">
        <v>16928</v>
      </c>
      <c r="AP929" t="s">
        <v>74</v>
      </c>
      <c r="AQ929" t="s">
        <v>74</v>
      </c>
      <c r="AR929" t="s">
        <v>16929</v>
      </c>
      <c r="AS929" t="s">
        <v>16930</v>
      </c>
      <c r="AT929" t="s">
        <v>15707</v>
      </c>
      <c r="AU929">
        <v>2012</v>
      </c>
      <c r="AV929">
        <v>5</v>
      </c>
      <c r="AW929">
        <v>6</v>
      </c>
      <c r="AX929" t="s">
        <v>74</v>
      </c>
      <c r="AY929" t="s">
        <v>74</v>
      </c>
      <c r="AZ929" t="s">
        <v>74</v>
      </c>
      <c r="BA929" t="s">
        <v>74</v>
      </c>
      <c r="BB929">
        <v>759</v>
      </c>
      <c r="BC929">
        <v>759</v>
      </c>
      <c r="BD929" t="s">
        <v>74</v>
      </c>
      <c r="BE929" t="s">
        <v>16931</v>
      </c>
      <c r="BF929" t="str">
        <f>HYPERLINK("http://dx.doi.org/10.1016/j.funeco.2012.06.002","http://dx.doi.org/10.1016/j.funeco.2012.06.002")</f>
        <v>http://dx.doi.org/10.1016/j.funeco.2012.06.002</v>
      </c>
      <c r="BG929" t="s">
        <v>74</v>
      </c>
      <c r="BH929" t="s">
        <v>74</v>
      </c>
      <c r="BI929">
        <v>1</v>
      </c>
      <c r="BJ929" t="s">
        <v>16932</v>
      </c>
      <c r="BK929" t="s">
        <v>102</v>
      </c>
      <c r="BL929" t="s">
        <v>16933</v>
      </c>
      <c r="BM929" t="s">
        <v>16934</v>
      </c>
      <c r="BN929" t="s">
        <v>74</v>
      </c>
      <c r="BO929" t="s">
        <v>128</v>
      </c>
      <c r="BP929" t="s">
        <v>74</v>
      </c>
      <c r="BQ929" t="s">
        <v>74</v>
      </c>
      <c r="BR929" t="s">
        <v>105</v>
      </c>
      <c r="BS929" t="s">
        <v>16935</v>
      </c>
      <c r="BT929" t="str">
        <f>HYPERLINK("https%3A%2F%2Fwww.webofscience.com%2Fwos%2Fwoscc%2Ffull-record%2FWOS:000310717800015","View Full Record in Web of Science")</f>
        <v>View Full Record in Web of Science</v>
      </c>
    </row>
    <row r="930" spans="1:72" x14ac:dyDescent="0.15">
      <c r="A930" t="s">
        <v>72</v>
      </c>
      <c r="B930" t="s">
        <v>16936</v>
      </c>
      <c r="C930" t="s">
        <v>74</v>
      </c>
      <c r="D930" t="s">
        <v>74</v>
      </c>
      <c r="E930" t="s">
        <v>74</v>
      </c>
      <c r="F930" t="s">
        <v>16937</v>
      </c>
      <c r="G930" t="s">
        <v>74</v>
      </c>
      <c r="H930" t="s">
        <v>74</v>
      </c>
      <c r="I930" t="s">
        <v>16938</v>
      </c>
      <c r="J930" t="s">
        <v>8594</v>
      </c>
      <c r="K930" t="s">
        <v>74</v>
      </c>
      <c r="L930" t="s">
        <v>74</v>
      </c>
      <c r="M930" t="s">
        <v>78</v>
      </c>
      <c r="N930" t="s">
        <v>79</v>
      </c>
      <c r="O930" t="s">
        <v>74</v>
      </c>
      <c r="P930" t="s">
        <v>74</v>
      </c>
      <c r="Q930" t="s">
        <v>74</v>
      </c>
      <c r="R930" t="s">
        <v>74</v>
      </c>
      <c r="S930" t="s">
        <v>74</v>
      </c>
      <c r="T930" t="s">
        <v>16939</v>
      </c>
      <c r="U930" t="s">
        <v>16940</v>
      </c>
      <c r="V930" t="s">
        <v>16941</v>
      </c>
      <c r="W930" t="s">
        <v>16942</v>
      </c>
      <c r="X930" t="s">
        <v>16943</v>
      </c>
      <c r="Y930" t="s">
        <v>16944</v>
      </c>
      <c r="Z930" t="s">
        <v>16945</v>
      </c>
      <c r="AA930" t="s">
        <v>16946</v>
      </c>
      <c r="AB930" t="s">
        <v>16947</v>
      </c>
      <c r="AC930" t="s">
        <v>16948</v>
      </c>
      <c r="AD930" t="s">
        <v>16949</v>
      </c>
      <c r="AE930" t="s">
        <v>16950</v>
      </c>
      <c r="AF930" t="s">
        <v>74</v>
      </c>
      <c r="AG930">
        <v>59</v>
      </c>
      <c r="AH930">
        <v>44</v>
      </c>
      <c r="AI930">
        <v>47</v>
      </c>
      <c r="AJ930">
        <v>0</v>
      </c>
      <c r="AK930">
        <v>37</v>
      </c>
      <c r="AL930" t="s">
        <v>586</v>
      </c>
      <c r="AM930" t="s">
        <v>542</v>
      </c>
      <c r="AN930" t="s">
        <v>587</v>
      </c>
      <c r="AO930" t="s">
        <v>8607</v>
      </c>
      <c r="AP930" t="s">
        <v>8608</v>
      </c>
      <c r="AQ930" t="s">
        <v>74</v>
      </c>
      <c r="AR930" t="s">
        <v>8609</v>
      </c>
      <c r="AS930" t="s">
        <v>8610</v>
      </c>
      <c r="AT930" t="s">
        <v>15707</v>
      </c>
      <c r="AU930">
        <v>2012</v>
      </c>
      <c r="AV930" t="s">
        <v>16951</v>
      </c>
      <c r="AW930" t="s">
        <v>74</v>
      </c>
      <c r="AX930" t="s">
        <v>74</v>
      </c>
      <c r="AY930" t="s">
        <v>74</v>
      </c>
      <c r="AZ930" t="s">
        <v>74</v>
      </c>
      <c r="BA930" t="s">
        <v>74</v>
      </c>
      <c r="BB930">
        <v>45</v>
      </c>
      <c r="BC930">
        <v>53</v>
      </c>
      <c r="BD930" t="s">
        <v>74</v>
      </c>
      <c r="BE930" t="s">
        <v>16952</v>
      </c>
      <c r="BF930" t="str">
        <f>HYPERLINK("http://dx.doi.org/10.1016/j.gloplacha.2012.08.001","http://dx.doi.org/10.1016/j.gloplacha.2012.08.001")</f>
        <v>http://dx.doi.org/10.1016/j.gloplacha.2012.08.001</v>
      </c>
      <c r="BG930" t="s">
        <v>74</v>
      </c>
      <c r="BH930" t="s">
        <v>74</v>
      </c>
      <c r="BI930">
        <v>9</v>
      </c>
      <c r="BJ930" t="s">
        <v>2261</v>
      </c>
      <c r="BK930" t="s">
        <v>102</v>
      </c>
      <c r="BL930" t="s">
        <v>2262</v>
      </c>
      <c r="BM930" t="s">
        <v>16953</v>
      </c>
      <c r="BN930" t="s">
        <v>74</v>
      </c>
      <c r="BO930" t="s">
        <v>74</v>
      </c>
      <c r="BP930" t="s">
        <v>74</v>
      </c>
      <c r="BQ930" t="s">
        <v>74</v>
      </c>
      <c r="BR930" t="s">
        <v>105</v>
      </c>
      <c r="BS930" t="s">
        <v>16954</v>
      </c>
      <c r="BT930" t="str">
        <f>HYPERLINK("https%3A%2F%2Fwww.webofscience.com%2Fwos%2Fwoscc%2Ffull-record%2FWOS:000310862500005","View Full Record in Web of Science")</f>
        <v>View Full Record in Web of Science</v>
      </c>
    </row>
    <row r="931" spans="1:72" x14ac:dyDescent="0.15">
      <c r="A931" t="s">
        <v>72</v>
      </c>
      <c r="B931" t="s">
        <v>16955</v>
      </c>
      <c r="C931" t="s">
        <v>74</v>
      </c>
      <c r="D931" t="s">
        <v>74</v>
      </c>
      <c r="E931" t="s">
        <v>74</v>
      </c>
      <c r="F931" t="s">
        <v>16956</v>
      </c>
      <c r="G931" t="s">
        <v>74</v>
      </c>
      <c r="H931" t="s">
        <v>74</v>
      </c>
      <c r="I931" t="s">
        <v>16957</v>
      </c>
      <c r="J931" t="s">
        <v>12616</v>
      </c>
      <c r="K931" t="s">
        <v>74</v>
      </c>
      <c r="L931" t="s">
        <v>74</v>
      </c>
      <c r="M931" t="s">
        <v>78</v>
      </c>
      <c r="N931" t="s">
        <v>1120</v>
      </c>
      <c r="O931" t="s">
        <v>74</v>
      </c>
      <c r="P931" t="s">
        <v>74</v>
      </c>
      <c r="Q931" t="s">
        <v>74</v>
      </c>
      <c r="R931" t="s">
        <v>74</v>
      </c>
      <c r="S931" t="s">
        <v>74</v>
      </c>
      <c r="T931" t="s">
        <v>16958</v>
      </c>
      <c r="U931" t="s">
        <v>16959</v>
      </c>
      <c r="V931" t="s">
        <v>16960</v>
      </c>
      <c r="W931" t="s">
        <v>16961</v>
      </c>
      <c r="X931" t="s">
        <v>16962</v>
      </c>
      <c r="Y931" t="s">
        <v>16963</v>
      </c>
      <c r="Z931" t="s">
        <v>16964</v>
      </c>
      <c r="AA931" t="s">
        <v>16965</v>
      </c>
      <c r="AB931" t="s">
        <v>16966</v>
      </c>
      <c r="AC931" t="s">
        <v>16967</v>
      </c>
      <c r="AD931" t="s">
        <v>16968</v>
      </c>
      <c r="AE931" t="s">
        <v>16969</v>
      </c>
      <c r="AF931" t="s">
        <v>74</v>
      </c>
      <c r="AG931">
        <v>102</v>
      </c>
      <c r="AH931">
        <v>44</v>
      </c>
      <c r="AI931">
        <v>50</v>
      </c>
      <c r="AJ931">
        <v>3</v>
      </c>
      <c r="AK931">
        <v>179</v>
      </c>
      <c r="AL931" t="s">
        <v>257</v>
      </c>
      <c r="AM931" t="s">
        <v>215</v>
      </c>
      <c r="AN931" t="s">
        <v>216</v>
      </c>
      <c r="AO931" t="s">
        <v>12629</v>
      </c>
      <c r="AP931" t="s">
        <v>12630</v>
      </c>
      <c r="AQ931" t="s">
        <v>74</v>
      </c>
      <c r="AR931" t="s">
        <v>12631</v>
      </c>
      <c r="AS931" t="s">
        <v>12632</v>
      </c>
      <c r="AT931" t="s">
        <v>15707</v>
      </c>
      <c r="AU931">
        <v>2012</v>
      </c>
      <c r="AV931">
        <v>18</v>
      </c>
      <c r="AW931">
        <v>12</v>
      </c>
      <c r="AX931" t="s">
        <v>74</v>
      </c>
      <c r="AY931" t="s">
        <v>74</v>
      </c>
      <c r="AZ931" t="s">
        <v>74</v>
      </c>
      <c r="BA931" t="s">
        <v>74</v>
      </c>
      <c r="BB931">
        <v>3504</v>
      </c>
      <c r="BC931">
        <v>3516</v>
      </c>
      <c r="BD931" t="s">
        <v>74</v>
      </c>
      <c r="BE931" t="s">
        <v>16970</v>
      </c>
      <c r="BF931" t="str">
        <f>HYPERLINK("http://dx.doi.org/10.1111/gcb.12007","http://dx.doi.org/10.1111/gcb.12007")</f>
        <v>http://dx.doi.org/10.1111/gcb.12007</v>
      </c>
      <c r="BG931" t="s">
        <v>74</v>
      </c>
      <c r="BH931" t="s">
        <v>74</v>
      </c>
      <c r="BI931">
        <v>13</v>
      </c>
      <c r="BJ931" t="s">
        <v>957</v>
      </c>
      <c r="BK931" t="s">
        <v>102</v>
      </c>
      <c r="BL931" t="s">
        <v>958</v>
      </c>
      <c r="BM931" t="s">
        <v>16971</v>
      </c>
      <c r="BN931" t="s">
        <v>74</v>
      </c>
      <c r="BO931" t="s">
        <v>104</v>
      </c>
      <c r="BP931" t="s">
        <v>74</v>
      </c>
      <c r="BQ931" t="s">
        <v>74</v>
      </c>
      <c r="BR931" t="s">
        <v>105</v>
      </c>
      <c r="BS931" t="s">
        <v>16972</v>
      </c>
      <c r="BT931" t="str">
        <f>HYPERLINK("https%3A%2F%2Fwww.webofscience.com%2Fwos%2Fwoscc%2Ffull-record%2FWOS:000310564200003","View Full Record in Web of Science")</f>
        <v>View Full Record in Web of Science</v>
      </c>
    </row>
    <row r="932" spans="1:72" x14ac:dyDescent="0.15">
      <c r="A932" t="s">
        <v>72</v>
      </c>
      <c r="B932" t="s">
        <v>16973</v>
      </c>
      <c r="C932" t="s">
        <v>74</v>
      </c>
      <c r="D932" t="s">
        <v>74</v>
      </c>
      <c r="E932" t="s">
        <v>74</v>
      </c>
      <c r="F932" t="s">
        <v>16974</v>
      </c>
      <c r="G932" t="s">
        <v>74</v>
      </c>
      <c r="H932" t="s">
        <v>74</v>
      </c>
      <c r="I932" t="s">
        <v>16975</v>
      </c>
      <c r="J932" t="s">
        <v>16976</v>
      </c>
      <c r="K932" t="s">
        <v>74</v>
      </c>
      <c r="L932" t="s">
        <v>74</v>
      </c>
      <c r="M932" t="s">
        <v>78</v>
      </c>
      <c r="N932" t="s">
        <v>1120</v>
      </c>
      <c r="O932" t="s">
        <v>74</v>
      </c>
      <c r="P932" t="s">
        <v>74</v>
      </c>
      <c r="Q932" t="s">
        <v>74</v>
      </c>
      <c r="R932" t="s">
        <v>74</v>
      </c>
      <c r="S932" t="s">
        <v>74</v>
      </c>
      <c r="T932" t="s">
        <v>16977</v>
      </c>
      <c r="U932" t="s">
        <v>16978</v>
      </c>
      <c r="V932" t="s">
        <v>16979</v>
      </c>
      <c r="W932" t="s">
        <v>16980</v>
      </c>
      <c r="X932" t="s">
        <v>16981</v>
      </c>
      <c r="Y932" t="s">
        <v>16982</v>
      </c>
      <c r="Z932" t="s">
        <v>16983</v>
      </c>
      <c r="AA932" t="s">
        <v>16984</v>
      </c>
      <c r="AB932" t="s">
        <v>16985</v>
      </c>
      <c r="AC932" t="s">
        <v>16986</v>
      </c>
      <c r="AD932" t="s">
        <v>16986</v>
      </c>
      <c r="AE932" t="s">
        <v>16987</v>
      </c>
      <c r="AF932" t="s">
        <v>74</v>
      </c>
      <c r="AG932">
        <v>177</v>
      </c>
      <c r="AH932">
        <v>166</v>
      </c>
      <c r="AI932">
        <v>179</v>
      </c>
      <c r="AJ932">
        <v>1</v>
      </c>
      <c r="AK932">
        <v>40</v>
      </c>
      <c r="AL932" t="s">
        <v>16988</v>
      </c>
      <c r="AM932" t="s">
        <v>16989</v>
      </c>
      <c r="AN932" t="s">
        <v>16990</v>
      </c>
      <c r="AO932" t="s">
        <v>16991</v>
      </c>
      <c r="AP932" t="s">
        <v>16992</v>
      </c>
      <c r="AQ932" t="s">
        <v>74</v>
      </c>
      <c r="AR932" t="s">
        <v>16993</v>
      </c>
      <c r="AS932" t="s">
        <v>16994</v>
      </c>
      <c r="AT932" t="s">
        <v>15707</v>
      </c>
      <c r="AU932">
        <v>2012</v>
      </c>
      <c r="AV932">
        <v>303</v>
      </c>
      <c r="AW932">
        <v>12</v>
      </c>
      <c r="AX932" t="s">
        <v>74</v>
      </c>
      <c r="AY932" t="s">
        <v>74</v>
      </c>
      <c r="AZ932" t="s">
        <v>74</v>
      </c>
      <c r="BA932" t="s">
        <v>74</v>
      </c>
      <c r="BB932" t="s">
        <v>16995</v>
      </c>
      <c r="BC932" t="s">
        <v>16996</v>
      </c>
      <c r="BD932" t="s">
        <v>74</v>
      </c>
      <c r="BE932" t="s">
        <v>16997</v>
      </c>
      <c r="BF932" t="str">
        <f>HYPERLINK("http://dx.doi.org/10.1152/ajpregu.00686.2011","http://dx.doi.org/10.1152/ajpregu.00686.2011")</f>
        <v>http://dx.doi.org/10.1152/ajpregu.00686.2011</v>
      </c>
      <c r="BG932" t="s">
        <v>74</v>
      </c>
      <c r="BH932" t="s">
        <v>74</v>
      </c>
      <c r="BI932">
        <v>14</v>
      </c>
      <c r="BJ932" t="s">
        <v>16998</v>
      </c>
      <c r="BK932" t="s">
        <v>102</v>
      </c>
      <c r="BL932" t="s">
        <v>16998</v>
      </c>
      <c r="BM932" t="s">
        <v>16999</v>
      </c>
      <c r="BN932">
        <v>23076875</v>
      </c>
      <c r="BO932" t="s">
        <v>74</v>
      </c>
      <c r="BP932" t="s">
        <v>74</v>
      </c>
      <c r="BQ932" t="s">
        <v>74</v>
      </c>
      <c r="BR932" t="s">
        <v>105</v>
      </c>
      <c r="BS932" t="s">
        <v>17000</v>
      </c>
      <c r="BT932" t="str">
        <f>HYPERLINK("https%3A%2F%2Fwww.webofscience.com%2Fwos%2Fwoscc%2Ffull-record%2FWOS:000312584700002","View Full Record in Web of Science")</f>
        <v>View Full Record in Web of Science</v>
      </c>
    </row>
    <row r="933" spans="1:72" x14ac:dyDescent="0.15">
      <c r="A933" t="s">
        <v>72</v>
      </c>
      <c r="B933" t="s">
        <v>17001</v>
      </c>
      <c r="C933" t="s">
        <v>74</v>
      </c>
      <c r="D933" t="s">
        <v>74</v>
      </c>
      <c r="E933" t="s">
        <v>74</v>
      </c>
      <c r="F933" t="s">
        <v>17002</v>
      </c>
      <c r="G933" t="s">
        <v>74</v>
      </c>
      <c r="H933" t="s">
        <v>74</v>
      </c>
      <c r="I933" t="s">
        <v>17003</v>
      </c>
      <c r="J933" t="s">
        <v>17004</v>
      </c>
      <c r="K933" t="s">
        <v>74</v>
      </c>
      <c r="L933" t="s">
        <v>74</v>
      </c>
      <c r="M933" t="s">
        <v>78</v>
      </c>
      <c r="N933" t="s">
        <v>79</v>
      </c>
      <c r="O933" t="s">
        <v>74</v>
      </c>
      <c r="P933" t="s">
        <v>74</v>
      </c>
      <c r="Q933" t="s">
        <v>74</v>
      </c>
      <c r="R933" t="s">
        <v>74</v>
      </c>
      <c r="S933" t="s">
        <v>74</v>
      </c>
      <c r="T933" t="s">
        <v>17005</v>
      </c>
      <c r="U933" t="s">
        <v>17006</v>
      </c>
      <c r="V933" t="s">
        <v>17007</v>
      </c>
      <c r="W933" t="s">
        <v>17008</v>
      </c>
      <c r="X933" t="s">
        <v>17009</v>
      </c>
      <c r="Y933" t="s">
        <v>17010</v>
      </c>
      <c r="Z933" t="s">
        <v>17011</v>
      </c>
      <c r="AA933" t="s">
        <v>17012</v>
      </c>
      <c r="AB933" t="s">
        <v>17013</v>
      </c>
      <c r="AC933" t="s">
        <v>17014</v>
      </c>
      <c r="AD933" t="s">
        <v>17014</v>
      </c>
      <c r="AE933" t="s">
        <v>17015</v>
      </c>
      <c r="AF933" t="s">
        <v>74</v>
      </c>
      <c r="AG933">
        <v>26</v>
      </c>
      <c r="AH933">
        <v>0</v>
      </c>
      <c r="AI933">
        <v>1</v>
      </c>
      <c r="AJ933">
        <v>0</v>
      </c>
      <c r="AK933">
        <v>6</v>
      </c>
      <c r="AL933" t="s">
        <v>500</v>
      </c>
      <c r="AM933" t="s">
        <v>296</v>
      </c>
      <c r="AN933" t="s">
        <v>525</v>
      </c>
      <c r="AO933" t="s">
        <v>17016</v>
      </c>
      <c r="AP933" t="s">
        <v>74</v>
      </c>
      <c r="AQ933" t="s">
        <v>74</v>
      </c>
      <c r="AR933" t="s">
        <v>17017</v>
      </c>
      <c r="AS933" t="s">
        <v>17018</v>
      </c>
      <c r="AT933" t="s">
        <v>15707</v>
      </c>
      <c r="AU933">
        <v>2012</v>
      </c>
      <c r="AV933">
        <v>62</v>
      </c>
      <c r="AW933">
        <v>4</v>
      </c>
      <c r="AX933" t="s">
        <v>74</v>
      </c>
      <c r="AY933" t="s">
        <v>74</v>
      </c>
      <c r="AZ933" t="s">
        <v>74</v>
      </c>
      <c r="BA933" t="s">
        <v>74</v>
      </c>
      <c r="BB933">
        <v>1565</v>
      </c>
      <c r="BC933">
        <v>1572</v>
      </c>
      <c r="BD933" t="s">
        <v>74</v>
      </c>
      <c r="BE933" t="s">
        <v>17019</v>
      </c>
      <c r="BF933" t="str">
        <f>HYPERLINK("http://dx.doi.org/10.1007/s13213-011-0411-6","http://dx.doi.org/10.1007/s13213-011-0411-6")</f>
        <v>http://dx.doi.org/10.1007/s13213-011-0411-6</v>
      </c>
      <c r="BG933" t="s">
        <v>74</v>
      </c>
      <c r="BH933" t="s">
        <v>74</v>
      </c>
      <c r="BI933">
        <v>8</v>
      </c>
      <c r="BJ933" t="s">
        <v>1079</v>
      </c>
      <c r="BK933" t="s">
        <v>102</v>
      </c>
      <c r="BL933" t="s">
        <v>1079</v>
      </c>
      <c r="BM933" t="s">
        <v>17020</v>
      </c>
      <c r="BN933" t="s">
        <v>74</v>
      </c>
      <c r="BO933" t="s">
        <v>128</v>
      </c>
      <c r="BP933" t="s">
        <v>74</v>
      </c>
      <c r="BQ933" t="s">
        <v>74</v>
      </c>
      <c r="BR933" t="s">
        <v>105</v>
      </c>
      <c r="BS933" t="s">
        <v>17021</v>
      </c>
      <c r="BT933" t="str">
        <f>HYPERLINK("https%3A%2F%2Fwww.webofscience.com%2Fwos%2Fwoscc%2Ffull-record%2FWOS:000310886200027","View Full Record in Web of Science")</f>
        <v>View Full Record in Web of Science</v>
      </c>
    </row>
    <row r="934" spans="1:72" x14ac:dyDescent="0.15">
      <c r="A934" t="s">
        <v>72</v>
      </c>
      <c r="B934" t="s">
        <v>17022</v>
      </c>
      <c r="C934" t="s">
        <v>74</v>
      </c>
      <c r="D934" t="s">
        <v>74</v>
      </c>
      <c r="E934" t="s">
        <v>74</v>
      </c>
      <c r="F934" t="s">
        <v>17023</v>
      </c>
      <c r="G934" t="s">
        <v>74</v>
      </c>
      <c r="H934" t="s">
        <v>74</v>
      </c>
      <c r="I934" t="s">
        <v>17024</v>
      </c>
      <c r="J934" t="s">
        <v>803</v>
      </c>
      <c r="K934" t="s">
        <v>74</v>
      </c>
      <c r="L934" t="s">
        <v>74</v>
      </c>
      <c r="M934" t="s">
        <v>78</v>
      </c>
      <c r="N934" t="s">
        <v>1170</v>
      </c>
      <c r="O934" t="s">
        <v>74</v>
      </c>
      <c r="P934" t="s">
        <v>74</v>
      </c>
      <c r="Q934" t="s">
        <v>74</v>
      </c>
      <c r="R934" t="s">
        <v>74</v>
      </c>
      <c r="S934" t="s">
        <v>74</v>
      </c>
      <c r="T934" t="s">
        <v>74</v>
      </c>
      <c r="U934" t="s">
        <v>74</v>
      </c>
      <c r="V934" t="s">
        <v>74</v>
      </c>
      <c r="W934" t="s">
        <v>74</v>
      </c>
      <c r="X934" t="s">
        <v>74</v>
      </c>
      <c r="Y934" t="s">
        <v>74</v>
      </c>
      <c r="Z934" t="s">
        <v>74</v>
      </c>
      <c r="AA934" t="s">
        <v>74</v>
      </c>
      <c r="AB934" t="s">
        <v>74</v>
      </c>
      <c r="AC934" t="s">
        <v>74</v>
      </c>
      <c r="AD934" t="s">
        <v>74</v>
      </c>
      <c r="AE934" t="s">
        <v>74</v>
      </c>
      <c r="AF934" t="s">
        <v>74</v>
      </c>
      <c r="AG934">
        <v>0</v>
      </c>
      <c r="AH934">
        <v>2</v>
      </c>
      <c r="AI934">
        <v>2</v>
      </c>
      <c r="AJ934">
        <v>0</v>
      </c>
      <c r="AK934">
        <v>8</v>
      </c>
      <c r="AL934" t="s">
        <v>816</v>
      </c>
      <c r="AM934" t="s">
        <v>296</v>
      </c>
      <c r="AN934" t="s">
        <v>817</v>
      </c>
      <c r="AO934" t="s">
        <v>818</v>
      </c>
      <c r="AP934" t="s">
        <v>74</v>
      </c>
      <c r="AQ934" t="s">
        <v>74</v>
      </c>
      <c r="AR934" t="s">
        <v>820</v>
      </c>
      <c r="AS934" t="s">
        <v>821</v>
      </c>
      <c r="AT934" t="s">
        <v>15707</v>
      </c>
      <c r="AU934">
        <v>2012</v>
      </c>
      <c r="AV934">
        <v>24</v>
      </c>
      <c r="AW934">
        <v>6</v>
      </c>
      <c r="AX934" t="s">
        <v>74</v>
      </c>
      <c r="AY934" t="s">
        <v>74</v>
      </c>
      <c r="AZ934" t="s">
        <v>74</v>
      </c>
      <c r="BA934" t="s">
        <v>74</v>
      </c>
      <c r="BB934">
        <v>545</v>
      </c>
      <c r="BC934">
        <v>545</v>
      </c>
      <c r="BD934" t="s">
        <v>74</v>
      </c>
      <c r="BE934" t="s">
        <v>17025</v>
      </c>
      <c r="BF934" t="str">
        <f>HYPERLINK("http://dx.doi.org/10.1017/S0954102012001010","http://dx.doi.org/10.1017/S0954102012001010")</f>
        <v>http://dx.doi.org/10.1017/S0954102012001010</v>
      </c>
      <c r="BG934" t="s">
        <v>74</v>
      </c>
      <c r="BH934" t="s">
        <v>74</v>
      </c>
      <c r="BI934">
        <v>1</v>
      </c>
      <c r="BJ934" t="s">
        <v>823</v>
      </c>
      <c r="BK934" t="s">
        <v>102</v>
      </c>
      <c r="BL934" t="s">
        <v>824</v>
      </c>
      <c r="BM934" t="s">
        <v>16319</v>
      </c>
      <c r="BN934" t="s">
        <v>74</v>
      </c>
      <c r="BO934" t="s">
        <v>128</v>
      </c>
      <c r="BP934" t="s">
        <v>74</v>
      </c>
      <c r="BQ934" t="s">
        <v>74</v>
      </c>
      <c r="BR934" t="s">
        <v>105</v>
      </c>
      <c r="BS934" t="s">
        <v>17026</v>
      </c>
      <c r="BT934" t="str">
        <f>HYPERLINK("https%3A%2F%2Fwww.webofscience.com%2Fwos%2Fwoscc%2Ffull-record%2FWOS:000311918400001","View Full Record in Web of Science")</f>
        <v>View Full Record in Web of Science</v>
      </c>
    </row>
    <row r="935" spans="1:72" x14ac:dyDescent="0.15">
      <c r="A935" t="s">
        <v>72</v>
      </c>
      <c r="B935" t="s">
        <v>17027</v>
      </c>
      <c r="C935" t="s">
        <v>74</v>
      </c>
      <c r="D935" t="s">
        <v>74</v>
      </c>
      <c r="E935" t="s">
        <v>74</v>
      </c>
      <c r="F935" t="s">
        <v>17028</v>
      </c>
      <c r="G935" t="s">
        <v>74</v>
      </c>
      <c r="H935" t="s">
        <v>74</v>
      </c>
      <c r="I935" t="s">
        <v>17029</v>
      </c>
      <c r="J935" t="s">
        <v>803</v>
      </c>
      <c r="K935" t="s">
        <v>74</v>
      </c>
      <c r="L935" t="s">
        <v>74</v>
      </c>
      <c r="M935" t="s">
        <v>78</v>
      </c>
      <c r="N935" t="s">
        <v>79</v>
      </c>
      <c r="O935" t="s">
        <v>74</v>
      </c>
      <c r="P935" t="s">
        <v>74</v>
      </c>
      <c r="Q935" t="s">
        <v>74</v>
      </c>
      <c r="R935" t="s">
        <v>74</v>
      </c>
      <c r="S935" t="s">
        <v>74</v>
      </c>
      <c r="T935" t="s">
        <v>17030</v>
      </c>
      <c r="U935" t="s">
        <v>17031</v>
      </c>
      <c r="V935" t="s">
        <v>17032</v>
      </c>
      <c r="W935" t="s">
        <v>17033</v>
      </c>
      <c r="X935" t="s">
        <v>17034</v>
      </c>
      <c r="Y935" t="s">
        <v>17035</v>
      </c>
      <c r="Z935" t="s">
        <v>17036</v>
      </c>
      <c r="AA935" t="s">
        <v>17037</v>
      </c>
      <c r="AB935" t="s">
        <v>17038</v>
      </c>
      <c r="AC935" t="s">
        <v>17039</v>
      </c>
      <c r="AD935" t="s">
        <v>17040</v>
      </c>
      <c r="AE935" t="s">
        <v>17041</v>
      </c>
      <c r="AF935" t="s">
        <v>74</v>
      </c>
      <c r="AG935">
        <v>41</v>
      </c>
      <c r="AH935">
        <v>11</v>
      </c>
      <c r="AI935">
        <v>13</v>
      </c>
      <c r="AJ935">
        <v>0</v>
      </c>
      <c r="AK935">
        <v>24</v>
      </c>
      <c r="AL935" t="s">
        <v>816</v>
      </c>
      <c r="AM935" t="s">
        <v>296</v>
      </c>
      <c r="AN935" t="s">
        <v>817</v>
      </c>
      <c r="AO935" t="s">
        <v>818</v>
      </c>
      <c r="AP935" t="s">
        <v>819</v>
      </c>
      <c r="AQ935" t="s">
        <v>74</v>
      </c>
      <c r="AR935" t="s">
        <v>820</v>
      </c>
      <c r="AS935" t="s">
        <v>821</v>
      </c>
      <c r="AT935" t="s">
        <v>15707</v>
      </c>
      <c r="AU935">
        <v>2012</v>
      </c>
      <c r="AV935">
        <v>24</v>
      </c>
      <c r="AW935">
        <v>6</v>
      </c>
      <c r="AX935" t="s">
        <v>74</v>
      </c>
      <c r="AY935" t="s">
        <v>74</v>
      </c>
      <c r="AZ935" t="s">
        <v>74</v>
      </c>
      <c r="BA935" t="s">
        <v>74</v>
      </c>
      <c r="BB935">
        <v>571</v>
      </c>
      <c r="BC935">
        <v>588</v>
      </c>
      <c r="BD935" t="s">
        <v>74</v>
      </c>
      <c r="BE935" t="s">
        <v>17042</v>
      </c>
      <c r="BF935" t="str">
        <f>HYPERLINK("http://dx.doi.org/10.1017/S0954102012000636","http://dx.doi.org/10.1017/S0954102012000636")</f>
        <v>http://dx.doi.org/10.1017/S0954102012000636</v>
      </c>
      <c r="BG935" t="s">
        <v>74</v>
      </c>
      <c r="BH935" t="s">
        <v>74</v>
      </c>
      <c r="BI935">
        <v>18</v>
      </c>
      <c r="BJ935" t="s">
        <v>823</v>
      </c>
      <c r="BK935" t="s">
        <v>102</v>
      </c>
      <c r="BL935" t="s">
        <v>824</v>
      </c>
      <c r="BM935" t="s">
        <v>16319</v>
      </c>
      <c r="BN935" t="s">
        <v>74</v>
      </c>
      <c r="BO935" t="s">
        <v>74</v>
      </c>
      <c r="BP935" t="s">
        <v>74</v>
      </c>
      <c r="BQ935" t="s">
        <v>74</v>
      </c>
      <c r="BR935" t="s">
        <v>105</v>
      </c>
      <c r="BS935" t="s">
        <v>17043</v>
      </c>
      <c r="BT935" t="str">
        <f>HYPERLINK("https%3A%2F%2Fwww.webofscience.com%2Fwos%2Fwoscc%2Ffull-record%2FWOS:000311918400005","View Full Record in Web of Science")</f>
        <v>View Full Record in Web of Science</v>
      </c>
    </row>
    <row r="936" spans="1:72" x14ac:dyDescent="0.15">
      <c r="A936" t="s">
        <v>72</v>
      </c>
      <c r="B936" t="s">
        <v>17044</v>
      </c>
      <c r="C936" t="s">
        <v>74</v>
      </c>
      <c r="D936" t="s">
        <v>74</v>
      </c>
      <c r="E936" t="s">
        <v>74</v>
      </c>
      <c r="F936" t="s">
        <v>17045</v>
      </c>
      <c r="G936" t="s">
        <v>74</v>
      </c>
      <c r="H936" t="s">
        <v>74</v>
      </c>
      <c r="I936" t="s">
        <v>17046</v>
      </c>
      <c r="J936" t="s">
        <v>803</v>
      </c>
      <c r="K936" t="s">
        <v>74</v>
      </c>
      <c r="L936" t="s">
        <v>74</v>
      </c>
      <c r="M936" t="s">
        <v>78</v>
      </c>
      <c r="N936" t="s">
        <v>79</v>
      </c>
      <c r="O936" t="s">
        <v>74</v>
      </c>
      <c r="P936" t="s">
        <v>74</v>
      </c>
      <c r="Q936" t="s">
        <v>74</v>
      </c>
      <c r="R936" t="s">
        <v>74</v>
      </c>
      <c r="S936" t="s">
        <v>74</v>
      </c>
      <c r="T936" t="s">
        <v>17047</v>
      </c>
      <c r="U936" t="s">
        <v>17048</v>
      </c>
      <c r="V936" t="s">
        <v>17049</v>
      </c>
      <c r="W936" t="s">
        <v>17050</v>
      </c>
      <c r="X936" t="s">
        <v>17051</v>
      </c>
      <c r="Y936" t="s">
        <v>17052</v>
      </c>
      <c r="Z936" t="s">
        <v>17053</v>
      </c>
      <c r="AA936" t="s">
        <v>17054</v>
      </c>
      <c r="AB936" t="s">
        <v>17055</v>
      </c>
      <c r="AC936" t="s">
        <v>17056</v>
      </c>
      <c r="AD936" t="s">
        <v>17057</v>
      </c>
      <c r="AE936" t="s">
        <v>17058</v>
      </c>
      <c r="AF936" t="s">
        <v>74</v>
      </c>
      <c r="AG936">
        <v>40</v>
      </c>
      <c r="AH936">
        <v>20</v>
      </c>
      <c r="AI936">
        <v>20</v>
      </c>
      <c r="AJ936">
        <v>0</v>
      </c>
      <c r="AK936">
        <v>39</v>
      </c>
      <c r="AL936" t="s">
        <v>816</v>
      </c>
      <c r="AM936" t="s">
        <v>296</v>
      </c>
      <c r="AN936" t="s">
        <v>817</v>
      </c>
      <c r="AO936" t="s">
        <v>818</v>
      </c>
      <c r="AP936" t="s">
        <v>819</v>
      </c>
      <c r="AQ936" t="s">
        <v>74</v>
      </c>
      <c r="AR936" t="s">
        <v>820</v>
      </c>
      <c r="AS936" t="s">
        <v>821</v>
      </c>
      <c r="AT936" t="s">
        <v>15707</v>
      </c>
      <c r="AU936">
        <v>2012</v>
      </c>
      <c r="AV936">
        <v>24</v>
      </c>
      <c r="AW936">
        <v>6</v>
      </c>
      <c r="AX936" t="s">
        <v>74</v>
      </c>
      <c r="AY936" t="s">
        <v>74</v>
      </c>
      <c r="AZ936" t="s">
        <v>74</v>
      </c>
      <c r="BA936" t="s">
        <v>74</v>
      </c>
      <c r="BB936">
        <v>591</v>
      </c>
      <c r="BC936">
        <v>607</v>
      </c>
      <c r="BD936" t="s">
        <v>74</v>
      </c>
      <c r="BE936" t="s">
        <v>17059</v>
      </c>
      <c r="BF936" t="str">
        <f>HYPERLINK("http://dx.doi.org/10.1017/S0954102012000478","http://dx.doi.org/10.1017/S0954102012000478")</f>
        <v>http://dx.doi.org/10.1017/S0954102012000478</v>
      </c>
      <c r="BG936" t="s">
        <v>74</v>
      </c>
      <c r="BH936" t="s">
        <v>74</v>
      </c>
      <c r="BI936">
        <v>17</v>
      </c>
      <c r="BJ936" t="s">
        <v>823</v>
      </c>
      <c r="BK936" t="s">
        <v>102</v>
      </c>
      <c r="BL936" t="s">
        <v>824</v>
      </c>
      <c r="BM936" t="s">
        <v>16319</v>
      </c>
      <c r="BN936" t="s">
        <v>74</v>
      </c>
      <c r="BO936" t="s">
        <v>155</v>
      </c>
      <c r="BP936" t="s">
        <v>74</v>
      </c>
      <c r="BQ936" t="s">
        <v>74</v>
      </c>
      <c r="BR936" t="s">
        <v>105</v>
      </c>
      <c r="BS936" t="s">
        <v>17060</v>
      </c>
      <c r="BT936" t="str">
        <f>HYPERLINK("https%3A%2F%2Fwww.webofscience.com%2Fwos%2Fwoscc%2Ffull-record%2FWOS:000311918400007","View Full Record in Web of Science")</f>
        <v>View Full Record in Web of Science</v>
      </c>
    </row>
    <row r="937" spans="1:72" x14ac:dyDescent="0.15">
      <c r="A937" t="s">
        <v>72</v>
      </c>
      <c r="B937" t="s">
        <v>17061</v>
      </c>
      <c r="C937" t="s">
        <v>74</v>
      </c>
      <c r="D937" t="s">
        <v>74</v>
      </c>
      <c r="E937" t="s">
        <v>74</v>
      </c>
      <c r="F937" t="s">
        <v>17062</v>
      </c>
      <c r="G937" t="s">
        <v>74</v>
      </c>
      <c r="H937" t="s">
        <v>74</v>
      </c>
      <c r="I937" t="s">
        <v>17063</v>
      </c>
      <c r="J937" t="s">
        <v>803</v>
      </c>
      <c r="K937" t="s">
        <v>74</v>
      </c>
      <c r="L937" t="s">
        <v>74</v>
      </c>
      <c r="M937" t="s">
        <v>78</v>
      </c>
      <c r="N937" t="s">
        <v>79</v>
      </c>
      <c r="O937" t="s">
        <v>74</v>
      </c>
      <c r="P937" t="s">
        <v>74</v>
      </c>
      <c r="Q937" t="s">
        <v>74</v>
      </c>
      <c r="R937" t="s">
        <v>74</v>
      </c>
      <c r="S937" t="s">
        <v>74</v>
      </c>
      <c r="T937" t="s">
        <v>17064</v>
      </c>
      <c r="U937" t="s">
        <v>17065</v>
      </c>
      <c r="V937" t="s">
        <v>17066</v>
      </c>
      <c r="W937" t="s">
        <v>17067</v>
      </c>
      <c r="X937" t="s">
        <v>17068</v>
      </c>
      <c r="Y937" t="s">
        <v>17069</v>
      </c>
      <c r="Z937" t="s">
        <v>17070</v>
      </c>
      <c r="AA937" t="s">
        <v>17071</v>
      </c>
      <c r="AB937" t="s">
        <v>17072</v>
      </c>
      <c r="AC937" t="s">
        <v>17073</v>
      </c>
      <c r="AD937" t="s">
        <v>17074</v>
      </c>
      <c r="AE937" t="s">
        <v>17075</v>
      </c>
      <c r="AF937" t="s">
        <v>74</v>
      </c>
      <c r="AG937">
        <v>34</v>
      </c>
      <c r="AH937">
        <v>11</v>
      </c>
      <c r="AI937">
        <v>11</v>
      </c>
      <c r="AJ937">
        <v>0</v>
      </c>
      <c r="AK937">
        <v>24</v>
      </c>
      <c r="AL937" t="s">
        <v>816</v>
      </c>
      <c r="AM937" t="s">
        <v>296</v>
      </c>
      <c r="AN937" t="s">
        <v>817</v>
      </c>
      <c r="AO937" t="s">
        <v>818</v>
      </c>
      <c r="AP937" t="s">
        <v>819</v>
      </c>
      <c r="AQ937" t="s">
        <v>74</v>
      </c>
      <c r="AR937" t="s">
        <v>820</v>
      </c>
      <c r="AS937" t="s">
        <v>821</v>
      </c>
      <c r="AT937" t="s">
        <v>15707</v>
      </c>
      <c r="AU937">
        <v>2012</v>
      </c>
      <c r="AV937">
        <v>24</v>
      </c>
      <c r="AW937">
        <v>6</v>
      </c>
      <c r="AX937" t="s">
        <v>74</v>
      </c>
      <c r="AY937" t="s">
        <v>74</v>
      </c>
      <c r="AZ937" t="s">
        <v>74</v>
      </c>
      <c r="BA937" t="s">
        <v>74</v>
      </c>
      <c r="BB937">
        <v>608</v>
      </c>
      <c r="BC937">
        <v>618</v>
      </c>
      <c r="BD937" t="s">
        <v>74</v>
      </c>
      <c r="BE937" t="s">
        <v>17076</v>
      </c>
      <c r="BF937" t="str">
        <f>HYPERLINK("http://dx.doi.org/10.1017/S0954102012000466","http://dx.doi.org/10.1017/S0954102012000466")</f>
        <v>http://dx.doi.org/10.1017/S0954102012000466</v>
      </c>
      <c r="BG937" t="s">
        <v>74</v>
      </c>
      <c r="BH937" t="s">
        <v>74</v>
      </c>
      <c r="BI937">
        <v>11</v>
      </c>
      <c r="BJ937" t="s">
        <v>823</v>
      </c>
      <c r="BK937" t="s">
        <v>102</v>
      </c>
      <c r="BL937" t="s">
        <v>824</v>
      </c>
      <c r="BM937" t="s">
        <v>16319</v>
      </c>
      <c r="BN937" t="s">
        <v>74</v>
      </c>
      <c r="BO937" t="s">
        <v>429</v>
      </c>
      <c r="BP937" t="s">
        <v>74</v>
      </c>
      <c r="BQ937" t="s">
        <v>74</v>
      </c>
      <c r="BR937" t="s">
        <v>105</v>
      </c>
      <c r="BS937" t="s">
        <v>17077</v>
      </c>
      <c r="BT937" t="str">
        <f>HYPERLINK("https%3A%2F%2Fwww.webofscience.com%2Fwos%2Fwoscc%2Ffull-record%2FWOS:000311918400008","View Full Record in Web of Science")</f>
        <v>View Full Record in Web of Science</v>
      </c>
    </row>
    <row r="938" spans="1:72" x14ac:dyDescent="0.15">
      <c r="A938" t="s">
        <v>72</v>
      </c>
      <c r="B938" t="s">
        <v>17078</v>
      </c>
      <c r="C938" t="s">
        <v>74</v>
      </c>
      <c r="D938" t="s">
        <v>74</v>
      </c>
      <c r="E938" t="s">
        <v>74</v>
      </c>
      <c r="F938" t="s">
        <v>17079</v>
      </c>
      <c r="G938" t="s">
        <v>74</v>
      </c>
      <c r="H938" t="s">
        <v>74</v>
      </c>
      <c r="I938" t="s">
        <v>17080</v>
      </c>
      <c r="J938" t="s">
        <v>803</v>
      </c>
      <c r="K938" t="s">
        <v>74</v>
      </c>
      <c r="L938" t="s">
        <v>74</v>
      </c>
      <c r="M938" t="s">
        <v>78</v>
      </c>
      <c r="N938" t="s">
        <v>79</v>
      </c>
      <c r="O938" t="s">
        <v>74</v>
      </c>
      <c r="P938" t="s">
        <v>74</v>
      </c>
      <c r="Q938" t="s">
        <v>74</v>
      </c>
      <c r="R938" t="s">
        <v>74</v>
      </c>
      <c r="S938" t="s">
        <v>74</v>
      </c>
      <c r="T938" t="s">
        <v>17081</v>
      </c>
      <c r="U938" t="s">
        <v>17082</v>
      </c>
      <c r="V938" t="s">
        <v>17083</v>
      </c>
      <c r="W938" t="s">
        <v>17084</v>
      </c>
      <c r="X938" t="s">
        <v>17085</v>
      </c>
      <c r="Y938" t="s">
        <v>17086</v>
      </c>
      <c r="Z938" t="s">
        <v>17087</v>
      </c>
      <c r="AA938" t="s">
        <v>17088</v>
      </c>
      <c r="AB938" t="s">
        <v>17089</v>
      </c>
      <c r="AC938" t="s">
        <v>17090</v>
      </c>
      <c r="AD938" t="s">
        <v>17091</v>
      </c>
      <c r="AE938" t="s">
        <v>17092</v>
      </c>
      <c r="AF938" t="s">
        <v>74</v>
      </c>
      <c r="AG938">
        <v>46</v>
      </c>
      <c r="AH938">
        <v>2</v>
      </c>
      <c r="AI938">
        <v>3</v>
      </c>
      <c r="AJ938">
        <v>0</v>
      </c>
      <c r="AK938">
        <v>11</v>
      </c>
      <c r="AL938" t="s">
        <v>816</v>
      </c>
      <c r="AM938" t="s">
        <v>296</v>
      </c>
      <c r="AN938" t="s">
        <v>817</v>
      </c>
      <c r="AO938" t="s">
        <v>818</v>
      </c>
      <c r="AP938" t="s">
        <v>74</v>
      </c>
      <c r="AQ938" t="s">
        <v>74</v>
      </c>
      <c r="AR938" t="s">
        <v>820</v>
      </c>
      <c r="AS938" t="s">
        <v>821</v>
      </c>
      <c r="AT938" t="s">
        <v>15707</v>
      </c>
      <c r="AU938">
        <v>2012</v>
      </c>
      <c r="AV938">
        <v>24</v>
      </c>
      <c r="AW938">
        <v>6</v>
      </c>
      <c r="AX938" t="s">
        <v>74</v>
      </c>
      <c r="AY938" t="s">
        <v>74</v>
      </c>
      <c r="AZ938" t="s">
        <v>74</v>
      </c>
      <c r="BA938" t="s">
        <v>74</v>
      </c>
      <c r="BB938">
        <v>625</v>
      </c>
      <c r="BC938">
        <v>633</v>
      </c>
      <c r="BD938" t="s">
        <v>74</v>
      </c>
      <c r="BE938" t="s">
        <v>17093</v>
      </c>
      <c r="BF938" t="str">
        <f>HYPERLINK("http://dx.doi.org/10.1017/S0954102012000454","http://dx.doi.org/10.1017/S0954102012000454")</f>
        <v>http://dx.doi.org/10.1017/S0954102012000454</v>
      </c>
      <c r="BG938" t="s">
        <v>74</v>
      </c>
      <c r="BH938" t="s">
        <v>74</v>
      </c>
      <c r="BI938">
        <v>9</v>
      </c>
      <c r="BJ938" t="s">
        <v>823</v>
      </c>
      <c r="BK938" t="s">
        <v>102</v>
      </c>
      <c r="BL938" t="s">
        <v>824</v>
      </c>
      <c r="BM938" t="s">
        <v>16319</v>
      </c>
      <c r="BN938" t="s">
        <v>74</v>
      </c>
      <c r="BO938" t="s">
        <v>1207</v>
      </c>
      <c r="BP938" t="s">
        <v>74</v>
      </c>
      <c r="BQ938" t="s">
        <v>74</v>
      </c>
      <c r="BR938" t="s">
        <v>105</v>
      </c>
      <c r="BS938" t="s">
        <v>17094</v>
      </c>
      <c r="BT938" t="str">
        <f>HYPERLINK("https%3A%2F%2Fwww.webofscience.com%2Fwos%2Fwoscc%2Ffull-record%2FWOS:000311918400010","View Full Record in Web of Science")</f>
        <v>View Full Record in Web of Science</v>
      </c>
    </row>
    <row r="939" spans="1:72" x14ac:dyDescent="0.15">
      <c r="A939" t="s">
        <v>72</v>
      </c>
      <c r="B939" t="s">
        <v>17095</v>
      </c>
      <c r="C939" t="s">
        <v>74</v>
      </c>
      <c r="D939" t="s">
        <v>74</v>
      </c>
      <c r="E939" t="s">
        <v>74</v>
      </c>
      <c r="F939" t="s">
        <v>17096</v>
      </c>
      <c r="G939" t="s">
        <v>74</v>
      </c>
      <c r="H939" t="s">
        <v>74</v>
      </c>
      <c r="I939" t="s">
        <v>17097</v>
      </c>
      <c r="J939" t="s">
        <v>803</v>
      </c>
      <c r="K939" t="s">
        <v>74</v>
      </c>
      <c r="L939" t="s">
        <v>74</v>
      </c>
      <c r="M939" t="s">
        <v>78</v>
      </c>
      <c r="N939" t="s">
        <v>79</v>
      </c>
      <c r="O939" t="s">
        <v>74</v>
      </c>
      <c r="P939" t="s">
        <v>74</v>
      </c>
      <c r="Q939" t="s">
        <v>74</v>
      </c>
      <c r="R939" t="s">
        <v>74</v>
      </c>
      <c r="S939" t="s">
        <v>74</v>
      </c>
      <c r="T939" t="s">
        <v>74</v>
      </c>
      <c r="U939" t="s">
        <v>74</v>
      </c>
      <c r="V939" t="s">
        <v>74</v>
      </c>
      <c r="W939" t="s">
        <v>17098</v>
      </c>
      <c r="X939" t="s">
        <v>17099</v>
      </c>
      <c r="Y939" t="s">
        <v>17100</v>
      </c>
      <c r="Z939" t="s">
        <v>17101</v>
      </c>
      <c r="AA939" t="s">
        <v>17102</v>
      </c>
      <c r="AB939" t="s">
        <v>74</v>
      </c>
      <c r="AC939" t="s">
        <v>17103</v>
      </c>
      <c r="AD939" t="s">
        <v>17104</v>
      </c>
      <c r="AE939" t="s">
        <v>17105</v>
      </c>
      <c r="AF939" t="s">
        <v>74</v>
      </c>
      <c r="AG939">
        <v>5</v>
      </c>
      <c r="AH939">
        <v>1</v>
      </c>
      <c r="AI939">
        <v>1</v>
      </c>
      <c r="AJ939">
        <v>0</v>
      </c>
      <c r="AK939">
        <v>5</v>
      </c>
      <c r="AL939" t="s">
        <v>816</v>
      </c>
      <c r="AM939" t="s">
        <v>296</v>
      </c>
      <c r="AN939" t="s">
        <v>817</v>
      </c>
      <c r="AO939" t="s">
        <v>818</v>
      </c>
      <c r="AP939" t="s">
        <v>74</v>
      </c>
      <c r="AQ939" t="s">
        <v>74</v>
      </c>
      <c r="AR939" t="s">
        <v>820</v>
      </c>
      <c r="AS939" t="s">
        <v>821</v>
      </c>
      <c r="AT939" t="s">
        <v>15707</v>
      </c>
      <c r="AU939">
        <v>2012</v>
      </c>
      <c r="AV939">
        <v>24</v>
      </c>
      <c r="AW939">
        <v>6</v>
      </c>
      <c r="AX939" t="s">
        <v>74</v>
      </c>
      <c r="AY939" t="s">
        <v>74</v>
      </c>
      <c r="AZ939" t="s">
        <v>74</v>
      </c>
      <c r="BA939" t="s">
        <v>74</v>
      </c>
      <c r="BB939">
        <v>635</v>
      </c>
      <c r="BC939">
        <v>636</v>
      </c>
      <c r="BD939" t="s">
        <v>74</v>
      </c>
      <c r="BE939" t="s">
        <v>17106</v>
      </c>
      <c r="BF939" t="str">
        <f>HYPERLINK("http://dx.doi.org/10.1017/S095410201200065X","http://dx.doi.org/10.1017/S095410201200065X")</f>
        <v>http://dx.doi.org/10.1017/S095410201200065X</v>
      </c>
      <c r="BG939" t="s">
        <v>74</v>
      </c>
      <c r="BH939" t="s">
        <v>74</v>
      </c>
      <c r="BI939">
        <v>2</v>
      </c>
      <c r="BJ939" t="s">
        <v>823</v>
      </c>
      <c r="BK939" t="s">
        <v>102</v>
      </c>
      <c r="BL939" t="s">
        <v>824</v>
      </c>
      <c r="BM939" t="s">
        <v>16319</v>
      </c>
      <c r="BN939" t="s">
        <v>74</v>
      </c>
      <c r="BO939" t="s">
        <v>1207</v>
      </c>
      <c r="BP939" t="s">
        <v>74</v>
      </c>
      <c r="BQ939" t="s">
        <v>74</v>
      </c>
      <c r="BR939" t="s">
        <v>105</v>
      </c>
      <c r="BS939" t="s">
        <v>17107</v>
      </c>
      <c r="BT939" t="str">
        <f>HYPERLINK("https%3A%2F%2Fwww.webofscience.com%2Fwos%2Fwoscc%2Ffull-record%2FWOS:000311918400011","View Full Record in Web of Science")</f>
        <v>View Full Record in Web of Science</v>
      </c>
    </row>
    <row r="940" spans="1:72" x14ac:dyDescent="0.15">
      <c r="A940" t="s">
        <v>72</v>
      </c>
      <c r="B940" t="s">
        <v>17108</v>
      </c>
      <c r="C940" t="s">
        <v>74</v>
      </c>
      <c r="D940" t="s">
        <v>74</v>
      </c>
      <c r="E940" t="s">
        <v>74</v>
      </c>
      <c r="F940" t="s">
        <v>17109</v>
      </c>
      <c r="G940" t="s">
        <v>74</v>
      </c>
      <c r="H940" t="s">
        <v>74</v>
      </c>
      <c r="I940" t="s">
        <v>17110</v>
      </c>
      <c r="J940" t="s">
        <v>803</v>
      </c>
      <c r="K940" t="s">
        <v>74</v>
      </c>
      <c r="L940" t="s">
        <v>74</v>
      </c>
      <c r="M940" t="s">
        <v>78</v>
      </c>
      <c r="N940" t="s">
        <v>79</v>
      </c>
      <c r="O940" t="s">
        <v>74</v>
      </c>
      <c r="P940" t="s">
        <v>74</v>
      </c>
      <c r="Q940" t="s">
        <v>74</v>
      </c>
      <c r="R940" t="s">
        <v>74</v>
      </c>
      <c r="S940" t="s">
        <v>74</v>
      </c>
      <c r="T940" t="s">
        <v>17111</v>
      </c>
      <c r="U940" t="s">
        <v>17112</v>
      </c>
      <c r="V940" t="s">
        <v>17113</v>
      </c>
      <c r="W940" t="s">
        <v>17114</v>
      </c>
      <c r="X940" t="s">
        <v>12219</v>
      </c>
      <c r="Y940" t="s">
        <v>17115</v>
      </c>
      <c r="Z940" t="s">
        <v>17116</v>
      </c>
      <c r="AA940" t="s">
        <v>17117</v>
      </c>
      <c r="AB940" t="s">
        <v>17118</v>
      </c>
      <c r="AC940" t="s">
        <v>17119</v>
      </c>
      <c r="AD940" t="s">
        <v>17120</v>
      </c>
      <c r="AE940" t="s">
        <v>17121</v>
      </c>
      <c r="AF940" t="s">
        <v>74</v>
      </c>
      <c r="AG940">
        <v>33</v>
      </c>
      <c r="AH940">
        <v>159</v>
      </c>
      <c r="AI940">
        <v>185</v>
      </c>
      <c r="AJ940">
        <v>2</v>
      </c>
      <c r="AK940">
        <v>88</v>
      </c>
      <c r="AL940" t="s">
        <v>816</v>
      </c>
      <c r="AM940" t="s">
        <v>296</v>
      </c>
      <c r="AN940" t="s">
        <v>817</v>
      </c>
      <c r="AO940" t="s">
        <v>818</v>
      </c>
      <c r="AP940" t="s">
        <v>819</v>
      </c>
      <c r="AQ940" t="s">
        <v>74</v>
      </c>
      <c r="AR940" t="s">
        <v>820</v>
      </c>
      <c r="AS940" t="s">
        <v>821</v>
      </c>
      <c r="AT940" t="s">
        <v>15707</v>
      </c>
      <c r="AU940">
        <v>2012</v>
      </c>
      <c r="AV940">
        <v>24</v>
      </c>
      <c r="AW940">
        <v>6</v>
      </c>
      <c r="AX940" t="s">
        <v>74</v>
      </c>
      <c r="AY940" t="s">
        <v>74</v>
      </c>
      <c r="AZ940" t="s">
        <v>74</v>
      </c>
      <c r="BA940" t="s">
        <v>74</v>
      </c>
      <c r="BB940">
        <v>659</v>
      </c>
      <c r="BC940">
        <v>664</v>
      </c>
      <c r="BD940" t="s">
        <v>74</v>
      </c>
      <c r="BE940" t="s">
        <v>17122</v>
      </c>
      <c r="BF940" t="str">
        <f>HYPERLINK("http://dx.doi.org/10.1017/S095410201200048X","http://dx.doi.org/10.1017/S095410201200048X")</f>
        <v>http://dx.doi.org/10.1017/S095410201200048X</v>
      </c>
      <c r="BG940" t="s">
        <v>74</v>
      </c>
      <c r="BH940" t="s">
        <v>74</v>
      </c>
      <c r="BI940">
        <v>6</v>
      </c>
      <c r="BJ940" t="s">
        <v>823</v>
      </c>
      <c r="BK940" t="s">
        <v>102</v>
      </c>
      <c r="BL940" t="s">
        <v>824</v>
      </c>
      <c r="BM940" t="s">
        <v>16319</v>
      </c>
      <c r="BN940" t="s">
        <v>74</v>
      </c>
      <c r="BO940" t="s">
        <v>74</v>
      </c>
      <c r="BP940" t="s">
        <v>74</v>
      </c>
      <c r="BQ940" t="s">
        <v>74</v>
      </c>
      <c r="BR940" t="s">
        <v>105</v>
      </c>
      <c r="BS940" t="s">
        <v>17123</v>
      </c>
      <c r="BT940" t="str">
        <f>HYPERLINK("https%3A%2F%2Fwww.webofscience.com%2Fwos%2Fwoscc%2Ffull-record%2FWOS:000311918400013","View Full Record in Web of Science")</f>
        <v>View Full Record in Web of Science</v>
      </c>
    </row>
    <row r="941" spans="1:72" x14ac:dyDescent="0.15">
      <c r="A941" t="s">
        <v>72</v>
      </c>
      <c r="B941" t="s">
        <v>17124</v>
      </c>
      <c r="C941" t="s">
        <v>74</v>
      </c>
      <c r="D941" t="s">
        <v>74</v>
      </c>
      <c r="E941" t="s">
        <v>74</v>
      </c>
      <c r="F941" t="s">
        <v>17125</v>
      </c>
      <c r="G941" t="s">
        <v>74</v>
      </c>
      <c r="H941" t="s">
        <v>74</v>
      </c>
      <c r="I941" t="s">
        <v>17126</v>
      </c>
      <c r="J941" t="s">
        <v>17127</v>
      </c>
      <c r="K941" t="s">
        <v>74</v>
      </c>
      <c r="L941" t="s">
        <v>74</v>
      </c>
      <c r="M941" t="s">
        <v>78</v>
      </c>
      <c r="N941" t="s">
        <v>79</v>
      </c>
      <c r="O941" t="s">
        <v>74</v>
      </c>
      <c r="P941" t="s">
        <v>74</v>
      </c>
      <c r="Q941" t="s">
        <v>74</v>
      </c>
      <c r="R941" t="s">
        <v>74</v>
      </c>
      <c r="S941" t="s">
        <v>74</v>
      </c>
      <c r="T941" t="s">
        <v>74</v>
      </c>
      <c r="U941" t="s">
        <v>17128</v>
      </c>
      <c r="V941" t="s">
        <v>17129</v>
      </c>
      <c r="W941" t="s">
        <v>17130</v>
      </c>
      <c r="X941" t="s">
        <v>17131</v>
      </c>
      <c r="Y941" t="s">
        <v>17132</v>
      </c>
      <c r="Z941" t="s">
        <v>17133</v>
      </c>
      <c r="AA941" t="s">
        <v>17134</v>
      </c>
      <c r="AB941" t="s">
        <v>17135</v>
      </c>
      <c r="AC941" t="s">
        <v>17136</v>
      </c>
      <c r="AD941" t="s">
        <v>17137</v>
      </c>
      <c r="AE941" t="s">
        <v>17138</v>
      </c>
      <c r="AF941" t="s">
        <v>74</v>
      </c>
      <c r="AG941">
        <v>84</v>
      </c>
      <c r="AH941">
        <v>22</v>
      </c>
      <c r="AI941">
        <v>23</v>
      </c>
      <c r="AJ941">
        <v>1</v>
      </c>
      <c r="AK941">
        <v>21</v>
      </c>
      <c r="AL941" t="s">
        <v>146</v>
      </c>
      <c r="AM941" t="s">
        <v>147</v>
      </c>
      <c r="AN941" t="s">
        <v>148</v>
      </c>
      <c r="AO941" t="s">
        <v>17139</v>
      </c>
      <c r="AP941" t="s">
        <v>74</v>
      </c>
      <c r="AQ941" t="s">
        <v>74</v>
      </c>
      <c r="AR941" t="s">
        <v>17140</v>
      </c>
      <c r="AS941" t="s">
        <v>17141</v>
      </c>
      <c r="AT941" t="s">
        <v>15707</v>
      </c>
      <c r="AU941">
        <v>2012</v>
      </c>
      <c r="AV941">
        <v>27</v>
      </c>
      <c r="AW941">
        <v>12</v>
      </c>
      <c r="AX941" t="s">
        <v>74</v>
      </c>
      <c r="AY941" t="s">
        <v>74</v>
      </c>
      <c r="AZ941" t="s">
        <v>74</v>
      </c>
      <c r="BA941" t="s">
        <v>74</v>
      </c>
      <c r="BB941">
        <v>2546</v>
      </c>
      <c r="BC941">
        <v>2559</v>
      </c>
      <c r="BD941" t="s">
        <v>74</v>
      </c>
      <c r="BE941" t="s">
        <v>17142</v>
      </c>
      <c r="BF941" t="str">
        <f>HYPERLINK("http://dx.doi.org/10.1016/j.apgeochem.2012.08.009","http://dx.doi.org/10.1016/j.apgeochem.2012.08.009")</f>
        <v>http://dx.doi.org/10.1016/j.apgeochem.2012.08.009</v>
      </c>
      <c r="BG941" t="s">
        <v>74</v>
      </c>
      <c r="BH941" t="s">
        <v>74</v>
      </c>
      <c r="BI941">
        <v>14</v>
      </c>
      <c r="BJ941" t="s">
        <v>263</v>
      </c>
      <c r="BK941" t="s">
        <v>102</v>
      </c>
      <c r="BL941" t="s">
        <v>263</v>
      </c>
      <c r="BM941" t="s">
        <v>17143</v>
      </c>
      <c r="BN941" t="s">
        <v>74</v>
      </c>
      <c r="BO941" t="s">
        <v>104</v>
      </c>
      <c r="BP941" t="s">
        <v>74</v>
      </c>
      <c r="BQ941" t="s">
        <v>74</v>
      </c>
      <c r="BR941" t="s">
        <v>105</v>
      </c>
      <c r="BS941" t="s">
        <v>17144</v>
      </c>
      <c r="BT941" t="str">
        <f>HYPERLINK("https%3A%2F%2Fwww.webofscience.com%2Fwos%2Fwoscc%2Ffull-record%2FWOS:000310757600025","View Full Record in Web of Science")</f>
        <v>View Full Record in Web of Science</v>
      </c>
    </row>
    <row r="942" spans="1:72" x14ac:dyDescent="0.15">
      <c r="A942" t="s">
        <v>72</v>
      </c>
      <c r="B942" t="s">
        <v>17145</v>
      </c>
      <c r="C942" t="s">
        <v>74</v>
      </c>
      <c r="D942" t="s">
        <v>74</v>
      </c>
      <c r="E942" t="s">
        <v>74</v>
      </c>
      <c r="F942" t="s">
        <v>17146</v>
      </c>
      <c r="G942" t="s">
        <v>74</v>
      </c>
      <c r="H942" t="s">
        <v>74</v>
      </c>
      <c r="I942" t="s">
        <v>17147</v>
      </c>
      <c r="J942" t="s">
        <v>17148</v>
      </c>
      <c r="K942" t="s">
        <v>74</v>
      </c>
      <c r="L942" t="s">
        <v>74</v>
      </c>
      <c r="M942" t="s">
        <v>78</v>
      </c>
      <c r="N942" t="s">
        <v>79</v>
      </c>
      <c r="O942" t="s">
        <v>74</v>
      </c>
      <c r="P942" t="s">
        <v>74</v>
      </c>
      <c r="Q942" t="s">
        <v>74</v>
      </c>
      <c r="R942" t="s">
        <v>74</v>
      </c>
      <c r="S942" t="s">
        <v>74</v>
      </c>
      <c r="T942" t="s">
        <v>74</v>
      </c>
      <c r="U942" t="s">
        <v>17149</v>
      </c>
      <c r="V942" t="s">
        <v>17150</v>
      </c>
      <c r="W942" t="s">
        <v>17151</v>
      </c>
      <c r="X942" t="s">
        <v>17152</v>
      </c>
      <c r="Y942" t="s">
        <v>17153</v>
      </c>
      <c r="Z942" t="s">
        <v>17154</v>
      </c>
      <c r="AA942" t="s">
        <v>17155</v>
      </c>
      <c r="AB942" t="s">
        <v>17156</v>
      </c>
      <c r="AC942" t="s">
        <v>17157</v>
      </c>
      <c r="AD942" t="s">
        <v>17158</v>
      </c>
      <c r="AE942" t="s">
        <v>17159</v>
      </c>
      <c r="AF942" t="s">
        <v>74</v>
      </c>
      <c r="AG942">
        <v>19</v>
      </c>
      <c r="AH942">
        <v>63</v>
      </c>
      <c r="AI942">
        <v>66</v>
      </c>
      <c r="AJ942">
        <v>0</v>
      </c>
      <c r="AK942">
        <v>79</v>
      </c>
      <c r="AL942" t="s">
        <v>17160</v>
      </c>
      <c r="AM942" t="s">
        <v>17161</v>
      </c>
      <c r="AN942" t="s">
        <v>17162</v>
      </c>
      <c r="AO942" t="s">
        <v>17163</v>
      </c>
      <c r="AP942" t="s">
        <v>17164</v>
      </c>
      <c r="AQ942" t="s">
        <v>74</v>
      </c>
      <c r="AR942" t="s">
        <v>17148</v>
      </c>
      <c r="AS942" t="s">
        <v>17165</v>
      </c>
      <c r="AT942" t="s">
        <v>15707</v>
      </c>
      <c r="AU942">
        <v>2012</v>
      </c>
      <c r="AV942">
        <v>12</v>
      </c>
      <c r="AW942">
        <v>12</v>
      </c>
      <c r="AX942" t="s">
        <v>74</v>
      </c>
      <c r="AY942" t="s">
        <v>74</v>
      </c>
      <c r="AZ942" t="s">
        <v>74</v>
      </c>
      <c r="BA942" t="s">
        <v>74</v>
      </c>
      <c r="BB942">
        <v>1095</v>
      </c>
      <c r="BC942">
        <v>1099</v>
      </c>
      <c r="BD942" t="s">
        <v>74</v>
      </c>
      <c r="BE942" t="s">
        <v>17166</v>
      </c>
      <c r="BF942" t="str">
        <f>HYPERLINK("http://dx.doi.org/10.1089/ast.2012.0879","http://dx.doi.org/10.1089/ast.2012.0879")</f>
        <v>http://dx.doi.org/10.1089/ast.2012.0879</v>
      </c>
      <c r="BG942" t="s">
        <v>74</v>
      </c>
      <c r="BH942" t="s">
        <v>74</v>
      </c>
      <c r="BI942">
        <v>5</v>
      </c>
      <c r="BJ942" t="s">
        <v>17167</v>
      </c>
      <c r="BK942" t="s">
        <v>102</v>
      </c>
      <c r="BL942" t="s">
        <v>17168</v>
      </c>
      <c r="BM942" t="s">
        <v>17169</v>
      </c>
      <c r="BN942">
        <v>23151300</v>
      </c>
      <c r="BO942" t="s">
        <v>4854</v>
      </c>
      <c r="BP942" t="s">
        <v>74</v>
      </c>
      <c r="BQ942" t="s">
        <v>74</v>
      </c>
      <c r="BR942" t="s">
        <v>105</v>
      </c>
      <c r="BS942" t="s">
        <v>17170</v>
      </c>
      <c r="BT942" t="str">
        <f>HYPERLINK("https%3A%2F%2Fwww.webofscience.com%2Fwos%2Fwoscc%2Ffull-record%2FWOS:000312561600001","View Full Record in Web of Science")</f>
        <v>View Full Record in Web of Science</v>
      </c>
    </row>
    <row r="943" spans="1:72" x14ac:dyDescent="0.15">
      <c r="A943" t="s">
        <v>72</v>
      </c>
      <c r="B943" t="s">
        <v>17171</v>
      </c>
      <c r="C943" t="s">
        <v>74</v>
      </c>
      <c r="D943" t="s">
        <v>74</v>
      </c>
      <c r="E943" t="s">
        <v>74</v>
      </c>
      <c r="F943" t="s">
        <v>17172</v>
      </c>
      <c r="G943" t="s">
        <v>74</v>
      </c>
      <c r="H943" t="s">
        <v>74</v>
      </c>
      <c r="I943" t="s">
        <v>17173</v>
      </c>
      <c r="J943" t="s">
        <v>17174</v>
      </c>
      <c r="K943" t="s">
        <v>74</v>
      </c>
      <c r="L943" t="s">
        <v>74</v>
      </c>
      <c r="M943" t="s">
        <v>78</v>
      </c>
      <c r="N943" t="s">
        <v>79</v>
      </c>
      <c r="O943" t="s">
        <v>74</v>
      </c>
      <c r="P943" t="s">
        <v>74</v>
      </c>
      <c r="Q943" t="s">
        <v>74</v>
      </c>
      <c r="R943" t="s">
        <v>74</v>
      </c>
      <c r="S943" t="s">
        <v>74</v>
      </c>
      <c r="T943" t="s">
        <v>17175</v>
      </c>
      <c r="U943" t="s">
        <v>17176</v>
      </c>
      <c r="V943" t="s">
        <v>17177</v>
      </c>
      <c r="W943" t="s">
        <v>17178</v>
      </c>
      <c r="X943" t="s">
        <v>17179</v>
      </c>
      <c r="Y943" t="s">
        <v>17180</v>
      </c>
      <c r="Z943" t="s">
        <v>17181</v>
      </c>
      <c r="AA943" t="s">
        <v>17182</v>
      </c>
      <c r="AB943" t="s">
        <v>17183</v>
      </c>
      <c r="AC943" t="s">
        <v>74</v>
      </c>
      <c r="AD943" t="s">
        <v>74</v>
      </c>
      <c r="AE943" t="s">
        <v>74</v>
      </c>
      <c r="AF943" t="s">
        <v>74</v>
      </c>
      <c r="AG943">
        <v>21</v>
      </c>
      <c r="AH943">
        <v>31</v>
      </c>
      <c r="AI943">
        <v>33</v>
      </c>
      <c r="AJ943">
        <v>0</v>
      </c>
      <c r="AK943">
        <v>10</v>
      </c>
      <c r="AL943" t="s">
        <v>13233</v>
      </c>
      <c r="AM943" t="s">
        <v>13234</v>
      </c>
      <c r="AN943" t="s">
        <v>13235</v>
      </c>
      <c r="AO943" t="s">
        <v>17184</v>
      </c>
      <c r="AP943" t="s">
        <v>17185</v>
      </c>
      <c r="AQ943" t="s">
        <v>74</v>
      </c>
      <c r="AR943" t="s">
        <v>17186</v>
      </c>
      <c r="AS943" t="s">
        <v>17187</v>
      </c>
      <c r="AT943" t="s">
        <v>15707</v>
      </c>
      <c r="AU943">
        <v>2012</v>
      </c>
      <c r="AV943">
        <v>548</v>
      </c>
      <c r="AW943" t="s">
        <v>74</v>
      </c>
      <c r="AX943" t="s">
        <v>74</v>
      </c>
      <c r="AY943" t="s">
        <v>74</v>
      </c>
      <c r="AZ943" t="s">
        <v>74</v>
      </c>
      <c r="BA943" t="s">
        <v>74</v>
      </c>
      <c r="BB943" t="s">
        <v>74</v>
      </c>
      <c r="BC943" t="s">
        <v>74</v>
      </c>
      <c r="BD943" t="s">
        <v>17188</v>
      </c>
      <c r="BE943" t="s">
        <v>17189</v>
      </c>
      <c r="BF943" t="str">
        <f>HYPERLINK("http://dx.doi.org/10.1051/0004-6361/201220420","http://dx.doi.org/10.1051/0004-6361/201220420")</f>
        <v>http://dx.doi.org/10.1051/0004-6361/201220420</v>
      </c>
      <c r="BG943" t="s">
        <v>74</v>
      </c>
      <c r="BH943" t="s">
        <v>74</v>
      </c>
      <c r="BI943">
        <v>10</v>
      </c>
      <c r="BJ943" t="s">
        <v>153</v>
      </c>
      <c r="BK943" t="s">
        <v>102</v>
      </c>
      <c r="BL943" t="s">
        <v>153</v>
      </c>
      <c r="BM943" t="s">
        <v>17190</v>
      </c>
      <c r="BN943" t="s">
        <v>74</v>
      </c>
      <c r="BO943" t="s">
        <v>155</v>
      </c>
      <c r="BP943" t="s">
        <v>74</v>
      </c>
      <c r="BQ943" t="s">
        <v>74</v>
      </c>
      <c r="BR943" t="s">
        <v>105</v>
      </c>
      <c r="BS943" t="s">
        <v>17191</v>
      </c>
      <c r="BT943" t="str">
        <f>HYPERLINK("https%3A%2F%2Fwww.webofscience.com%2Fwos%2Fwoscc%2Ffull-record%2FWOS:000311901200065","View Full Record in Web of Science")</f>
        <v>View Full Record in Web of Science</v>
      </c>
    </row>
    <row r="944" spans="1:72" x14ac:dyDescent="0.15">
      <c r="A944" t="s">
        <v>72</v>
      </c>
      <c r="B944" t="s">
        <v>17192</v>
      </c>
      <c r="C944" t="s">
        <v>74</v>
      </c>
      <c r="D944" t="s">
        <v>74</v>
      </c>
      <c r="E944" t="s">
        <v>74</v>
      </c>
      <c r="F944" t="s">
        <v>17193</v>
      </c>
      <c r="G944" t="s">
        <v>74</v>
      </c>
      <c r="H944" t="s">
        <v>74</v>
      </c>
      <c r="I944" t="s">
        <v>17194</v>
      </c>
      <c r="J944" t="s">
        <v>17195</v>
      </c>
      <c r="K944" t="s">
        <v>74</v>
      </c>
      <c r="L944" t="s">
        <v>74</v>
      </c>
      <c r="M944" t="s">
        <v>78</v>
      </c>
      <c r="N944" t="s">
        <v>79</v>
      </c>
      <c r="O944" t="s">
        <v>74</v>
      </c>
      <c r="P944" t="s">
        <v>74</v>
      </c>
      <c r="Q944" t="s">
        <v>74</v>
      </c>
      <c r="R944" t="s">
        <v>74</v>
      </c>
      <c r="S944" t="s">
        <v>74</v>
      </c>
      <c r="T944" t="s">
        <v>17196</v>
      </c>
      <c r="U944" t="s">
        <v>17197</v>
      </c>
      <c r="V944" t="s">
        <v>17198</v>
      </c>
      <c r="W944" t="s">
        <v>17199</v>
      </c>
      <c r="X944" t="s">
        <v>17200</v>
      </c>
      <c r="Y944" t="s">
        <v>17201</v>
      </c>
      <c r="Z944" t="s">
        <v>17202</v>
      </c>
      <c r="AA944" t="s">
        <v>74</v>
      </c>
      <c r="AB944" t="s">
        <v>17203</v>
      </c>
      <c r="AC944" t="s">
        <v>17204</v>
      </c>
      <c r="AD944" t="s">
        <v>17204</v>
      </c>
      <c r="AE944" t="s">
        <v>17205</v>
      </c>
      <c r="AF944" t="s">
        <v>74</v>
      </c>
      <c r="AG944">
        <v>50</v>
      </c>
      <c r="AH944">
        <v>31</v>
      </c>
      <c r="AI944">
        <v>31</v>
      </c>
      <c r="AJ944">
        <v>0</v>
      </c>
      <c r="AK944">
        <v>74</v>
      </c>
      <c r="AL944" t="s">
        <v>214</v>
      </c>
      <c r="AM944" t="s">
        <v>215</v>
      </c>
      <c r="AN944" t="s">
        <v>216</v>
      </c>
      <c r="AO944" t="s">
        <v>17206</v>
      </c>
      <c r="AP944" t="s">
        <v>74</v>
      </c>
      <c r="AQ944" t="s">
        <v>74</v>
      </c>
      <c r="AR944" t="s">
        <v>17207</v>
      </c>
      <c r="AS944" t="s">
        <v>17208</v>
      </c>
      <c r="AT944" t="s">
        <v>15707</v>
      </c>
      <c r="AU944">
        <v>2012</v>
      </c>
      <c r="AV944">
        <v>37</v>
      </c>
      <c r="AW944">
        <v>8</v>
      </c>
      <c r="AX944" t="s">
        <v>74</v>
      </c>
      <c r="AY944" t="s">
        <v>74</v>
      </c>
      <c r="AZ944" t="s">
        <v>74</v>
      </c>
      <c r="BA944" t="s">
        <v>74</v>
      </c>
      <c r="BB944">
        <v>971</v>
      </c>
      <c r="BC944">
        <v>979</v>
      </c>
      <c r="BD944" t="s">
        <v>74</v>
      </c>
      <c r="BE944" t="s">
        <v>17209</v>
      </c>
      <c r="BF944" t="str">
        <f>HYPERLINK("http://dx.doi.org/10.1111/j.1442-9993.2011.02356.x","http://dx.doi.org/10.1111/j.1442-9993.2011.02356.x")</f>
        <v>http://dx.doi.org/10.1111/j.1442-9993.2011.02356.x</v>
      </c>
      <c r="BG944" t="s">
        <v>74</v>
      </c>
      <c r="BH944" t="s">
        <v>74</v>
      </c>
      <c r="BI944">
        <v>9</v>
      </c>
      <c r="BJ944" t="s">
        <v>5172</v>
      </c>
      <c r="BK944" t="s">
        <v>102</v>
      </c>
      <c r="BL944" t="s">
        <v>455</v>
      </c>
      <c r="BM944" t="s">
        <v>17210</v>
      </c>
      <c r="BN944" t="s">
        <v>74</v>
      </c>
      <c r="BO944" t="s">
        <v>74</v>
      </c>
      <c r="BP944" t="s">
        <v>74</v>
      </c>
      <c r="BQ944" t="s">
        <v>74</v>
      </c>
      <c r="BR944" t="s">
        <v>105</v>
      </c>
      <c r="BS944" t="s">
        <v>17211</v>
      </c>
      <c r="BT944" t="str">
        <f>HYPERLINK("https%3A%2F%2Fwww.webofscience.com%2Fwos%2Fwoscc%2Ffull-record%2FWOS:000311400500030","View Full Record in Web of Science")</f>
        <v>View Full Record in Web of Science</v>
      </c>
    </row>
    <row r="945" spans="1:72" x14ac:dyDescent="0.15">
      <c r="A945" t="s">
        <v>72</v>
      </c>
      <c r="B945" t="s">
        <v>17212</v>
      </c>
      <c r="C945" t="s">
        <v>74</v>
      </c>
      <c r="D945" t="s">
        <v>74</v>
      </c>
      <c r="E945" t="s">
        <v>74</v>
      </c>
      <c r="F945" t="s">
        <v>17213</v>
      </c>
      <c r="G945" t="s">
        <v>74</v>
      </c>
      <c r="H945" t="s">
        <v>74</v>
      </c>
      <c r="I945" t="s">
        <v>17214</v>
      </c>
      <c r="J945" t="s">
        <v>17215</v>
      </c>
      <c r="K945" t="s">
        <v>74</v>
      </c>
      <c r="L945" t="s">
        <v>74</v>
      </c>
      <c r="M945" t="s">
        <v>78</v>
      </c>
      <c r="N945" t="s">
        <v>79</v>
      </c>
      <c r="O945" t="s">
        <v>74</v>
      </c>
      <c r="P945" t="s">
        <v>74</v>
      </c>
      <c r="Q945" t="s">
        <v>74</v>
      </c>
      <c r="R945" t="s">
        <v>74</v>
      </c>
      <c r="S945" t="s">
        <v>74</v>
      </c>
      <c r="T945" t="s">
        <v>17216</v>
      </c>
      <c r="U945" t="s">
        <v>17217</v>
      </c>
      <c r="V945" t="s">
        <v>17218</v>
      </c>
      <c r="W945" t="s">
        <v>17219</v>
      </c>
      <c r="X945" t="s">
        <v>17220</v>
      </c>
      <c r="Y945" t="s">
        <v>17221</v>
      </c>
      <c r="Z945" t="s">
        <v>17222</v>
      </c>
      <c r="AA945" t="s">
        <v>17223</v>
      </c>
      <c r="AB945" t="s">
        <v>17224</v>
      </c>
      <c r="AC945" t="s">
        <v>74</v>
      </c>
      <c r="AD945" t="s">
        <v>74</v>
      </c>
      <c r="AE945" t="s">
        <v>74</v>
      </c>
      <c r="AF945" t="s">
        <v>74</v>
      </c>
      <c r="AG945">
        <v>22</v>
      </c>
      <c r="AH945">
        <v>7</v>
      </c>
      <c r="AI945">
        <v>7</v>
      </c>
      <c r="AJ945">
        <v>0</v>
      </c>
      <c r="AK945">
        <v>0</v>
      </c>
      <c r="AL945" t="s">
        <v>17225</v>
      </c>
      <c r="AM945" t="s">
        <v>4317</v>
      </c>
      <c r="AN945" t="s">
        <v>17226</v>
      </c>
      <c r="AO945" t="s">
        <v>17227</v>
      </c>
      <c r="AP945" t="s">
        <v>17228</v>
      </c>
      <c r="AQ945" t="s">
        <v>74</v>
      </c>
      <c r="AR945" t="s">
        <v>17229</v>
      </c>
      <c r="AS945" t="s">
        <v>17230</v>
      </c>
      <c r="AT945" t="s">
        <v>15707</v>
      </c>
      <c r="AU945">
        <v>2012</v>
      </c>
      <c r="AV945">
        <v>5</v>
      </c>
      <c r="AW945">
        <v>1</v>
      </c>
      <c r="AX945" t="s">
        <v>74</v>
      </c>
      <c r="AY945" t="s">
        <v>74</v>
      </c>
      <c r="AZ945" t="s">
        <v>74</v>
      </c>
      <c r="BA945" t="s">
        <v>74</v>
      </c>
      <c r="BB945">
        <v>29</v>
      </c>
      <c r="BC945">
        <v>42</v>
      </c>
      <c r="BD945" t="s">
        <v>74</v>
      </c>
      <c r="BE945" t="s">
        <v>17231</v>
      </c>
      <c r="BF945" t="str">
        <f>HYPERLINK("http://dx.doi.org/10.2478/v10250-012-0002-9","http://dx.doi.org/10.2478/v10250-012-0002-9")</f>
        <v>http://dx.doi.org/10.2478/v10250-012-0002-9</v>
      </c>
      <c r="BG945" t="s">
        <v>74</v>
      </c>
      <c r="BH945" t="s">
        <v>74</v>
      </c>
      <c r="BI945">
        <v>14</v>
      </c>
      <c r="BJ945" t="s">
        <v>14107</v>
      </c>
      <c r="BK945" t="s">
        <v>1717</v>
      </c>
      <c r="BL945" t="s">
        <v>14108</v>
      </c>
      <c r="BM945" t="s">
        <v>17232</v>
      </c>
      <c r="BN945" t="s">
        <v>74</v>
      </c>
      <c r="BO945" t="s">
        <v>4132</v>
      </c>
      <c r="BP945" t="s">
        <v>74</v>
      </c>
      <c r="BQ945" t="s">
        <v>74</v>
      </c>
      <c r="BR945" t="s">
        <v>105</v>
      </c>
      <c r="BS945" t="s">
        <v>17233</v>
      </c>
      <c r="BT945" t="str">
        <f>HYPERLINK("https%3A%2F%2Fwww.webofscience.com%2Fwos%2Fwoscc%2Ffull-record%2FWOS:000215138900002","View Full Record in Web of Science")</f>
        <v>View Full Record in Web of Science</v>
      </c>
    </row>
    <row r="946" spans="1:72" x14ac:dyDescent="0.15">
      <c r="A946" t="s">
        <v>72</v>
      </c>
      <c r="B946" t="s">
        <v>17234</v>
      </c>
      <c r="C946" t="s">
        <v>74</v>
      </c>
      <c r="D946" t="s">
        <v>74</v>
      </c>
      <c r="E946" t="s">
        <v>74</v>
      </c>
      <c r="F946" t="s">
        <v>17235</v>
      </c>
      <c r="G946" t="s">
        <v>74</v>
      </c>
      <c r="H946" t="s">
        <v>74</v>
      </c>
      <c r="I946" t="s">
        <v>17236</v>
      </c>
      <c r="J946" t="s">
        <v>17237</v>
      </c>
      <c r="K946" t="s">
        <v>74</v>
      </c>
      <c r="L946" t="s">
        <v>74</v>
      </c>
      <c r="M946" t="s">
        <v>78</v>
      </c>
      <c r="N946" t="s">
        <v>79</v>
      </c>
      <c r="O946" t="s">
        <v>74</v>
      </c>
      <c r="P946" t="s">
        <v>74</v>
      </c>
      <c r="Q946" t="s">
        <v>74</v>
      </c>
      <c r="R946" t="s">
        <v>74</v>
      </c>
      <c r="S946" t="s">
        <v>74</v>
      </c>
      <c r="T946" t="s">
        <v>74</v>
      </c>
      <c r="U946" t="s">
        <v>17238</v>
      </c>
      <c r="V946" t="s">
        <v>17239</v>
      </c>
      <c r="W946" t="s">
        <v>17240</v>
      </c>
      <c r="X946" t="s">
        <v>17241</v>
      </c>
      <c r="Y946" t="s">
        <v>17242</v>
      </c>
      <c r="Z946" t="s">
        <v>17243</v>
      </c>
      <c r="AA946" t="s">
        <v>17244</v>
      </c>
      <c r="AB946" t="s">
        <v>17245</v>
      </c>
      <c r="AC946" t="s">
        <v>17246</v>
      </c>
      <c r="AD946" t="s">
        <v>17247</v>
      </c>
      <c r="AE946" t="s">
        <v>17248</v>
      </c>
      <c r="AF946" t="s">
        <v>74</v>
      </c>
      <c r="AG946">
        <v>60</v>
      </c>
      <c r="AH946">
        <v>40</v>
      </c>
      <c r="AI946">
        <v>45</v>
      </c>
      <c r="AJ946">
        <v>1</v>
      </c>
      <c r="AK946">
        <v>56</v>
      </c>
      <c r="AL946" t="s">
        <v>17249</v>
      </c>
      <c r="AM946" t="s">
        <v>17250</v>
      </c>
      <c r="AN946" t="s">
        <v>17251</v>
      </c>
      <c r="AO946" t="s">
        <v>17252</v>
      </c>
      <c r="AP946" t="s">
        <v>74</v>
      </c>
      <c r="AQ946" t="s">
        <v>74</v>
      </c>
      <c r="AR946" t="s">
        <v>17253</v>
      </c>
      <c r="AS946" t="s">
        <v>17254</v>
      </c>
      <c r="AT946" t="s">
        <v>15707</v>
      </c>
      <c r="AU946">
        <v>2012</v>
      </c>
      <c r="AV946">
        <v>69</v>
      </c>
      <c r="AW946">
        <v>12</v>
      </c>
      <c r="AX946" t="s">
        <v>74</v>
      </c>
      <c r="AY946" t="s">
        <v>74</v>
      </c>
      <c r="AZ946" t="s">
        <v>74</v>
      </c>
      <c r="BA946" t="s">
        <v>74</v>
      </c>
      <c r="BB946">
        <v>1903</v>
      </c>
      <c r="BC946">
        <v>1919</v>
      </c>
      <c r="BD946" t="s">
        <v>74</v>
      </c>
      <c r="BE946" t="s">
        <v>17255</v>
      </c>
      <c r="BF946" t="str">
        <f>HYPERLINK("http://dx.doi.org/10.1139/f2012-111","http://dx.doi.org/10.1139/f2012-111")</f>
        <v>http://dx.doi.org/10.1139/f2012-111</v>
      </c>
      <c r="BG946" t="s">
        <v>74</v>
      </c>
      <c r="BH946" t="s">
        <v>74</v>
      </c>
      <c r="BI946">
        <v>17</v>
      </c>
      <c r="BJ946" t="s">
        <v>5902</v>
      </c>
      <c r="BK946" t="s">
        <v>102</v>
      </c>
      <c r="BL946" t="s">
        <v>5902</v>
      </c>
      <c r="BM946" t="s">
        <v>17256</v>
      </c>
      <c r="BN946" t="s">
        <v>74</v>
      </c>
      <c r="BO946" t="s">
        <v>74</v>
      </c>
      <c r="BP946" t="s">
        <v>74</v>
      </c>
      <c r="BQ946" t="s">
        <v>74</v>
      </c>
      <c r="BR946" t="s">
        <v>105</v>
      </c>
      <c r="BS946" t="s">
        <v>17257</v>
      </c>
      <c r="BT946" t="str">
        <f>HYPERLINK("https%3A%2F%2Fwww.webofscience.com%2Fwos%2Fwoscc%2Ffull-record%2FWOS:000312376600001","View Full Record in Web of Science")</f>
        <v>View Full Record in Web of Science</v>
      </c>
    </row>
    <row r="947" spans="1:72" x14ac:dyDescent="0.15">
      <c r="A947" t="s">
        <v>72</v>
      </c>
      <c r="B947" t="s">
        <v>12778</v>
      </c>
      <c r="C947" t="s">
        <v>74</v>
      </c>
      <c r="D947" t="s">
        <v>74</v>
      </c>
      <c r="E947" t="s">
        <v>74</v>
      </c>
      <c r="F947" t="s">
        <v>12779</v>
      </c>
      <c r="G947" t="s">
        <v>74</v>
      </c>
      <c r="H947" t="s">
        <v>74</v>
      </c>
      <c r="I947" t="s">
        <v>17258</v>
      </c>
      <c r="J947" t="s">
        <v>487</v>
      </c>
      <c r="K947" t="s">
        <v>74</v>
      </c>
      <c r="L947" t="s">
        <v>74</v>
      </c>
      <c r="M947" t="s">
        <v>78</v>
      </c>
      <c r="N947" t="s">
        <v>79</v>
      </c>
      <c r="O947" t="s">
        <v>74</v>
      </c>
      <c r="P947" t="s">
        <v>74</v>
      </c>
      <c r="Q947" t="s">
        <v>74</v>
      </c>
      <c r="R947" t="s">
        <v>74</v>
      </c>
      <c r="S947" t="s">
        <v>74</v>
      </c>
      <c r="T947" t="s">
        <v>17259</v>
      </c>
      <c r="U947" t="s">
        <v>17260</v>
      </c>
      <c r="V947" t="s">
        <v>17261</v>
      </c>
      <c r="W947" t="s">
        <v>17262</v>
      </c>
      <c r="X947" t="s">
        <v>17263</v>
      </c>
      <c r="Y947" t="s">
        <v>2579</v>
      </c>
      <c r="Z947" t="s">
        <v>2580</v>
      </c>
      <c r="AA947" t="s">
        <v>17264</v>
      </c>
      <c r="AB947" t="s">
        <v>12786</v>
      </c>
      <c r="AC947" t="s">
        <v>17265</v>
      </c>
      <c r="AD947" t="s">
        <v>17266</v>
      </c>
      <c r="AE947" t="s">
        <v>17267</v>
      </c>
      <c r="AF947" t="s">
        <v>74</v>
      </c>
      <c r="AG947">
        <v>46</v>
      </c>
      <c r="AH947">
        <v>73</v>
      </c>
      <c r="AI947">
        <v>78</v>
      </c>
      <c r="AJ947">
        <v>2</v>
      </c>
      <c r="AK947">
        <v>41</v>
      </c>
      <c r="AL947" t="s">
        <v>500</v>
      </c>
      <c r="AM947" t="s">
        <v>296</v>
      </c>
      <c r="AN947" t="s">
        <v>501</v>
      </c>
      <c r="AO947" t="s">
        <v>502</v>
      </c>
      <c r="AP947" t="s">
        <v>503</v>
      </c>
      <c r="AQ947" t="s">
        <v>74</v>
      </c>
      <c r="AR947" t="s">
        <v>504</v>
      </c>
      <c r="AS947" t="s">
        <v>505</v>
      </c>
      <c r="AT947" t="s">
        <v>15707</v>
      </c>
      <c r="AU947">
        <v>2012</v>
      </c>
      <c r="AV947">
        <v>39</v>
      </c>
      <c r="AW947">
        <v>12</v>
      </c>
      <c r="AX947" t="s">
        <v>74</v>
      </c>
      <c r="AY947" t="s">
        <v>74</v>
      </c>
      <c r="AZ947" t="s">
        <v>74</v>
      </c>
      <c r="BA947" t="s">
        <v>74</v>
      </c>
      <c r="BB947">
        <v>2805</v>
      </c>
      <c r="BC947">
        <v>2821</v>
      </c>
      <c r="BD947" t="s">
        <v>74</v>
      </c>
      <c r="BE947" t="s">
        <v>17268</v>
      </c>
      <c r="BF947" t="str">
        <f>HYPERLINK("http://dx.doi.org/10.1007/s00382-012-1330-3","http://dx.doi.org/10.1007/s00382-012-1330-3")</f>
        <v>http://dx.doi.org/10.1007/s00382-012-1330-3</v>
      </c>
      <c r="BG947" t="s">
        <v>74</v>
      </c>
      <c r="BH947" t="s">
        <v>74</v>
      </c>
      <c r="BI947">
        <v>17</v>
      </c>
      <c r="BJ947" t="s">
        <v>101</v>
      </c>
      <c r="BK947" t="s">
        <v>102</v>
      </c>
      <c r="BL947" t="s">
        <v>101</v>
      </c>
      <c r="BM947" t="s">
        <v>17269</v>
      </c>
      <c r="BN947" t="s">
        <v>74</v>
      </c>
      <c r="BO947" t="s">
        <v>74</v>
      </c>
      <c r="BP947" t="s">
        <v>74</v>
      </c>
      <c r="BQ947" t="s">
        <v>74</v>
      </c>
      <c r="BR947" t="s">
        <v>105</v>
      </c>
      <c r="BS947" t="s">
        <v>17270</v>
      </c>
      <c r="BT947" t="str">
        <f>HYPERLINK("https%3A%2F%2Fwww.webofscience.com%2Fwos%2Fwoscc%2Ffull-record%2FWOS:000311203100004","View Full Record in Web of Science")</f>
        <v>View Full Record in Web of Science</v>
      </c>
    </row>
    <row r="948" spans="1:72" x14ac:dyDescent="0.15">
      <c r="A948" t="s">
        <v>72</v>
      </c>
      <c r="B948" t="s">
        <v>17271</v>
      </c>
      <c r="C948" t="s">
        <v>74</v>
      </c>
      <c r="D948" t="s">
        <v>74</v>
      </c>
      <c r="E948" t="s">
        <v>74</v>
      </c>
      <c r="F948" t="s">
        <v>17272</v>
      </c>
      <c r="G948" t="s">
        <v>74</v>
      </c>
      <c r="H948" t="s">
        <v>74</v>
      </c>
      <c r="I948" t="s">
        <v>17273</v>
      </c>
      <c r="J948" t="s">
        <v>1611</v>
      </c>
      <c r="K948" t="s">
        <v>74</v>
      </c>
      <c r="L948" t="s">
        <v>74</v>
      </c>
      <c r="M948" t="s">
        <v>78</v>
      </c>
      <c r="N948" t="s">
        <v>79</v>
      </c>
      <c r="O948" t="s">
        <v>74</v>
      </c>
      <c r="P948" t="s">
        <v>74</v>
      </c>
      <c r="Q948" t="s">
        <v>74</v>
      </c>
      <c r="R948" t="s">
        <v>74</v>
      </c>
      <c r="S948" t="s">
        <v>74</v>
      </c>
      <c r="T948" t="s">
        <v>74</v>
      </c>
      <c r="U948" t="s">
        <v>17274</v>
      </c>
      <c r="V948" t="s">
        <v>17275</v>
      </c>
      <c r="W948" t="s">
        <v>17276</v>
      </c>
      <c r="X948" t="s">
        <v>17277</v>
      </c>
      <c r="Y948" t="s">
        <v>17278</v>
      </c>
      <c r="Z948" t="s">
        <v>17279</v>
      </c>
      <c r="AA948" t="s">
        <v>17280</v>
      </c>
      <c r="AB948" t="s">
        <v>17281</v>
      </c>
      <c r="AC948" t="s">
        <v>17282</v>
      </c>
      <c r="AD948" t="s">
        <v>17283</v>
      </c>
      <c r="AE948" t="s">
        <v>17284</v>
      </c>
      <c r="AF948" t="s">
        <v>74</v>
      </c>
      <c r="AG948">
        <v>24</v>
      </c>
      <c r="AH948">
        <v>35</v>
      </c>
      <c r="AI948">
        <v>41</v>
      </c>
      <c r="AJ948">
        <v>2</v>
      </c>
      <c r="AK948">
        <v>40</v>
      </c>
      <c r="AL948" t="s">
        <v>500</v>
      </c>
      <c r="AM948" t="s">
        <v>950</v>
      </c>
      <c r="AN948" t="s">
        <v>951</v>
      </c>
      <c r="AO948" t="s">
        <v>1623</v>
      </c>
      <c r="AP948" t="s">
        <v>1624</v>
      </c>
      <c r="AQ948" t="s">
        <v>74</v>
      </c>
      <c r="AR948" t="s">
        <v>1611</v>
      </c>
      <c r="AS948" t="s">
        <v>1625</v>
      </c>
      <c r="AT948" t="s">
        <v>15707</v>
      </c>
      <c r="AU948">
        <v>2012</v>
      </c>
      <c r="AV948">
        <v>115</v>
      </c>
      <c r="AW948" t="s">
        <v>506</v>
      </c>
      <c r="AX948" t="s">
        <v>74</v>
      </c>
      <c r="AY948" t="s">
        <v>74</v>
      </c>
      <c r="AZ948" t="s">
        <v>74</v>
      </c>
      <c r="BA948" t="s">
        <v>74</v>
      </c>
      <c r="BB948">
        <v>725</v>
      </c>
      <c r="BC948">
        <v>739</v>
      </c>
      <c r="BD948" t="s">
        <v>74</v>
      </c>
      <c r="BE948" t="s">
        <v>17285</v>
      </c>
      <c r="BF948" t="str">
        <f>HYPERLINK("http://dx.doi.org/10.1007/s10584-012-0489-2","http://dx.doi.org/10.1007/s10584-012-0489-2")</f>
        <v>http://dx.doi.org/10.1007/s10584-012-0489-2</v>
      </c>
      <c r="BG948" t="s">
        <v>74</v>
      </c>
      <c r="BH948" t="s">
        <v>74</v>
      </c>
      <c r="BI948">
        <v>15</v>
      </c>
      <c r="BJ948" t="s">
        <v>1627</v>
      </c>
      <c r="BK948" t="s">
        <v>102</v>
      </c>
      <c r="BL948" t="s">
        <v>1628</v>
      </c>
      <c r="BM948" t="s">
        <v>17286</v>
      </c>
      <c r="BN948" t="s">
        <v>74</v>
      </c>
      <c r="BO948" t="s">
        <v>74</v>
      </c>
      <c r="BP948" t="s">
        <v>74</v>
      </c>
      <c r="BQ948" t="s">
        <v>74</v>
      </c>
      <c r="BR948" t="s">
        <v>105</v>
      </c>
      <c r="BS948" t="s">
        <v>17287</v>
      </c>
      <c r="BT948" t="str">
        <f>HYPERLINK("https%3A%2F%2Fwww.webofscience.com%2Fwos%2Fwoscc%2Ffull-record%2FWOS:000310741600016","View Full Record in Web of Science")</f>
        <v>View Full Record in Web of Science</v>
      </c>
    </row>
    <row r="949" spans="1:72" x14ac:dyDescent="0.15">
      <c r="A949" t="s">
        <v>72</v>
      </c>
      <c r="B949" t="s">
        <v>17288</v>
      </c>
      <c r="C949" t="s">
        <v>74</v>
      </c>
      <c r="D949" t="s">
        <v>74</v>
      </c>
      <c r="E949" t="s">
        <v>74</v>
      </c>
      <c r="F949" t="s">
        <v>17289</v>
      </c>
      <c r="G949" t="s">
        <v>74</v>
      </c>
      <c r="H949" t="s">
        <v>74</v>
      </c>
      <c r="I949" t="s">
        <v>17290</v>
      </c>
      <c r="J949" t="s">
        <v>531</v>
      </c>
      <c r="K949" t="s">
        <v>74</v>
      </c>
      <c r="L949" t="s">
        <v>74</v>
      </c>
      <c r="M949" t="s">
        <v>78</v>
      </c>
      <c r="N949" t="s">
        <v>79</v>
      </c>
      <c r="O949" t="s">
        <v>74</v>
      </c>
      <c r="P949" t="s">
        <v>74</v>
      </c>
      <c r="Q949" t="s">
        <v>74</v>
      </c>
      <c r="R949" t="s">
        <v>74</v>
      </c>
      <c r="S949" t="s">
        <v>74</v>
      </c>
      <c r="T949" t="s">
        <v>17291</v>
      </c>
      <c r="U949" t="s">
        <v>17292</v>
      </c>
      <c r="V949" t="s">
        <v>17293</v>
      </c>
      <c r="W949" t="s">
        <v>17294</v>
      </c>
      <c r="X949" t="s">
        <v>17295</v>
      </c>
      <c r="Y949" t="s">
        <v>17296</v>
      </c>
      <c r="Z949" t="s">
        <v>17297</v>
      </c>
      <c r="AA949" t="s">
        <v>74</v>
      </c>
      <c r="AB949" t="s">
        <v>17298</v>
      </c>
      <c r="AC949" t="s">
        <v>17299</v>
      </c>
      <c r="AD949" t="s">
        <v>17300</v>
      </c>
      <c r="AE949" t="s">
        <v>17301</v>
      </c>
      <c r="AF949" t="s">
        <v>74</v>
      </c>
      <c r="AG949">
        <v>24</v>
      </c>
      <c r="AH949">
        <v>10</v>
      </c>
      <c r="AI949">
        <v>12</v>
      </c>
      <c r="AJ949">
        <v>2</v>
      </c>
      <c r="AK949">
        <v>13</v>
      </c>
      <c r="AL949" t="s">
        <v>541</v>
      </c>
      <c r="AM949" t="s">
        <v>542</v>
      </c>
      <c r="AN949" t="s">
        <v>543</v>
      </c>
      <c r="AO949" t="s">
        <v>544</v>
      </c>
      <c r="AP949" t="s">
        <v>74</v>
      </c>
      <c r="AQ949" t="s">
        <v>74</v>
      </c>
      <c r="AR949" t="s">
        <v>546</v>
      </c>
      <c r="AS949" t="s">
        <v>547</v>
      </c>
      <c r="AT949" t="s">
        <v>15707</v>
      </c>
      <c r="AU949">
        <v>2012</v>
      </c>
      <c r="AV949" t="s">
        <v>17302</v>
      </c>
      <c r="AW949" t="s">
        <v>74</v>
      </c>
      <c r="AX949" t="s">
        <v>74</v>
      </c>
      <c r="AY949" t="s">
        <v>74</v>
      </c>
      <c r="AZ949" t="s">
        <v>74</v>
      </c>
      <c r="BA949" t="s">
        <v>74</v>
      </c>
      <c r="BB949">
        <v>37</v>
      </c>
      <c r="BC949">
        <v>48</v>
      </c>
      <c r="BD949" t="s">
        <v>74</v>
      </c>
      <c r="BE949" t="s">
        <v>17303</v>
      </c>
      <c r="BF949" t="str">
        <f>HYPERLINK("http://dx.doi.org/10.1016/j.coldregions.2012.06.002","http://dx.doi.org/10.1016/j.coldregions.2012.06.002")</f>
        <v>http://dx.doi.org/10.1016/j.coldregions.2012.06.002</v>
      </c>
      <c r="BG949" t="s">
        <v>74</v>
      </c>
      <c r="BH949" t="s">
        <v>74</v>
      </c>
      <c r="BI949">
        <v>12</v>
      </c>
      <c r="BJ949" t="s">
        <v>549</v>
      </c>
      <c r="BK949" t="s">
        <v>102</v>
      </c>
      <c r="BL949" t="s">
        <v>550</v>
      </c>
      <c r="BM949" t="s">
        <v>17304</v>
      </c>
      <c r="BN949" t="s">
        <v>74</v>
      </c>
      <c r="BO949" t="s">
        <v>74</v>
      </c>
      <c r="BP949" t="s">
        <v>74</v>
      </c>
      <c r="BQ949" t="s">
        <v>74</v>
      </c>
      <c r="BR949" t="s">
        <v>105</v>
      </c>
      <c r="BS949" t="s">
        <v>17305</v>
      </c>
      <c r="BT949" t="str">
        <f>HYPERLINK("https%3A%2F%2Fwww.webofscience.com%2Fwos%2Fwoscc%2Ffull-record%2FWOS:000309308600006","View Full Record in Web of Science")</f>
        <v>View Full Record in Web of Science</v>
      </c>
    </row>
    <row r="950" spans="1:72" x14ac:dyDescent="0.15">
      <c r="A950" t="s">
        <v>72</v>
      </c>
      <c r="B950" t="s">
        <v>17306</v>
      </c>
      <c r="C950" t="s">
        <v>74</v>
      </c>
      <c r="D950" t="s">
        <v>74</v>
      </c>
      <c r="E950" t="s">
        <v>74</v>
      </c>
      <c r="F950" t="s">
        <v>17307</v>
      </c>
      <c r="G950" t="s">
        <v>74</v>
      </c>
      <c r="H950" t="s">
        <v>74</v>
      </c>
      <c r="I950" t="s">
        <v>17308</v>
      </c>
      <c r="J950" t="s">
        <v>17309</v>
      </c>
      <c r="K950" t="s">
        <v>74</v>
      </c>
      <c r="L950" t="s">
        <v>74</v>
      </c>
      <c r="M950" t="s">
        <v>78</v>
      </c>
      <c r="N950" t="s">
        <v>79</v>
      </c>
      <c r="O950" t="s">
        <v>74</v>
      </c>
      <c r="P950" t="s">
        <v>74</v>
      </c>
      <c r="Q950" t="s">
        <v>74</v>
      </c>
      <c r="R950" t="s">
        <v>74</v>
      </c>
      <c r="S950" t="s">
        <v>74</v>
      </c>
      <c r="T950" t="s">
        <v>17310</v>
      </c>
      <c r="U950" t="s">
        <v>17311</v>
      </c>
      <c r="V950" t="s">
        <v>17312</v>
      </c>
      <c r="W950" t="s">
        <v>17313</v>
      </c>
      <c r="X950" t="s">
        <v>17314</v>
      </c>
      <c r="Y950" t="s">
        <v>17315</v>
      </c>
      <c r="Z950" t="s">
        <v>17316</v>
      </c>
      <c r="AA950" t="s">
        <v>74</v>
      </c>
      <c r="AB950" t="s">
        <v>17317</v>
      </c>
      <c r="AC950" t="s">
        <v>17318</v>
      </c>
      <c r="AD950" t="s">
        <v>17318</v>
      </c>
      <c r="AE950" t="s">
        <v>17319</v>
      </c>
      <c r="AF950" t="s">
        <v>74</v>
      </c>
      <c r="AG950">
        <v>62</v>
      </c>
      <c r="AH950">
        <v>107</v>
      </c>
      <c r="AI950">
        <v>115</v>
      </c>
      <c r="AJ950">
        <v>1</v>
      </c>
      <c r="AK950">
        <v>70</v>
      </c>
      <c r="AL950" t="s">
        <v>146</v>
      </c>
      <c r="AM950" t="s">
        <v>147</v>
      </c>
      <c r="AN950" t="s">
        <v>148</v>
      </c>
      <c r="AO950" t="s">
        <v>17320</v>
      </c>
      <c r="AP950" t="s">
        <v>17321</v>
      </c>
      <c r="AQ950" t="s">
        <v>74</v>
      </c>
      <c r="AR950" t="s">
        <v>17322</v>
      </c>
      <c r="AS950" t="s">
        <v>17323</v>
      </c>
      <c r="AT950" t="s">
        <v>15707</v>
      </c>
      <c r="AU950">
        <v>2012</v>
      </c>
      <c r="AV950">
        <v>70</v>
      </c>
      <c r="AW950" t="s">
        <v>74</v>
      </c>
      <c r="AX950" t="s">
        <v>74</v>
      </c>
      <c r="AY950" t="s">
        <v>74</v>
      </c>
      <c r="AZ950" t="s">
        <v>74</v>
      </c>
      <c r="BA950" t="s">
        <v>74</v>
      </c>
      <c r="BB950">
        <v>60</v>
      </c>
      <c r="BC950">
        <v>72</v>
      </c>
      <c r="BD950" t="s">
        <v>74</v>
      </c>
      <c r="BE950" t="s">
        <v>17324</v>
      </c>
      <c r="BF950" t="str">
        <f>HYPERLINK("http://dx.doi.org/10.1016/j.dsr.2012.08.005","http://dx.doi.org/10.1016/j.dsr.2012.08.005")</f>
        <v>http://dx.doi.org/10.1016/j.dsr.2012.08.005</v>
      </c>
      <c r="BG950" t="s">
        <v>74</v>
      </c>
      <c r="BH950" t="s">
        <v>74</v>
      </c>
      <c r="BI950">
        <v>13</v>
      </c>
      <c r="BJ950" t="s">
        <v>303</v>
      </c>
      <c r="BK950" t="s">
        <v>102</v>
      </c>
      <c r="BL950" t="s">
        <v>303</v>
      </c>
      <c r="BM950" t="s">
        <v>17325</v>
      </c>
      <c r="BN950" t="s">
        <v>74</v>
      </c>
      <c r="BO950" t="s">
        <v>74</v>
      </c>
      <c r="BP950" t="s">
        <v>74</v>
      </c>
      <c r="BQ950" t="s">
        <v>74</v>
      </c>
      <c r="BR950" t="s">
        <v>105</v>
      </c>
      <c r="BS950" t="s">
        <v>17326</v>
      </c>
      <c r="BT950" t="str">
        <f>HYPERLINK("https%3A%2F%2Fwww.webofscience.com%2Fwos%2Fwoscc%2Ffull-record%2FWOS:000312178900006","View Full Record in Web of Science")</f>
        <v>View Full Record in Web of Science</v>
      </c>
    </row>
    <row r="951" spans="1:72" x14ac:dyDescent="0.15">
      <c r="A951" t="s">
        <v>72</v>
      </c>
      <c r="B951" t="s">
        <v>17327</v>
      </c>
      <c r="C951" t="s">
        <v>74</v>
      </c>
      <c r="D951" t="s">
        <v>74</v>
      </c>
      <c r="E951" t="s">
        <v>74</v>
      </c>
      <c r="F951" t="s">
        <v>17328</v>
      </c>
      <c r="G951" t="s">
        <v>74</v>
      </c>
      <c r="H951" t="s">
        <v>74</v>
      </c>
      <c r="I951" t="s">
        <v>17329</v>
      </c>
      <c r="J951" t="s">
        <v>12005</v>
      </c>
      <c r="K951" t="s">
        <v>74</v>
      </c>
      <c r="L951" t="s">
        <v>74</v>
      </c>
      <c r="M951" t="s">
        <v>78</v>
      </c>
      <c r="N951" t="s">
        <v>79</v>
      </c>
      <c r="O951" t="s">
        <v>74</v>
      </c>
      <c r="P951" t="s">
        <v>74</v>
      </c>
      <c r="Q951" t="s">
        <v>74</v>
      </c>
      <c r="R951" t="s">
        <v>74</v>
      </c>
      <c r="S951" t="s">
        <v>74</v>
      </c>
      <c r="T951" t="s">
        <v>17330</v>
      </c>
      <c r="U951" t="s">
        <v>17331</v>
      </c>
      <c r="V951" t="s">
        <v>17332</v>
      </c>
      <c r="W951" t="s">
        <v>17333</v>
      </c>
      <c r="X951" t="s">
        <v>17334</v>
      </c>
      <c r="Y951" t="s">
        <v>17335</v>
      </c>
      <c r="Z951" t="s">
        <v>17336</v>
      </c>
      <c r="AA951" t="s">
        <v>17337</v>
      </c>
      <c r="AB951" t="s">
        <v>17338</v>
      </c>
      <c r="AC951" t="s">
        <v>17339</v>
      </c>
      <c r="AD951" t="s">
        <v>17340</v>
      </c>
      <c r="AE951" t="s">
        <v>17341</v>
      </c>
      <c r="AF951" t="s">
        <v>74</v>
      </c>
      <c r="AG951">
        <v>69</v>
      </c>
      <c r="AH951">
        <v>147</v>
      </c>
      <c r="AI951">
        <v>158</v>
      </c>
      <c r="AJ951">
        <v>1</v>
      </c>
      <c r="AK951">
        <v>87</v>
      </c>
      <c r="AL951" t="s">
        <v>541</v>
      </c>
      <c r="AM951" t="s">
        <v>542</v>
      </c>
      <c r="AN951" t="s">
        <v>543</v>
      </c>
      <c r="AO951" t="s">
        <v>12018</v>
      </c>
      <c r="AP951" t="s">
        <v>12019</v>
      </c>
      <c r="AQ951" t="s">
        <v>74</v>
      </c>
      <c r="AR951" t="s">
        <v>12020</v>
      </c>
      <c r="AS951" t="s">
        <v>12021</v>
      </c>
      <c r="AT951" t="s">
        <v>15925</v>
      </c>
      <c r="AU951">
        <v>2012</v>
      </c>
      <c r="AV951">
        <v>357</v>
      </c>
      <c r="AW951" t="s">
        <v>74</v>
      </c>
      <c r="AX951" t="s">
        <v>74</v>
      </c>
      <c r="AY951" t="s">
        <v>74</v>
      </c>
      <c r="AZ951" t="s">
        <v>74</v>
      </c>
      <c r="BA951" t="s">
        <v>74</v>
      </c>
      <c r="BB951">
        <v>119</v>
      </c>
      <c r="BC951">
        <v>129</v>
      </c>
      <c r="BD951" t="s">
        <v>74</v>
      </c>
      <c r="BE951" t="s">
        <v>17342</v>
      </c>
      <c r="BF951" t="str">
        <f>HYPERLINK("http://dx.doi.org/10.1016/j.epsl.2012.09.008","http://dx.doi.org/10.1016/j.epsl.2012.09.008")</f>
        <v>http://dx.doi.org/10.1016/j.epsl.2012.09.008</v>
      </c>
      <c r="BG951" t="s">
        <v>74</v>
      </c>
      <c r="BH951" t="s">
        <v>74</v>
      </c>
      <c r="BI951">
        <v>11</v>
      </c>
      <c r="BJ951" t="s">
        <v>263</v>
      </c>
      <c r="BK951" t="s">
        <v>102</v>
      </c>
      <c r="BL951" t="s">
        <v>263</v>
      </c>
      <c r="BM951" t="s">
        <v>17343</v>
      </c>
      <c r="BN951" t="s">
        <v>74</v>
      </c>
      <c r="BO951" t="s">
        <v>74</v>
      </c>
      <c r="BP951" t="s">
        <v>74</v>
      </c>
      <c r="BQ951" t="s">
        <v>74</v>
      </c>
      <c r="BR951" t="s">
        <v>105</v>
      </c>
      <c r="BS951" t="s">
        <v>17344</v>
      </c>
      <c r="BT951" t="str">
        <f>HYPERLINK("https%3A%2F%2Fwww.webofscience.com%2Fwos%2Fwoscc%2Ffull-record%2FWOS:000312621600012","View Full Record in Web of Science")</f>
        <v>View Full Record in Web of Science</v>
      </c>
    </row>
    <row r="952" spans="1:72" x14ac:dyDescent="0.15">
      <c r="A952" t="s">
        <v>72</v>
      </c>
      <c r="B952" t="s">
        <v>17345</v>
      </c>
      <c r="C952" t="s">
        <v>74</v>
      </c>
      <c r="D952" t="s">
        <v>74</v>
      </c>
      <c r="E952" t="s">
        <v>74</v>
      </c>
      <c r="F952" t="s">
        <v>17346</v>
      </c>
      <c r="G952" t="s">
        <v>74</v>
      </c>
      <c r="H952" t="s">
        <v>74</v>
      </c>
      <c r="I952" t="s">
        <v>17347</v>
      </c>
      <c r="J952" t="s">
        <v>12005</v>
      </c>
      <c r="K952" t="s">
        <v>74</v>
      </c>
      <c r="L952" t="s">
        <v>74</v>
      </c>
      <c r="M952" t="s">
        <v>78</v>
      </c>
      <c r="N952" t="s">
        <v>79</v>
      </c>
      <c r="O952" t="s">
        <v>74</v>
      </c>
      <c r="P952" t="s">
        <v>74</v>
      </c>
      <c r="Q952" t="s">
        <v>74</v>
      </c>
      <c r="R952" t="s">
        <v>74</v>
      </c>
      <c r="S952" t="s">
        <v>74</v>
      </c>
      <c r="T952" t="s">
        <v>17348</v>
      </c>
      <c r="U952" t="s">
        <v>17349</v>
      </c>
      <c r="V952" t="s">
        <v>17350</v>
      </c>
      <c r="W952" t="s">
        <v>17351</v>
      </c>
      <c r="X952" t="s">
        <v>17352</v>
      </c>
      <c r="Y952" t="s">
        <v>17353</v>
      </c>
      <c r="Z952" t="s">
        <v>17354</v>
      </c>
      <c r="AA952" t="s">
        <v>74</v>
      </c>
      <c r="AB952" t="s">
        <v>74</v>
      </c>
      <c r="AC952" t="s">
        <v>17355</v>
      </c>
      <c r="AD952" t="s">
        <v>17356</v>
      </c>
      <c r="AE952" t="s">
        <v>17357</v>
      </c>
      <c r="AF952" t="s">
        <v>74</v>
      </c>
      <c r="AG952">
        <v>54</v>
      </c>
      <c r="AH952">
        <v>23</v>
      </c>
      <c r="AI952">
        <v>25</v>
      </c>
      <c r="AJ952">
        <v>0</v>
      </c>
      <c r="AK952">
        <v>44</v>
      </c>
      <c r="AL952" t="s">
        <v>586</v>
      </c>
      <c r="AM952" t="s">
        <v>542</v>
      </c>
      <c r="AN952" t="s">
        <v>587</v>
      </c>
      <c r="AO952" t="s">
        <v>12018</v>
      </c>
      <c r="AP952" t="s">
        <v>12019</v>
      </c>
      <c r="AQ952" t="s">
        <v>74</v>
      </c>
      <c r="AR952" t="s">
        <v>12020</v>
      </c>
      <c r="AS952" t="s">
        <v>12021</v>
      </c>
      <c r="AT952" t="s">
        <v>15925</v>
      </c>
      <c r="AU952">
        <v>2012</v>
      </c>
      <c r="AV952">
        <v>357</v>
      </c>
      <c r="AW952" t="s">
        <v>74</v>
      </c>
      <c r="AX952" t="s">
        <v>74</v>
      </c>
      <c r="AY952" t="s">
        <v>74</v>
      </c>
      <c r="AZ952" t="s">
        <v>74</v>
      </c>
      <c r="BA952" t="s">
        <v>74</v>
      </c>
      <c r="BB952">
        <v>137</v>
      </c>
      <c r="BC952">
        <v>144</v>
      </c>
      <c r="BD952" t="s">
        <v>74</v>
      </c>
      <c r="BE952" t="s">
        <v>17358</v>
      </c>
      <c r="BF952" t="str">
        <f>HYPERLINK("http://dx.doi.org/10.1016/j.epsl.2012.09.037","http://dx.doi.org/10.1016/j.epsl.2012.09.037")</f>
        <v>http://dx.doi.org/10.1016/j.epsl.2012.09.037</v>
      </c>
      <c r="BG952" t="s">
        <v>74</v>
      </c>
      <c r="BH952" t="s">
        <v>74</v>
      </c>
      <c r="BI952">
        <v>8</v>
      </c>
      <c r="BJ952" t="s">
        <v>263</v>
      </c>
      <c r="BK952" t="s">
        <v>102</v>
      </c>
      <c r="BL952" t="s">
        <v>263</v>
      </c>
      <c r="BM952" t="s">
        <v>17343</v>
      </c>
      <c r="BN952" t="s">
        <v>74</v>
      </c>
      <c r="BO952" t="s">
        <v>74</v>
      </c>
      <c r="BP952" t="s">
        <v>74</v>
      </c>
      <c r="BQ952" t="s">
        <v>74</v>
      </c>
      <c r="BR952" t="s">
        <v>105</v>
      </c>
      <c r="BS952" t="s">
        <v>17359</v>
      </c>
      <c r="BT952" t="str">
        <f>HYPERLINK("https%3A%2F%2Fwww.webofscience.com%2Fwos%2Fwoscc%2Ffull-record%2FWOS:000312621600014","View Full Record in Web of Science")</f>
        <v>View Full Record in Web of Science</v>
      </c>
    </row>
    <row r="953" spans="1:72" x14ac:dyDescent="0.15">
      <c r="A953" t="s">
        <v>72</v>
      </c>
      <c r="B953" t="s">
        <v>17360</v>
      </c>
      <c r="C953" t="s">
        <v>74</v>
      </c>
      <c r="D953" t="s">
        <v>74</v>
      </c>
      <c r="E953" t="s">
        <v>74</v>
      </c>
      <c r="F953" t="s">
        <v>17361</v>
      </c>
      <c r="G953" t="s">
        <v>74</v>
      </c>
      <c r="H953" t="s">
        <v>74</v>
      </c>
      <c r="I953" t="s">
        <v>17362</v>
      </c>
      <c r="J953" t="s">
        <v>17363</v>
      </c>
      <c r="K953" t="s">
        <v>74</v>
      </c>
      <c r="L953" t="s">
        <v>74</v>
      </c>
      <c r="M953" t="s">
        <v>78</v>
      </c>
      <c r="N953" t="s">
        <v>79</v>
      </c>
      <c r="O953" t="s">
        <v>74</v>
      </c>
      <c r="P953" t="s">
        <v>74</v>
      </c>
      <c r="Q953" t="s">
        <v>74</v>
      </c>
      <c r="R953" t="s">
        <v>74</v>
      </c>
      <c r="S953" t="s">
        <v>74</v>
      </c>
      <c r="T953" t="s">
        <v>17364</v>
      </c>
      <c r="U953" t="s">
        <v>17365</v>
      </c>
      <c r="V953" t="s">
        <v>17366</v>
      </c>
      <c r="W953" t="s">
        <v>17367</v>
      </c>
      <c r="X953" t="s">
        <v>17368</v>
      </c>
      <c r="Y953" t="s">
        <v>17369</v>
      </c>
      <c r="Z953" t="s">
        <v>17370</v>
      </c>
      <c r="AA953" t="s">
        <v>17371</v>
      </c>
      <c r="AB953" t="s">
        <v>17372</v>
      </c>
      <c r="AC953" t="s">
        <v>17373</v>
      </c>
      <c r="AD953" t="s">
        <v>17374</v>
      </c>
      <c r="AE953" t="s">
        <v>17375</v>
      </c>
      <c r="AF953" t="s">
        <v>74</v>
      </c>
      <c r="AG953">
        <v>274</v>
      </c>
      <c r="AH953">
        <v>129</v>
      </c>
      <c r="AI953">
        <v>134</v>
      </c>
      <c r="AJ953">
        <v>1</v>
      </c>
      <c r="AK953">
        <v>119</v>
      </c>
      <c r="AL953" t="s">
        <v>586</v>
      </c>
      <c r="AM953" t="s">
        <v>542</v>
      </c>
      <c r="AN953" t="s">
        <v>587</v>
      </c>
      <c r="AO953" t="s">
        <v>17376</v>
      </c>
      <c r="AP953" t="s">
        <v>17377</v>
      </c>
      <c r="AQ953" t="s">
        <v>74</v>
      </c>
      <c r="AR953" t="s">
        <v>17378</v>
      </c>
      <c r="AS953" t="s">
        <v>17379</v>
      </c>
      <c r="AT953" t="s">
        <v>15707</v>
      </c>
      <c r="AU953">
        <v>2012</v>
      </c>
      <c r="AV953">
        <v>115</v>
      </c>
      <c r="AW953">
        <v>4</v>
      </c>
      <c r="AX953" t="s">
        <v>74</v>
      </c>
      <c r="AY953" t="s">
        <v>74</v>
      </c>
      <c r="AZ953" t="s">
        <v>74</v>
      </c>
      <c r="BA953" t="s">
        <v>74</v>
      </c>
      <c r="BB953">
        <v>332</v>
      </c>
      <c r="BC953">
        <v>372</v>
      </c>
      <c r="BD953" t="s">
        <v>74</v>
      </c>
      <c r="BE953" t="s">
        <v>17380</v>
      </c>
      <c r="BF953" t="str">
        <f>HYPERLINK("http://dx.doi.org/10.1016/j.earscirev.2012.09.009","http://dx.doi.org/10.1016/j.earscirev.2012.09.009")</f>
        <v>http://dx.doi.org/10.1016/j.earscirev.2012.09.009</v>
      </c>
      <c r="BG953" t="s">
        <v>74</v>
      </c>
      <c r="BH953" t="s">
        <v>74</v>
      </c>
      <c r="BI953">
        <v>41</v>
      </c>
      <c r="BJ953" t="s">
        <v>1604</v>
      </c>
      <c r="BK953" t="s">
        <v>102</v>
      </c>
      <c r="BL953" t="s">
        <v>1605</v>
      </c>
      <c r="BM953" t="s">
        <v>17381</v>
      </c>
      <c r="BN953" t="s">
        <v>74</v>
      </c>
      <c r="BO953" t="s">
        <v>1207</v>
      </c>
      <c r="BP953" t="s">
        <v>74</v>
      </c>
      <c r="BQ953" t="s">
        <v>74</v>
      </c>
      <c r="BR953" t="s">
        <v>105</v>
      </c>
      <c r="BS953" t="s">
        <v>17382</v>
      </c>
      <c r="BT953" t="str">
        <f>HYPERLINK("https%3A%2F%2Fwww.webofscience.com%2Fwos%2Fwoscc%2Ffull-record%2FWOS:000313609000008","View Full Record in Web of Science")</f>
        <v>View Full Record in Web of Science</v>
      </c>
    </row>
    <row r="954" spans="1:72" x14ac:dyDescent="0.15">
      <c r="A954" t="s">
        <v>72</v>
      </c>
      <c r="B954" t="s">
        <v>17383</v>
      </c>
      <c r="C954" t="s">
        <v>74</v>
      </c>
      <c r="D954" t="s">
        <v>74</v>
      </c>
      <c r="E954" t="s">
        <v>74</v>
      </c>
      <c r="F954" t="s">
        <v>17384</v>
      </c>
      <c r="G954" t="s">
        <v>74</v>
      </c>
      <c r="H954" t="s">
        <v>74</v>
      </c>
      <c r="I954" t="s">
        <v>17385</v>
      </c>
      <c r="J954" t="s">
        <v>12286</v>
      </c>
      <c r="K954" t="s">
        <v>74</v>
      </c>
      <c r="L954" t="s">
        <v>74</v>
      </c>
      <c r="M954" t="s">
        <v>78</v>
      </c>
      <c r="N954" t="s">
        <v>79</v>
      </c>
      <c r="O954" t="s">
        <v>74</v>
      </c>
      <c r="P954" t="s">
        <v>74</v>
      </c>
      <c r="Q954" t="s">
        <v>74</v>
      </c>
      <c r="R954" t="s">
        <v>74</v>
      </c>
      <c r="S954" t="s">
        <v>74</v>
      </c>
      <c r="T954" t="s">
        <v>17386</v>
      </c>
      <c r="U954" t="s">
        <v>17387</v>
      </c>
      <c r="V954" t="s">
        <v>17388</v>
      </c>
      <c r="W954" t="s">
        <v>17389</v>
      </c>
      <c r="X954" t="s">
        <v>2972</v>
      </c>
      <c r="Y954" t="s">
        <v>17390</v>
      </c>
      <c r="Z954" t="s">
        <v>2974</v>
      </c>
      <c r="AA954" t="s">
        <v>2975</v>
      </c>
      <c r="AB954" t="s">
        <v>17391</v>
      </c>
      <c r="AC954" t="s">
        <v>17392</v>
      </c>
      <c r="AD954" t="s">
        <v>17392</v>
      </c>
      <c r="AE954" t="s">
        <v>17393</v>
      </c>
      <c r="AF954" t="s">
        <v>74</v>
      </c>
      <c r="AG954">
        <v>58</v>
      </c>
      <c r="AH954">
        <v>63</v>
      </c>
      <c r="AI954">
        <v>67</v>
      </c>
      <c r="AJ954">
        <v>1</v>
      </c>
      <c r="AK954">
        <v>55</v>
      </c>
      <c r="AL954" t="s">
        <v>586</v>
      </c>
      <c r="AM954" t="s">
        <v>542</v>
      </c>
      <c r="AN954" t="s">
        <v>587</v>
      </c>
      <c r="AO954" t="s">
        <v>12296</v>
      </c>
      <c r="AP954" t="s">
        <v>17394</v>
      </c>
      <c r="AQ954" t="s">
        <v>74</v>
      </c>
      <c r="AR954" t="s">
        <v>12297</v>
      </c>
      <c r="AS954" t="s">
        <v>12298</v>
      </c>
      <c r="AT954" t="s">
        <v>15707</v>
      </c>
      <c r="AU954">
        <v>2012</v>
      </c>
      <c r="AV954">
        <v>23</v>
      </c>
      <c r="AW954" t="s">
        <v>74</v>
      </c>
      <c r="AX954" t="s">
        <v>74</v>
      </c>
      <c r="AY954" t="s">
        <v>74</v>
      </c>
      <c r="AZ954" t="s">
        <v>74</v>
      </c>
      <c r="BA954" t="s">
        <v>74</v>
      </c>
      <c r="BB954">
        <v>453</v>
      </c>
      <c r="BC954">
        <v>466</v>
      </c>
      <c r="BD954" t="s">
        <v>74</v>
      </c>
      <c r="BE954" t="s">
        <v>17395</v>
      </c>
      <c r="BF954" t="str">
        <f>HYPERLINK("http://dx.doi.org/10.1016/j.ecolind.2012.04.028","http://dx.doi.org/10.1016/j.ecolind.2012.04.028")</f>
        <v>http://dx.doi.org/10.1016/j.ecolind.2012.04.028</v>
      </c>
      <c r="BG954" t="s">
        <v>74</v>
      </c>
      <c r="BH954" t="s">
        <v>74</v>
      </c>
      <c r="BI954">
        <v>14</v>
      </c>
      <c r="BJ954" t="s">
        <v>12300</v>
      </c>
      <c r="BK954" t="s">
        <v>102</v>
      </c>
      <c r="BL954" t="s">
        <v>958</v>
      </c>
      <c r="BM954" t="s">
        <v>17396</v>
      </c>
      <c r="BN954" t="s">
        <v>74</v>
      </c>
      <c r="BO954" t="s">
        <v>74</v>
      </c>
      <c r="BP954" t="s">
        <v>74</v>
      </c>
      <c r="BQ954" t="s">
        <v>74</v>
      </c>
      <c r="BR954" t="s">
        <v>105</v>
      </c>
      <c r="BS954" t="s">
        <v>17397</v>
      </c>
      <c r="BT954" t="str">
        <f>HYPERLINK("https%3A%2F%2Fwww.webofscience.com%2Fwos%2Fwoscc%2Ffull-record%2FWOS:000307130300048","View Full Record in Web of Science")</f>
        <v>View Full Record in Web of Science</v>
      </c>
    </row>
    <row r="955" spans="1:72" x14ac:dyDescent="0.15">
      <c r="A955" t="s">
        <v>72</v>
      </c>
      <c r="B955" t="s">
        <v>17398</v>
      </c>
      <c r="C955" t="s">
        <v>74</v>
      </c>
      <c r="D955" t="s">
        <v>74</v>
      </c>
      <c r="E955" t="s">
        <v>74</v>
      </c>
      <c r="F955" t="s">
        <v>17399</v>
      </c>
      <c r="G955" t="s">
        <v>74</v>
      </c>
      <c r="H955" t="s">
        <v>74</v>
      </c>
      <c r="I955" t="s">
        <v>17400</v>
      </c>
      <c r="J955" t="s">
        <v>17401</v>
      </c>
      <c r="K955" t="s">
        <v>74</v>
      </c>
      <c r="L955" t="s">
        <v>74</v>
      </c>
      <c r="M955" t="s">
        <v>78</v>
      </c>
      <c r="N955" t="s">
        <v>1120</v>
      </c>
      <c r="O955" t="s">
        <v>74</v>
      </c>
      <c r="P955" t="s">
        <v>74</v>
      </c>
      <c r="Q955" t="s">
        <v>74</v>
      </c>
      <c r="R955" t="s">
        <v>74</v>
      </c>
      <c r="S955" t="s">
        <v>74</v>
      </c>
      <c r="T955" t="s">
        <v>17402</v>
      </c>
      <c r="U955" t="s">
        <v>17403</v>
      </c>
      <c r="V955" t="s">
        <v>17404</v>
      </c>
      <c r="W955" t="s">
        <v>17405</v>
      </c>
      <c r="X955" t="s">
        <v>17406</v>
      </c>
      <c r="Y955" t="s">
        <v>17407</v>
      </c>
      <c r="Z955" t="s">
        <v>17408</v>
      </c>
      <c r="AA955" t="s">
        <v>17409</v>
      </c>
      <c r="AB955" t="s">
        <v>17410</v>
      </c>
      <c r="AC955" t="s">
        <v>17411</v>
      </c>
      <c r="AD955" t="s">
        <v>17412</v>
      </c>
      <c r="AE955" t="s">
        <v>17413</v>
      </c>
      <c r="AF955" t="s">
        <v>74</v>
      </c>
      <c r="AG955">
        <v>97</v>
      </c>
      <c r="AH955">
        <v>140</v>
      </c>
      <c r="AI955">
        <v>153</v>
      </c>
      <c r="AJ955">
        <v>7</v>
      </c>
      <c r="AK955">
        <v>348</v>
      </c>
      <c r="AL955" t="s">
        <v>257</v>
      </c>
      <c r="AM955" t="s">
        <v>215</v>
      </c>
      <c r="AN955" t="s">
        <v>216</v>
      </c>
      <c r="AO955" t="s">
        <v>17414</v>
      </c>
      <c r="AP955" t="s">
        <v>17415</v>
      </c>
      <c r="AQ955" t="s">
        <v>74</v>
      </c>
      <c r="AR955" t="s">
        <v>17416</v>
      </c>
      <c r="AS955" t="s">
        <v>17417</v>
      </c>
      <c r="AT955" t="s">
        <v>15707</v>
      </c>
      <c r="AU955">
        <v>2012</v>
      </c>
      <c r="AV955">
        <v>15</v>
      </c>
      <c r="AW955">
        <v>12</v>
      </c>
      <c r="AX955" t="s">
        <v>74</v>
      </c>
      <c r="AY955" t="s">
        <v>74</v>
      </c>
      <c r="AZ955" t="s">
        <v>74</v>
      </c>
      <c r="BA955" t="s">
        <v>74</v>
      </c>
      <c r="BB955">
        <v>1465</v>
      </c>
      <c r="BC955">
        <v>1474</v>
      </c>
      <c r="BD955" t="s">
        <v>74</v>
      </c>
      <c r="BE955" t="s">
        <v>17418</v>
      </c>
      <c r="BF955" t="str">
        <f>HYPERLINK("http://dx.doi.org/10.1111/j.1461-0248.2012.01860.x","http://dx.doi.org/10.1111/j.1461-0248.2012.01860.x")</f>
        <v>http://dx.doi.org/10.1111/j.1461-0248.2012.01860.x</v>
      </c>
      <c r="BG955" t="s">
        <v>74</v>
      </c>
      <c r="BH955" t="s">
        <v>74</v>
      </c>
      <c r="BI955">
        <v>10</v>
      </c>
      <c r="BJ955" t="s">
        <v>5172</v>
      </c>
      <c r="BK955" t="s">
        <v>102</v>
      </c>
      <c r="BL955" t="s">
        <v>455</v>
      </c>
      <c r="BM955" t="s">
        <v>17419</v>
      </c>
      <c r="BN955">
        <v>22931542</v>
      </c>
      <c r="BO955" t="s">
        <v>74</v>
      </c>
      <c r="BP955" t="s">
        <v>74</v>
      </c>
      <c r="BQ955" t="s">
        <v>74</v>
      </c>
      <c r="BR955" t="s">
        <v>105</v>
      </c>
      <c r="BS955" t="s">
        <v>17420</v>
      </c>
      <c r="BT955" t="str">
        <f>HYPERLINK("https%3A%2F%2Fwww.webofscience.com%2Fwos%2Fwoscc%2Ffull-record%2FWOS:000310250600014","View Full Record in Web of Science")</f>
        <v>View Full Record in Web of Science</v>
      </c>
    </row>
    <row r="956" spans="1:72" x14ac:dyDescent="0.15">
      <c r="A956" t="s">
        <v>72</v>
      </c>
      <c r="B956" t="s">
        <v>17421</v>
      </c>
      <c r="C956" t="s">
        <v>74</v>
      </c>
      <c r="D956" t="s">
        <v>74</v>
      </c>
      <c r="E956" t="s">
        <v>74</v>
      </c>
      <c r="F956" t="s">
        <v>17422</v>
      </c>
      <c r="G956" t="s">
        <v>74</v>
      </c>
      <c r="H956" t="s">
        <v>74</v>
      </c>
      <c r="I956" t="s">
        <v>17423</v>
      </c>
      <c r="J956" t="s">
        <v>17424</v>
      </c>
      <c r="K956" t="s">
        <v>74</v>
      </c>
      <c r="L956" t="s">
        <v>74</v>
      </c>
      <c r="M956" t="s">
        <v>78</v>
      </c>
      <c r="N956" t="s">
        <v>79</v>
      </c>
      <c r="O956" t="s">
        <v>74</v>
      </c>
      <c r="P956" t="s">
        <v>74</v>
      </c>
      <c r="Q956" t="s">
        <v>74</v>
      </c>
      <c r="R956" t="s">
        <v>74</v>
      </c>
      <c r="S956" t="s">
        <v>74</v>
      </c>
      <c r="T956" t="s">
        <v>74</v>
      </c>
      <c r="U956" t="s">
        <v>17425</v>
      </c>
      <c r="V956" t="s">
        <v>17426</v>
      </c>
      <c r="W956" t="s">
        <v>17427</v>
      </c>
      <c r="X956" t="s">
        <v>17428</v>
      </c>
      <c r="Y956" t="s">
        <v>17429</v>
      </c>
      <c r="Z956" t="s">
        <v>17430</v>
      </c>
      <c r="AA956" t="s">
        <v>74</v>
      </c>
      <c r="AB956" t="s">
        <v>17431</v>
      </c>
      <c r="AC956" t="s">
        <v>17432</v>
      </c>
      <c r="AD956" t="s">
        <v>17433</v>
      </c>
      <c r="AE956" t="s">
        <v>17434</v>
      </c>
      <c r="AF956" t="s">
        <v>74</v>
      </c>
      <c r="AG956">
        <v>74</v>
      </c>
      <c r="AH956">
        <v>72</v>
      </c>
      <c r="AI956">
        <v>73</v>
      </c>
      <c r="AJ956">
        <v>1</v>
      </c>
      <c r="AK956">
        <v>51</v>
      </c>
      <c r="AL956" t="s">
        <v>257</v>
      </c>
      <c r="AM956" t="s">
        <v>215</v>
      </c>
      <c r="AN956" t="s">
        <v>216</v>
      </c>
      <c r="AO956" t="s">
        <v>17435</v>
      </c>
      <c r="AP956" t="s">
        <v>17436</v>
      </c>
      <c r="AQ956" t="s">
        <v>74</v>
      </c>
      <c r="AR956" t="s">
        <v>17437</v>
      </c>
      <c r="AS956" t="s">
        <v>17438</v>
      </c>
      <c r="AT956" t="s">
        <v>15707</v>
      </c>
      <c r="AU956">
        <v>2012</v>
      </c>
      <c r="AV956">
        <v>14</v>
      </c>
      <c r="AW956">
        <v>12</v>
      </c>
      <c r="AX956" t="s">
        <v>74</v>
      </c>
      <c r="AY956" t="s">
        <v>74</v>
      </c>
      <c r="AZ956" t="s">
        <v>74</v>
      </c>
      <c r="BA956" t="s">
        <v>74</v>
      </c>
      <c r="BB956">
        <v>3159</v>
      </c>
      <c r="BC956">
        <v>3174</v>
      </c>
      <c r="BD956" t="s">
        <v>74</v>
      </c>
      <c r="BE956" t="s">
        <v>17439</v>
      </c>
      <c r="BF956" t="str">
        <f>HYPERLINK("http://dx.doi.org/10.1111/j.1462-2920.2012.02895.x","http://dx.doi.org/10.1111/j.1462-2920.2012.02895.x")</f>
        <v>http://dx.doi.org/10.1111/j.1462-2920.2012.02895.x</v>
      </c>
      <c r="BG956" t="s">
        <v>74</v>
      </c>
      <c r="BH956" t="s">
        <v>74</v>
      </c>
      <c r="BI956">
        <v>16</v>
      </c>
      <c r="BJ956" t="s">
        <v>1139</v>
      </c>
      <c r="BK956" t="s">
        <v>102</v>
      </c>
      <c r="BL956" t="s">
        <v>1139</v>
      </c>
      <c r="BM956" t="s">
        <v>17440</v>
      </c>
      <c r="BN956">
        <v>23057712</v>
      </c>
      <c r="BO956" t="s">
        <v>74</v>
      </c>
      <c r="BP956" t="s">
        <v>74</v>
      </c>
      <c r="BQ956" t="s">
        <v>74</v>
      </c>
      <c r="BR956" t="s">
        <v>105</v>
      </c>
      <c r="BS956" t="s">
        <v>17441</v>
      </c>
      <c r="BT956" t="str">
        <f>HYPERLINK("https%3A%2F%2Fwww.webofscience.com%2Fwos%2Fwoscc%2Ffull-record%2FWOS:000312155800007","View Full Record in Web of Science")</f>
        <v>View Full Record in Web of Science</v>
      </c>
    </row>
    <row r="957" spans="1:72" x14ac:dyDescent="0.15">
      <c r="A957" t="s">
        <v>72</v>
      </c>
      <c r="B957" t="s">
        <v>17442</v>
      </c>
      <c r="C957" t="s">
        <v>74</v>
      </c>
      <c r="D957" t="s">
        <v>74</v>
      </c>
      <c r="E957" t="s">
        <v>74</v>
      </c>
      <c r="F957" t="s">
        <v>17443</v>
      </c>
      <c r="G957" t="s">
        <v>74</v>
      </c>
      <c r="H957" t="s">
        <v>74</v>
      </c>
      <c r="I957" t="s">
        <v>17444</v>
      </c>
      <c r="J957" t="s">
        <v>17445</v>
      </c>
      <c r="K957" t="s">
        <v>74</v>
      </c>
      <c r="L957" t="s">
        <v>74</v>
      </c>
      <c r="M957" t="s">
        <v>78</v>
      </c>
      <c r="N957" t="s">
        <v>79</v>
      </c>
      <c r="O957" t="s">
        <v>74</v>
      </c>
      <c r="P957" t="s">
        <v>74</v>
      </c>
      <c r="Q957" t="s">
        <v>74</v>
      </c>
      <c r="R957" t="s">
        <v>74</v>
      </c>
      <c r="S957" t="s">
        <v>74</v>
      </c>
      <c r="T957" t="s">
        <v>17446</v>
      </c>
      <c r="U957" t="s">
        <v>17447</v>
      </c>
      <c r="V957" t="s">
        <v>17448</v>
      </c>
      <c r="W957" t="s">
        <v>17449</v>
      </c>
      <c r="X957" t="s">
        <v>17450</v>
      </c>
      <c r="Y957" t="s">
        <v>17451</v>
      </c>
      <c r="Z957" t="s">
        <v>17452</v>
      </c>
      <c r="AA957" t="s">
        <v>17453</v>
      </c>
      <c r="AB957" t="s">
        <v>17454</v>
      </c>
      <c r="AC957" t="s">
        <v>17455</v>
      </c>
      <c r="AD957" t="s">
        <v>17456</v>
      </c>
      <c r="AE957" t="s">
        <v>17457</v>
      </c>
      <c r="AF957" t="s">
        <v>74</v>
      </c>
      <c r="AG957">
        <v>73</v>
      </c>
      <c r="AH957">
        <v>298</v>
      </c>
      <c r="AI957">
        <v>328</v>
      </c>
      <c r="AJ957">
        <v>1</v>
      </c>
      <c r="AK957">
        <v>129</v>
      </c>
      <c r="AL957" t="s">
        <v>257</v>
      </c>
      <c r="AM957" t="s">
        <v>215</v>
      </c>
      <c r="AN957" t="s">
        <v>216</v>
      </c>
      <c r="AO957" t="s">
        <v>17458</v>
      </c>
      <c r="AP957" t="s">
        <v>17459</v>
      </c>
      <c r="AQ957" t="s">
        <v>74</v>
      </c>
      <c r="AR957" t="s">
        <v>17460</v>
      </c>
      <c r="AS957" t="s">
        <v>17461</v>
      </c>
      <c r="AT957" t="s">
        <v>15707</v>
      </c>
      <c r="AU957">
        <v>2012</v>
      </c>
      <c r="AV957">
        <v>13</v>
      </c>
      <c r="AW957">
        <v>4</v>
      </c>
      <c r="AX957" t="s">
        <v>74</v>
      </c>
      <c r="AY957" t="s">
        <v>74</v>
      </c>
      <c r="AZ957" t="s">
        <v>74</v>
      </c>
      <c r="BA957" t="s">
        <v>74</v>
      </c>
      <c r="BB957">
        <v>380</v>
      </c>
      <c r="BC957">
        <v>398</v>
      </c>
      <c r="BD957" t="s">
        <v>74</v>
      </c>
      <c r="BE957" t="s">
        <v>17462</v>
      </c>
      <c r="BF957" t="str">
        <f>HYPERLINK("http://dx.doi.org/10.1111/j.1467-2979.2011.00435.x","http://dx.doi.org/10.1111/j.1467-2979.2011.00435.x")</f>
        <v>http://dx.doi.org/10.1111/j.1467-2979.2011.00435.x</v>
      </c>
      <c r="BG957" t="s">
        <v>74</v>
      </c>
      <c r="BH957" t="s">
        <v>74</v>
      </c>
      <c r="BI957">
        <v>19</v>
      </c>
      <c r="BJ957" t="s">
        <v>5387</v>
      </c>
      <c r="BK957" t="s">
        <v>102</v>
      </c>
      <c r="BL957" t="s">
        <v>5387</v>
      </c>
      <c r="BM957" t="s">
        <v>17463</v>
      </c>
      <c r="BN957" t="s">
        <v>74</v>
      </c>
      <c r="BO957" t="s">
        <v>74</v>
      </c>
      <c r="BP957" t="s">
        <v>74</v>
      </c>
      <c r="BQ957" t="s">
        <v>74</v>
      </c>
      <c r="BR957" t="s">
        <v>105</v>
      </c>
      <c r="BS957" t="s">
        <v>17464</v>
      </c>
      <c r="BT957" t="str">
        <f>HYPERLINK("https%3A%2F%2Fwww.webofscience.com%2Fwos%2Fwoscc%2Ffull-record%2FWOS:000310273500002","View Full Record in Web of Science")</f>
        <v>View Full Record in Web of Science</v>
      </c>
    </row>
    <row r="958" spans="1:72" x14ac:dyDescent="0.15">
      <c r="A958" t="s">
        <v>72</v>
      </c>
      <c r="B958" t="s">
        <v>17465</v>
      </c>
      <c r="C958" t="s">
        <v>74</v>
      </c>
      <c r="D958" t="s">
        <v>74</v>
      </c>
      <c r="E958" t="s">
        <v>74</v>
      </c>
      <c r="F958" t="s">
        <v>17466</v>
      </c>
      <c r="G958" t="s">
        <v>74</v>
      </c>
      <c r="H958" t="s">
        <v>74</v>
      </c>
      <c r="I958" t="s">
        <v>17467</v>
      </c>
      <c r="J958" t="s">
        <v>9751</v>
      </c>
      <c r="K958" t="s">
        <v>74</v>
      </c>
      <c r="L958" t="s">
        <v>74</v>
      </c>
      <c r="M958" t="s">
        <v>78</v>
      </c>
      <c r="N958" t="s">
        <v>79</v>
      </c>
      <c r="O958" t="s">
        <v>74</v>
      </c>
      <c r="P958" t="s">
        <v>74</v>
      </c>
      <c r="Q958" t="s">
        <v>74</v>
      </c>
      <c r="R958" t="s">
        <v>74</v>
      </c>
      <c r="S958" t="s">
        <v>74</v>
      </c>
      <c r="T958" t="s">
        <v>17468</v>
      </c>
      <c r="U958" t="s">
        <v>17469</v>
      </c>
      <c r="V958" t="s">
        <v>17470</v>
      </c>
      <c r="W958" t="s">
        <v>17471</v>
      </c>
      <c r="X958" t="s">
        <v>946</v>
      </c>
      <c r="Y958" t="s">
        <v>17472</v>
      </c>
      <c r="Z958" t="s">
        <v>17473</v>
      </c>
      <c r="AA958" t="s">
        <v>74</v>
      </c>
      <c r="AB958" t="s">
        <v>17474</v>
      </c>
      <c r="AC958" t="s">
        <v>17475</v>
      </c>
      <c r="AD958" t="s">
        <v>17476</v>
      </c>
      <c r="AE958" t="s">
        <v>17477</v>
      </c>
      <c r="AF958" t="s">
        <v>74</v>
      </c>
      <c r="AG958">
        <v>24</v>
      </c>
      <c r="AH958">
        <v>11</v>
      </c>
      <c r="AI958">
        <v>11</v>
      </c>
      <c r="AJ958">
        <v>0</v>
      </c>
      <c r="AK958">
        <v>13</v>
      </c>
      <c r="AL958" t="s">
        <v>586</v>
      </c>
      <c r="AM958" t="s">
        <v>542</v>
      </c>
      <c r="AN958" t="s">
        <v>587</v>
      </c>
      <c r="AO958" t="s">
        <v>9763</v>
      </c>
      <c r="AP958" t="s">
        <v>9764</v>
      </c>
      <c r="AQ958" t="s">
        <v>74</v>
      </c>
      <c r="AR958" t="s">
        <v>9765</v>
      </c>
      <c r="AS958" t="s">
        <v>9766</v>
      </c>
      <c r="AT958" t="s">
        <v>15707</v>
      </c>
      <c r="AU958">
        <v>2012</v>
      </c>
      <c r="AV958">
        <v>134</v>
      </c>
      <c r="AW958" t="s">
        <v>74</v>
      </c>
      <c r="AX958" t="s">
        <v>74</v>
      </c>
      <c r="AY958" t="s">
        <v>74</v>
      </c>
      <c r="AZ958" t="s">
        <v>74</v>
      </c>
      <c r="BA958" t="s">
        <v>74</v>
      </c>
      <c r="BB958">
        <v>52</v>
      </c>
      <c r="BC958">
        <v>63</v>
      </c>
      <c r="BD958" t="s">
        <v>74</v>
      </c>
      <c r="BE958" t="s">
        <v>17478</v>
      </c>
      <c r="BF958" t="str">
        <f>HYPERLINK("http://dx.doi.org/10.1016/j.fishres.2012.08.011","http://dx.doi.org/10.1016/j.fishres.2012.08.011")</f>
        <v>http://dx.doi.org/10.1016/j.fishres.2012.08.011</v>
      </c>
      <c r="BG958" t="s">
        <v>74</v>
      </c>
      <c r="BH958" t="s">
        <v>74</v>
      </c>
      <c r="BI958">
        <v>12</v>
      </c>
      <c r="BJ958" t="s">
        <v>5387</v>
      </c>
      <c r="BK958" t="s">
        <v>102</v>
      </c>
      <c r="BL958" t="s">
        <v>5387</v>
      </c>
      <c r="BM958" t="s">
        <v>16916</v>
      </c>
      <c r="BN958" t="s">
        <v>74</v>
      </c>
      <c r="BO958" t="s">
        <v>74</v>
      </c>
      <c r="BP958" t="s">
        <v>74</v>
      </c>
      <c r="BQ958" t="s">
        <v>74</v>
      </c>
      <c r="BR958" t="s">
        <v>105</v>
      </c>
      <c r="BS958" t="s">
        <v>17479</v>
      </c>
      <c r="BT958" t="str">
        <f>HYPERLINK("https%3A%2F%2Fwww.webofscience.com%2Fwos%2Fwoscc%2Ffull-record%2FWOS:000310821600007","View Full Record in Web of Science")</f>
        <v>View Full Record in Web of Science</v>
      </c>
    </row>
    <row r="959" spans="1:72" x14ac:dyDescent="0.15">
      <c r="A959" t="s">
        <v>72</v>
      </c>
      <c r="B959" t="s">
        <v>17480</v>
      </c>
      <c r="C959" t="s">
        <v>74</v>
      </c>
      <c r="D959" t="s">
        <v>74</v>
      </c>
      <c r="E959" t="s">
        <v>74</v>
      </c>
      <c r="F959" t="s">
        <v>17481</v>
      </c>
      <c r="G959" t="s">
        <v>74</v>
      </c>
      <c r="H959" t="s">
        <v>74</v>
      </c>
      <c r="I959" t="s">
        <v>17482</v>
      </c>
      <c r="J959" t="s">
        <v>17483</v>
      </c>
      <c r="K959" t="s">
        <v>74</v>
      </c>
      <c r="L959" t="s">
        <v>74</v>
      </c>
      <c r="M959" t="s">
        <v>78</v>
      </c>
      <c r="N959" t="s">
        <v>79</v>
      </c>
      <c r="O959" t="s">
        <v>74</v>
      </c>
      <c r="P959" t="s">
        <v>74</v>
      </c>
      <c r="Q959" t="s">
        <v>74</v>
      </c>
      <c r="R959" t="s">
        <v>74</v>
      </c>
      <c r="S959" t="s">
        <v>74</v>
      </c>
      <c r="T959" t="s">
        <v>17484</v>
      </c>
      <c r="U959" t="s">
        <v>17485</v>
      </c>
      <c r="V959" t="s">
        <v>17486</v>
      </c>
      <c r="W959" t="s">
        <v>17487</v>
      </c>
      <c r="X959" t="s">
        <v>17488</v>
      </c>
      <c r="Y959" t="s">
        <v>17489</v>
      </c>
      <c r="Z959" t="s">
        <v>17490</v>
      </c>
      <c r="AA959" t="s">
        <v>17491</v>
      </c>
      <c r="AB959" t="s">
        <v>17492</v>
      </c>
      <c r="AC959" t="s">
        <v>17493</v>
      </c>
      <c r="AD959" t="s">
        <v>17494</v>
      </c>
      <c r="AE959" t="s">
        <v>17495</v>
      </c>
      <c r="AF959" t="s">
        <v>74</v>
      </c>
      <c r="AG959">
        <v>62</v>
      </c>
      <c r="AH959">
        <v>10</v>
      </c>
      <c r="AI959">
        <v>11</v>
      </c>
      <c r="AJ959">
        <v>1</v>
      </c>
      <c r="AK959">
        <v>2</v>
      </c>
      <c r="AL959" t="s">
        <v>17496</v>
      </c>
      <c r="AM959" t="s">
        <v>17497</v>
      </c>
      <c r="AN959" t="s">
        <v>17498</v>
      </c>
      <c r="AO959" t="s">
        <v>17499</v>
      </c>
      <c r="AP959" t="s">
        <v>17500</v>
      </c>
      <c r="AQ959" t="s">
        <v>74</v>
      </c>
      <c r="AR959" t="s">
        <v>17501</v>
      </c>
      <c r="AS959" t="s">
        <v>17502</v>
      </c>
      <c r="AT959" t="s">
        <v>15707</v>
      </c>
      <c r="AU959">
        <v>2012</v>
      </c>
      <c r="AV959">
        <v>35</v>
      </c>
      <c r="AW959">
        <v>4</v>
      </c>
      <c r="AX959" t="s">
        <v>74</v>
      </c>
      <c r="AY959" t="s">
        <v>74</v>
      </c>
      <c r="AZ959" t="s">
        <v>74</v>
      </c>
      <c r="BA959" t="s">
        <v>74</v>
      </c>
      <c r="BB959">
        <v>874</v>
      </c>
      <c r="BC959">
        <v>885</v>
      </c>
      <c r="BD959" t="s">
        <v>74</v>
      </c>
      <c r="BE959" t="s">
        <v>74</v>
      </c>
      <c r="BF959" t="s">
        <v>74</v>
      </c>
      <c r="BG959" t="s">
        <v>74</v>
      </c>
      <c r="BH959" t="s">
        <v>74</v>
      </c>
      <c r="BI959">
        <v>12</v>
      </c>
      <c r="BJ959" t="s">
        <v>17503</v>
      </c>
      <c r="BK959" t="s">
        <v>102</v>
      </c>
      <c r="BL959" t="s">
        <v>17503</v>
      </c>
      <c r="BM959" t="s">
        <v>17504</v>
      </c>
      <c r="BN959">
        <v>23271950</v>
      </c>
      <c r="BO959" t="s">
        <v>3222</v>
      </c>
      <c r="BP959" t="s">
        <v>74</v>
      </c>
      <c r="BQ959" t="s">
        <v>74</v>
      </c>
      <c r="BR959" t="s">
        <v>105</v>
      </c>
      <c r="BS959" t="s">
        <v>17505</v>
      </c>
      <c r="BT959" t="str">
        <f>HYPERLINK("https%3A%2F%2Fwww.webofscience.com%2Fwos%2Fwoscc%2Ffull-record%2FWOS:000313845800023","View Full Record in Web of Science")</f>
        <v>View Full Record in Web of Science</v>
      </c>
    </row>
    <row r="960" spans="1:72" x14ac:dyDescent="0.15">
      <c r="A960" t="s">
        <v>72</v>
      </c>
      <c r="B960" t="s">
        <v>17506</v>
      </c>
      <c r="C960" t="s">
        <v>74</v>
      </c>
      <c r="D960" t="s">
        <v>74</v>
      </c>
      <c r="E960" t="s">
        <v>74</v>
      </c>
      <c r="F960" t="s">
        <v>17507</v>
      </c>
      <c r="G960" t="s">
        <v>74</v>
      </c>
      <c r="H960" t="s">
        <v>74</v>
      </c>
      <c r="I960" t="s">
        <v>17508</v>
      </c>
      <c r="J960" t="s">
        <v>17509</v>
      </c>
      <c r="K960" t="s">
        <v>74</v>
      </c>
      <c r="L960" t="s">
        <v>74</v>
      </c>
      <c r="M960" t="s">
        <v>78</v>
      </c>
      <c r="N960" t="s">
        <v>79</v>
      </c>
      <c r="O960" t="s">
        <v>74</v>
      </c>
      <c r="P960" t="s">
        <v>74</v>
      </c>
      <c r="Q960" t="s">
        <v>74</v>
      </c>
      <c r="R960" t="s">
        <v>74</v>
      </c>
      <c r="S960" t="s">
        <v>74</v>
      </c>
      <c r="T960" t="s">
        <v>17510</v>
      </c>
      <c r="U960" t="s">
        <v>17511</v>
      </c>
      <c r="V960" t="s">
        <v>17512</v>
      </c>
      <c r="W960" t="s">
        <v>17513</v>
      </c>
      <c r="X960" t="s">
        <v>17514</v>
      </c>
      <c r="Y960" t="s">
        <v>17515</v>
      </c>
      <c r="Z960" t="s">
        <v>17516</v>
      </c>
      <c r="AA960" t="s">
        <v>74</v>
      </c>
      <c r="AB960" t="s">
        <v>74</v>
      </c>
      <c r="AC960" t="s">
        <v>17517</v>
      </c>
      <c r="AD960" t="s">
        <v>17518</v>
      </c>
      <c r="AE960" t="s">
        <v>17519</v>
      </c>
      <c r="AF960" t="s">
        <v>74</v>
      </c>
      <c r="AG960">
        <v>42</v>
      </c>
      <c r="AH960">
        <v>8</v>
      </c>
      <c r="AI960">
        <v>8</v>
      </c>
      <c r="AJ960">
        <v>0</v>
      </c>
      <c r="AK960">
        <v>28</v>
      </c>
      <c r="AL960" t="s">
        <v>17520</v>
      </c>
      <c r="AM960" t="s">
        <v>2062</v>
      </c>
      <c r="AN960" t="s">
        <v>17521</v>
      </c>
      <c r="AO960" t="s">
        <v>17522</v>
      </c>
      <c r="AP960" t="s">
        <v>17523</v>
      </c>
      <c r="AQ960" t="s">
        <v>74</v>
      </c>
      <c r="AR960" t="s">
        <v>17524</v>
      </c>
      <c r="AS960" t="s">
        <v>17525</v>
      </c>
      <c r="AT960" t="s">
        <v>15707</v>
      </c>
      <c r="AU960">
        <v>2012</v>
      </c>
      <c r="AV960">
        <v>16</v>
      </c>
      <c r="AW960">
        <v>4</v>
      </c>
      <c r="AX960" t="s">
        <v>74</v>
      </c>
      <c r="AY960" t="s">
        <v>74</v>
      </c>
      <c r="AZ960" t="s">
        <v>74</v>
      </c>
      <c r="BA960" t="s">
        <v>74</v>
      </c>
      <c r="BB960">
        <v>421</v>
      </c>
      <c r="BC960">
        <v>433</v>
      </c>
      <c r="BD960" t="s">
        <v>74</v>
      </c>
      <c r="BE960" t="s">
        <v>17526</v>
      </c>
      <c r="BF960" t="str">
        <f>HYPERLINK("http://dx.doi.org/10.1007/s12303-012-0041-4","http://dx.doi.org/10.1007/s12303-012-0041-4")</f>
        <v>http://dx.doi.org/10.1007/s12303-012-0041-4</v>
      </c>
      <c r="BG960" t="s">
        <v>74</v>
      </c>
      <c r="BH960" t="s">
        <v>74</v>
      </c>
      <c r="BI960">
        <v>13</v>
      </c>
      <c r="BJ960" t="s">
        <v>1604</v>
      </c>
      <c r="BK960" t="s">
        <v>102</v>
      </c>
      <c r="BL960" t="s">
        <v>1605</v>
      </c>
      <c r="BM960" t="s">
        <v>17527</v>
      </c>
      <c r="BN960" t="s">
        <v>74</v>
      </c>
      <c r="BO960" t="s">
        <v>74</v>
      </c>
      <c r="BP960" t="s">
        <v>74</v>
      </c>
      <c r="BQ960" t="s">
        <v>74</v>
      </c>
      <c r="BR960" t="s">
        <v>105</v>
      </c>
      <c r="BS960" t="s">
        <v>17528</v>
      </c>
      <c r="BT960" t="str">
        <f>HYPERLINK("https%3A%2F%2Fwww.webofscience.com%2Fwos%2Fwoscc%2Ffull-record%2FWOS:000312630800005","View Full Record in Web of Science")</f>
        <v>View Full Record in Web of Science</v>
      </c>
    </row>
    <row r="961" spans="1:72" x14ac:dyDescent="0.15">
      <c r="A961" t="s">
        <v>72</v>
      </c>
      <c r="B961" t="s">
        <v>17529</v>
      </c>
      <c r="C961" t="s">
        <v>74</v>
      </c>
      <c r="D961" t="s">
        <v>74</v>
      </c>
      <c r="E961" t="s">
        <v>74</v>
      </c>
      <c r="F961" t="s">
        <v>17530</v>
      </c>
      <c r="G961" t="s">
        <v>74</v>
      </c>
      <c r="H961" t="s">
        <v>74</v>
      </c>
      <c r="I961" t="s">
        <v>17531</v>
      </c>
      <c r="J961" t="s">
        <v>17532</v>
      </c>
      <c r="K961" t="s">
        <v>74</v>
      </c>
      <c r="L961" t="s">
        <v>74</v>
      </c>
      <c r="M961" t="s">
        <v>78</v>
      </c>
      <c r="N961" t="s">
        <v>79</v>
      </c>
      <c r="O961" t="s">
        <v>74</v>
      </c>
      <c r="P961" t="s">
        <v>74</v>
      </c>
      <c r="Q961" t="s">
        <v>74</v>
      </c>
      <c r="R961" t="s">
        <v>74</v>
      </c>
      <c r="S961" t="s">
        <v>74</v>
      </c>
      <c r="T961" t="s">
        <v>74</v>
      </c>
      <c r="U961" t="s">
        <v>17533</v>
      </c>
      <c r="V961" t="s">
        <v>17534</v>
      </c>
      <c r="W961" t="s">
        <v>17535</v>
      </c>
      <c r="X961" t="s">
        <v>17536</v>
      </c>
      <c r="Y961" t="s">
        <v>17537</v>
      </c>
      <c r="Z961" t="s">
        <v>17538</v>
      </c>
      <c r="AA961" t="s">
        <v>17539</v>
      </c>
      <c r="AB961" t="s">
        <v>17540</v>
      </c>
      <c r="AC961" t="s">
        <v>17541</v>
      </c>
      <c r="AD961" t="s">
        <v>17542</v>
      </c>
      <c r="AE961" t="s">
        <v>17543</v>
      </c>
      <c r="AF961" t="s">
        <v>74</v>
      </c>
      <c r="AG961">
        <v>15</v>
      </c>
      <c r="AH961">
        <v>40</v>
      </c>
      <c r="AI961">
        <v>44</v>
      </c>
      <c r="AJ961">
        <v>4</v>
      </c>
      <c r="AK961">
        <v>26</v>
      </c>
      <c r="AL961" t="s">
        <v>9464</v>
      </c>
      <c r="AM961" t="s">
        <v>786</v>
      </c>
      <c r="AN961" t="s">
        <v>9465</v>
      </c>
      <c r="AO961" t="s">
        <v>17544</v>
      </c>
      <c r="AP961" t="s">
        <v>17545</v>
      </c>
      <c r="AQ961" t="s">
        <v>74</v>
      </c>
      <c r="AR961" t="s">
        <v>17546</v>
      </c>
      <c r="AS961" t="s">
        <v>17547</v>
      </c>
      <c r="AT961" t="s">
        <v>15707</v>
      </c>
      <c r="AU961">
        <v>2012</v>
      </c>
      <c r="AV961">
        <v>194</v>
      </c>
      <c r="AW961">
        <v>23</v>
      </c>
      <c r="AX961" t="s">
        <v>74</v>
      </c>
      <c r="AY961" t="s">
        <v>74</v>
      </c>
      <c r="AZ961" t="s">
        <v>74</v>
      </c>
      <c r="BA961" t="s">
        <v>74</v>
      </c>
      <c r="BB961">
        <v>6689</v>
      </c>
      <c r="BC961">
        <v>6690</v>
      </c>
      <c r="BD961" t="s">
        <v>74</v>
      </c>
      <c r="BE961" t="s">
        <v>17548</v>
      </c>
      <c r="BF961" t="str">
        <f>HYPERLINK("http://dx.doi.org/10.1128/JB.01791-12","http://dx.doi.org/10.1128/JB.01791-12")</f>
        <v>http://dx.doi.org/10.1128/JB.01791-12</v>
      </c>
      <c r="BG961" t="s">
        <v>74</v>
      </c>
      <c r="BH961" t="s">
        <v>74</v>
      </c>
      <c r="BI961">
        <v>2</v>
      </c>
      <c r="BJ961" t="s">
        <v>1139</v>
      </c>
      <c r="BK961" t="s">
        <v>102</v>
      </c>
      <c r="BL961" t="s">
        <v>1139</v>
      </c>
      <c r="BM961" t="s">
        <v>17549</v>
      </c>
      <c r="BN961">
        <v>23144424</v>
      </c>
      <c r="BO961" t="s">
        <v>2097</v>
      </c>
      <c r="BP961" t="s">
        <v>74</v>
      </c>
      <c r="BQ961" t="s">
        <v>74</v>
      </c>
      <c r="BR961" t="s">
        <v>105</v>
      </c>
      <c r="BS961" t="s">
        <v>17550</v>
      </c>
      <c r="BT961" t="str">
        <f>HYPERLINK("https%3A%2F%2Fwww.webofscience.com%2Fwos%2Fwoscc%2Ffull-record%2FWOS:000310924300078","View Full Record in Web of Science")</f>
        <v>View Full Record in Web of Science</v>
      </c>
    </row>
    <row r="962" spans="1:72" x14ac:dyDescent="0.15">
      <c r="A962" t="s">
        <v>72</v>
      </c>
      <c r="B962" t="s">
        <v>107</v>
      </c>
      <c r="C962" t="s">
        <v>74</v>
      </c>
      <c r="D962" t="s">
        <v>74</v>
      </c>
      <c r="E962" t="s">
        <v>74</v>
      </c>
      <c r="F962" t="s">
        <v>108</v>
      </c>
      <c r="G962" t="s">
        <v>74</v>
      </c>
      <c r="H962" t="s">
        <v>74</v>
      </c>
      <c r="I962" t="s">
        <v>17551</v>
      </c>
      <c r="J962" t="s">
        <v>110</v>
      </c>
      <c r="K962" t="s">
        <v>74</v>
      </c>
      <c r="L962" t="s">
        <v>74</v>
      </c>
      <c r="M962" t="s">
        <v>78</v>
      </c>
      <c r="N962" t="s">
        <v>79</v>
      </c>
      <c r="O962" t="s">
        <v>74</v>
      </c>
      <c r="P962" t="s">
        <v>74</v>
      </c>
      <c r="Q962" t="s">
        <v>74</v>
      </c>
      <c r="R962" t="s">
        <v>74</v>
      </c>
      <c r="S962" t="s">
        <v>74</v>
      </c>
      <c r="T962" t="s">
        <v>17552</v>
      </c>
      <c r="U962" t="s">
        <v>17553</v>
      </c>
      <c r="V962" t="s">
        <v>17554</v>
      </c>
      <c r="W962" t="s">
        <v>17555</v>
      </c>
      <c r="X962" t="s">
        <v>74</v>
      </c>
      <c r="Y962" t="s">
        <v>17556</v>
      </c>
      <c r="Z962" t="s">
        <v>116</v>
      </c>
      <c r="AA962" t="s">
        <v>74</v>
      </c>
      <c r="AB962" t="s">
        <v>74</v>
      </c>
      <c r="AC962" t="s">
        <v>74</v>
      </c>
      <c r="AD962" t="s">
        <v>74</v>
      </c>
      <c r="AE962" t="s">
        <v>74</v>
      </c>
      <c r="AF962" t="s">
        <v>74</v>
      </c>
      <c r="AG962">
        <v>59</v>
      </c>
      <c r="AH962">
        <v>1</v>
      </c>
      <c r="AI962">
        <v>1</v>
      </c>
      <c r="AJ962">
        <v>0</v>
      </c>
      <c r="AK962">
        <v>12</v>
      </c>
      <c r="AL962" t="s">
        <v>117</v>
      </c>
      <c r="AM962" t="s">
        <v>118</v>
      </c>
      <c r="AN962" t="s">
        <v>119</v>
      </c>
      <c r="AO962" t="s">
        <v>120</v>
      </c>
      <c r="AP962" t="s">
        <v>121</v>
      </c>
      <c r="AQ962" t="s">
        <v>74</v>
      </c>
      <c r="AR962" t="s">
        <v>122</v>
      </c>
      <c r="AS962" t="s">
        <v>123</v>
      </c>
      <c r="AT962" t="s">
        <v>15707</v>
      </c>
      <c r="AU962">
        <v>2012</v>
      </c>
      <c r="AV962">
        <v>121</v>
      </c>
      <c r="AW962">
        <v>6</v>
      </c>
      <c r="AX962" t="s">
        <v>74</v>
      </c>
      <c r="AY962" t="s">
        <v>74</v>
      </c>
      <c r="AZ962" t="s">
        <v>74</v>
      </c>
      <c r="BA962" t="s">
        <v>74</v>
      </c>
      <c r="BB962">
        <v>1527</v>
      </c>
      <c r="BC962">
        <v>1541</v>
      </c>
      <c r="BD962" t="s">
        <v>74</v>
      </c>
      <c r="BE962" t="s">
        <v>17557</v>
      </c>
      <c r="BF962" t="str">
        <f>HYPERLINK("http://dx.doi.org/10.1007/s12040-012-0242-2","http://dx.doi.org/10.1007/s12040-012-0242-2")</f>
        <v>http://dx.doi.org/10.1007/s12040-012-0242-2</v>
      </c>
      <c r="BG962" t="s">
        <v>74</v>
      </c>
      <c r="BH962" t="s">
        <v>74</v>
      </c>
      <c r="BI962">
        <v>15</v>
      </c>
      <c r="BJ962" t="s">
        <v>125</v>
      </c>
      <c r="BK962" t="s">
        <v>102</v>
      </c>
      <c r="BL962" t="s">
        <v>126</v>
      </c>
      <c r="BM962" t="s">
        <v>17558</v>
      </c>
      <c r="BN962" t="s">
        <v>74</v>
      </c>
      <c r="BO962" t="s">
        <v>128</v>
      </c>
      <c r="BP962" t="s">
        <v>74</v>
      </c>
      <c r="BQ962" t="s">
        <v>74</v>
      </c>
      <c r="BR962" t="s">
        <v>105</v>
      </c>
      <c r="BS962" t="s">
        <v>17559</v>
      </c>
      <c r="BT962" t="str">
        <f>HYPERLINK("https%3A%2F%2Fwww.webofscience.com%2Fwos%2Fwoscc%2Ffull-record%2FWOS:000313661800011","View Full Record in Web of Science")</f>
        <v>View Full Record in Web of Science</v>
      </c>
    </row>
    <row r="963" spans="1:72" x14ac:dyDescent="0.15">
      <c r="A963" t="s">
        <v>72</v>
      </c>
      <c r="B963" t="s">
        <v>17560</v>
      </c>
      <c r="C963" t="s">
        <v>74</v>
      </c>
      <c r="D963" t="s">
        <v>74</v>
      </c>
      <c r="E963" t="s">
        <v>74</v>
      </c>
      <c r="F963" t="s">
        <v>17561</v>
      </c>
      <c r="G963" t="s">
        <v>74</v>
      </c>
      <c r="H963" t="s">
        <v>74</v>
      </c>
      <c r="I963" t="s">
        <v>17562</v>
      </c>
      <c r="J963" t="s">
        <v>573</v>
      </c>
      <c r="K963" t="s">
        <v>74</v>
      </c>
      <c r="L963" t="s">
        <v>74</v>
      </c>
      <c r="M963" t="s">
        <v>78</v>
      </c>
      <c r="N963" t="s">
        <v>79</v>
      </c>
      <c r="O963" t="s">
        <v>74</v>
      </c>
      <c r="P963" t="s">
        <v>74</v>
      </c>
      <c r="Q963" t="s">
        <v>74</v>
      </c>
      <c r="R963" t="s">
        <v>74</v>
      </c>
      <c r="S963" t="s">
        <v>74</v>
      </c>
      <c r="T963" t="s">
        <v>17563</v>
      </c>
      <c r="U963" t="s">
        <v>17564</v>
      </c>
      <c r="V963" t="s">
        <v>17565</v>
      </c>
      <c r="W963" t="s">
        <v>17566</v>
      </c>
      <c r="X963" t="s">
        <v>17567</v>
      </c>
      <c r="Y963" t="s">
        <v>17568</v>
      </c>
      <c r="Z963" t="s">
        <v>17569</v>
      </c>
      <c r="AA963" t="s">
        <v>17570</v>
      </c>
      <c r="AB963" t="s">
        <v>17571</v>
      </c>
      <c r="AC963" t="s">
        <v>17572</v>
      </c>
      <c r="AD963" t="s">
        <v>17573</v>
      </c>
      <c r="AE963" t="s">
        <v>17574</v>
      </c>
      <c r="AF963" t="s">
        <v>74</v>
      </c>
      <c r="AG963">
        <v>63</v>
      </c>
      <c r="AH963">
        <v>8</v>
      </c>
      <c r="AI963">
        <v>9</v>
      </c>
      <c r="AJ963">
        <v>0</v>
      </c>
      <c r="AK963">
        <v>37</v>
      </c>
      <c r="AL963" t="s">
        <v>586</v>
      </c>
      <c r="AM963" t="s">
        <v>542</v>
      </c>
      <c r="AN963" t="s">
        <v>587</v>
      </c>
      <c r="AO963" t="s">
        <v>588</v>
      </c>
      <c r="AP963" t="s">
        <v>589</v>
      </c>
      <c r="AQ963" t="s">
        <v>74</v>
      </c>
      <c r="AR963" t="s">
        <v>590</v>
      </c>
      <c r="AS963" t="s">
        <v>591</v>
      </c>
      <c r="AT963" t="s">
        <v>15707</v>
      </c>
      <c r="AU963">
        <v>2012</v>
      </c>
      <c r="AV963">
        <v>105</v>
      </c>
      <c r="AW963" t="s">
        <v>74</v>
      </c>
      <c r="AX963" t="s">
        <v>74</v>
      </c>
      <c r="AY963" t="s">
        <v>74</v>
      </c>
      <c r="AZ963" t="s">
        <v>74</v>
      </c>
      <c r="BA963" t="s">
        <v>74</v>
      </c>
      <c r="BB963">
        <v>70</v>
      </c>
      <c r="BC963">
        <v>81</v>
      </c>
      <c r="BD963" t="s">
        <v>74</v>
      </c>
      <c r="BE963" t="s">
        <v>17575</v>
      </c>
      <c r="BF963" t="str">
        <f>HYPERLINK("http://dx.doi.org/10.1016/j.jmarsys.2012.06.002","http://dx.doi.org/10.1016/j.jmarsys.2012.06.002")</f>
        <v>http://dx.doi.org/10.1016/j.jmarsys.2012.06.002</v>
      </c>
      <c r="BG963" t="s">
        <v>74</v>
      </c>
      <c r="BH963" t="s">
        <v>74</v>
      </c>
      <c r="BI963">
        <v>12</v>
      </c>
      <c r="BJ963" t="s">
        <v>593</v>
      </c>
      <c r="BK963" t="s">
        <v>102</v>
      </c>
      <c r="BL963" t="s">
        <v>594</v>
      </c>
      <c r="BM963" t="s">
        <v>17576</v>
      </c>
      <c r="BN963" t="s">
        <v>74</v>
      </c>
      <c r="BO963" t="s">
        <v>74</v>
      </c>
      <c r="BP963" t="s">
        <v>74</v>
      </c>
      <c r="BQ963" t="s">
        <v>74</v>
      </c>
      <c r="BR963" t="s">
        <v>105</v>
      </c>
      <c r="BS963" t="s">
        <v>17577</v>
      </c>
      <c r="BT963" t="str">
        <f>HYPERLINK("https%3A%2F%2Fwww.webofscience.com%2Fwos%2Fwoscc%2Ffull-record%2FWOS:000310819100006","View Full Record in Web of Science")</f>
        <v>View Full Record in Web of Science</v>
      </c>
    </row>
    <row r="964" spans="1:72" x14ac:dyDescent="0.15">
      <c r="A964" t="s">
        <v>72</v>
      </c>
      <c r="B964" t="s">
        <v>17578</v>
      </c>
      <c r="C964" t="s">
        <v>74</v>
      </c>
      <c r="D964" t="s">
        <v>74</v>
      </c>
      <c r="E964" t="s">
        <v>74</v>
      </c>
      <c r="F964" t="s">
        <v>17579</v>
      </c>
      <c r="G964" t="s">
        <v>74</v>
      </c>
      <c r="H964" t="s">
        <v>74</v>
      </c>
      <c r="I964" t="s">
        <v>17580</v>
      </c>
      <c r="J964" t="s">
        <v>17581</v>
      </c>
      <c r="K964" t="s">
        <v>74</v>
      </c>
      <c r="L964" t="s">
        <v>74</v>
      </c>
      <c r="M964" t="s">
        <v>78</v>
      </c>
      <c r="N964" t="s">
        <v>79</v>
      </c>
      <c r="O964" t="s">
        <v>74</v>
      </c>
      <c r="P964" t="s">
        <v>74</v>
      </c>
      <c r="Q964" t="s">
        <v>74</v>
      </c>
      <c r="R964" t="s">
        <v>74</v>
      </c>
      <c r="S964" t="s">
        <v>74</v>
      </c>
      <c r="T964" t="s">
        <v>17582</v>
      </c>
      <c r="U964" t="s">
        <v>17583</v>
      </c>
      <c r="V964" t="s">
        <v>17584</v>
      </c>
      <c r="W964" t="s">
        <v>17585</v>
      </c>
      <c r="X964" t="s">
        <v>17586</v>
      </c>
      <c r="Y964" t="s">
        <v>17587</v>
      </c>
      <c r="Z964" t="s">
        <v>17588</v>
      </c>
      <c r="AA964" t="s">
        <v>17589</v>
      </c>
      <c r="AB964" t="s">
        <v>17590</v>
      </c>
      <c r="AC964" t="s">
        <v>17591</v>
      </c>
      <c r="AD964" t="s">
        <v>17592</v>
      </c>
      <c r="AE964" t="s">
        <v>17593</v>
      </c>
      <c r="AF964" t="s">
        <v>74</v>
      </c>
      <c r="AG964">
        <v>51</v>
      </c>
      <c r="AH964">
        <v>20</v>
      </c>
      <c r="AI964">
        <v>23</v>
      </c>
      <c r="AJ964">
        <v>4</v>
      </c>
      <c r="AK964">
        <v>68</v>
      </c>
      <c r="AL964" t="s">
        <v>17594</v>
      </c>
      <c r="AM964" t="s">
        <v>2062</v>
      </c>
      <c r="AN964" t="s">
        <v>17595</v>
      </c>
      <c r="AO964" t="s">
        <v>17596</v>
      </c>
      <c r="AP964" t="s">
        <v>17597</v>
      </c>
      <c r="AQ964" t="s">
        <v>74</v>
      </c>
      <c r="AR964" t="s">
        <v>17598</v>
      </c>
      <c r="AS964" t="s">
        <v>17599</v>
      </c>
      <c r="AT964" t="s">
        <v>15707</v>
      </c>
      <c r="AU964">
        <v>2012</v>
      </c>
      <c r="AV964">
        <v>50</v>
      </c>
      <c r="AW964">
        <v>6</v>
      </c>
      <c r="AX964" t="s">
        <v>74</v>
      </c>
      <c r="AY964" t="s">
        <v>74</v>
      </c>
      <c r="AZ964" t="s">
        <v>74</v>
      </c>
      <c r="BA964" t="s">
        <v>74</v>
      </c>
      <c r="BB964">
        <v>916</v>
      </c>
      <c r="BC964">
        <v>924</v>
      </c>
      <c r="BD964" t="s">
        <v>74</v>
      </c>
      <c r="BE964" t="s">
        <v>17600</v>
      </c>
      <c r="BF964" t="str">
        <f>HYPERLINK("http://dx.doi.org/10.1007/s12275-012-2636-x","http://dx.doi.org/10.1007/s12275-012-2636-x")</f>
        <v>http://dx.doi.org/10.1007/s12275-012-2636-x</v>
      </c>
      <c r="BG964" t="s">
        <v>74</v>
      </c>
      <c r="BH964" t="s">
        <v>74</v>
      </c>
      <c r="BI964">
        <v>9</v>
      </c>
      <c r="BJ964" t="s">
        <v>1139</v>
      </c>
      <c r="BK964" t="s">
        <v>102</v>
      </c>
      <c r="BL964" t="s">
        <v>1139</v>
      </c>
      <c r="BM964" t="s">
        <v>17601</v>
      </c>
      <c r="BN964">
        <v>23274977</v>
      </c>
      <c r="BO964" t="s">
        <v>74</v>
      </c>
      <c r="BP964" t="s">
        <v>74</v>
      </c>
      <c r="BQ964" t="s">
        <v>74</v>
      </c>
      <c r="BR964" t="s">
        <v>105</v>
      </c>
      <c r="BS964" t="s">
        <v>17602</v>
      </c>
      <c r="BT964" t="str">
        <f>HYPERLINK("https%3A%2F%2Fwww.webofscience.com%2Fwos%2Fwoscc%2Ffull-record%2FWOS:000312879300004","View Full Record in Web of Science")</f>
        <v>View Full Record in Web of Science</v>
      </c>
    </row>
    <row r="965" spans="1:72" x14ac:dyDescent="0.15">
      <c r="A965" t="s">
        <v>72</v>
      </c>
      <c r="B965" t="s">
        <v>17603</v>
      </c>
      <c r="C965" t="s">
        <v>74</v>
      </c>
      <c r="D965" t="s">
        <v>74</v>
      </c>
      <c r="E965" t="s">
        <v>74</v>
      </c>
      <c r="F965" t="s">
        <v>17604</v>
      </c>
      <c r="G965" t="s">
        <v>74</v>
      </c>
      <c r="H965" t="s">
        <v>74</v>
      </c>
      <c r="I965" t="s">
        <v>17605</v>
      </c>
      <c r="J965" t="s">
        <v>1946</v>
      </c>
      <c r="K965" t="s">
        <v>74</v>
      </c>
      <c r="L965" t="s">
        <v>74</v>
      </c>
      <c r="M965" t="s">
        <v>78</v>
      </c>
      <c r="N965" t="s">
        <v>79</v>
      </c>
      <c r="O965" t="s">
        <v>74</v>
      </c>
      <c r="P965" t="s">
        <v>74</v>
      </c>
      <c r="Q965" t="s">
        <v>74</v>
      </c>
      <c r="R965" t="s">
        <v>74</v>
      </c>
      <c r="S965" t="s">
        <v>74</v>
      </c>
      <c r="T965" t="s">
        <v>17606</v>
      </c>
      <c r="U965" t="s">
        <v>17607</v>
      </c>
      <c r="V965" t="s">
        <v>17608</v>
      </c>
      <c r="W965" t="s">
        <v>17609</v>
      </c>
      <c r="X965" t="s">
        <v>17610</v>
      </c>
      <c r="Y965" t="s">
        <v>16874</v>
      </c>
      <c r="Z965" t="s">
        <v>16875</v>
      </c>
      <c r="AA965" t="s">
        <v>17611</v>
      </c>
      <c r="AB965" t="s">
        <v>17612</v>
      </c>
      <c r="AC965" t="s">
        <v>16878</v>
      </c>
      <c r="AD965" t="s">
        <v>16879</v>
      </c>
      <c r="AE965" t="s">
        <v>17613</v>
      </c>
      <c r="AF965" t="s">
        <v>74</v>
      </c>
      <c r="AG965">
        <v>65</v>
      </c>
      <c r="AH965">
        <v>23</v>
      </c>
      <c r="AI965">
        <v>24</v>
      </c>
      <c r="AJ965">
        <v>0</v>
      </c>
      <c r="AK965">
        <v>39</v>
      </c>
      <c r="AL965" t="s">
        <v>500</v>
      </c>
      <c r="AM965" t="s">
        <v>950</v>
      </c>
      <c r="AN965" t="s">
        <v>951</v>
      </c>
      <c r="AO965" t="s">
        <v>1958</v>
      </c>
      <c r="AP965" t="s">
        <v>1959</v>
      </c>
      <c r="AQ965" t="s">
        <v>74</v>
      </c>
      <c r="AR965" t="s">
        <v>1960</v>
      </c>
      <c r="AS965" t="s">
        <v>1961</v>
      </c>
      <c r="AT965" t="s">
        <v>15707</v>
      </c>
      <c r="AU965">
        <v>2012</v>
      </c>
      <c r="AV965">
        <v>48</v>
      </c>
      <c r="AW965">
        <v>4</v>
      </c>
      <c r="AX965" t="s">
        <v>74</v>
      </c>
      <c r="AY965" t="s">
        <v>74</v>
      </c>
      <c r="AZ965" t="s">
        <v>74</v>
      </c>
      <c r="BA965" t="s">
        <v>74</v>
      </c>
      <c r="BB965">
        <v>785</v>
      </c>
      <c r="BC965">
        <v>800</v>
      </c>
      <c r="BD965" t="s">
        <v>74</v>
      </c>
      <c r="BE965" t="s">
        <v>17614</v>
      </c>
      <c r="BF965" t="str">
        <f>HYPERLINK("http://dx.doi.org/10.1007/s10933-012-9644-z","http://dx.doi.org/10.1007/s10933-012-9644-z")</f>
        <v>http://dx.doi.org/10.1007/s10933-012-9644-z</v>
      </c>
      <c r="BG965" t="s">
        <v>74</v>
      </c>
      <c r="BH965" t="s">
        <v>74</v>
      </c>
      <c r="BI965">
        <v>16</v>
      </c>
      <c r="BJ965" t="s">
        <v>1963</v>
      </c>
      <c r="BK965" t="s">
        <v>102</v>
      </c>
      <c r="BL965" t="s">
        <v>1964</v>
      </c>
      <c r="BM965" t="s">
        <v>16882</v>
      </c>
      <c r="BN965" t="s">
        <v>74</v>
      </c>
      <c r="BO965" t="s">
        <v>74</v>
      </c>
      <c r="BP965" t="s">
        <v>74</v>
      </c>
      <c r="BQ965" t="s">
        <v>74</v>
      </c>
      <c r="BR965" t="s">
        <v>105</v>
      </c>
      <c r="BS965" t="s">
        <v>17615</v>
      </c>
      <c r="BT965" t="str">
        <f>HYPERLINK("https%3A%2F%2Fwww.webofscience.com%2Fwos%2Fwoscc%2Ffull-record%2FWOS:000311395000008","View Full Record in Web of Science")</f>
        <v>View Full Record in Web of Science</v>
      </c>
    </row>
    <row r="966" spans="1:72" x14ac:dyDescent="0.15">
      <c r="A966" t="s">
        <v>72</v>
      </c>
      <c r="B966" t="s">
        <v>17616</v>
      </c>
      <c r="C966" t="s">
        <v>74</v>
      </c>
      <c r="D966" t="s">
        <v>74</v>
      </c>
      <c r="E966" t="s">
        <v>74</v>
      </c>
      <c r="F966" t="s">
        <v>17617</v>
      </c>
      <c r="G966" t="s">
        <v>74</v>
      </c>
      <c r="H966" t="s">
        <v>74</v>
      </c>
      <c r="I966" t="s">
        <v>17618</v>
      </c>
      <c r="J966" t="s">
        <v>362</v>
      </c>
      <c r="K966" t="s">
        <v>74</v>
      </c>
      <c r="L966" t="s">
        <v>74</v>
      </c>
      <c r="M966" t="s">
        <v>78</v>
      </c>
      <c r="N966" t="s">
        <v>79</v>
      </c>
      <c r="O966" t="s">
        <v>74</v>
      </c>
      <c r="P966" t="s">
        <v>74</v>
      </c>
      <c r="Q966" t="s">
        <v>74</v>
      </c>
      <c r="R966" t="s">
        <v>74</v>
      </c>
      <c r="S966" t="s">
        <v>74</v>
      </c>
      <c r="T966" t="s">
        <v>17619</v>
      </c>
      <c r="U966" t="s">
        <v>17620</v>
      </c>
      <c r="V966" t="s">
        <v>17621</v>
      </c>
      <c r="W966" t="s">
        <v>17622</v>
      </c>
      <c r="X966" t="s">
        <v>17623</v>
      </c>
      <c r="Y966" t="s">
        <v>17624</v>
      </c>
      <c r="Z966" t="s">
        <v>17625</v>
      </c>
      <c r="AA966" t="s">
        <v>17626</v>
      </c>
      <c r="AB966" t="s">
        <v>17627</v>
      </c>
      <c r="AC966" t="s">
        <v>17628</v>
      </c>
      <c r="AD966" t="s">
        <v>17629</v>
      </c>
      <c r="AE966" t="s">
        <v>17630</v>
      </c>
      <c r="AF966" t="s">
        <v>74</v>
      </c>
      <c r="AG966">
        <v>78</v>
      </c>
      <c r="AH966">
        <v>70</v>
      </c>
      <c r="AI966">
        <v>79</v>
      </c>
      <c r="AJ966">
        <v>9</v>
      </c>
      <c r="AK966">
        <v>124</v>
      </c>
      <c r="AL966" t="s">
        <v>214</v>
      </c>
      <c r="AM966" t="s">
        <v>215</v>
      </c>
      <c r="AN966" t="s">
        <v>216</v>
      </c>
      <c r="AO966" t="s">
        <v>374</v>
      </c>
      <c r="AP966" t="s">
        <v>74</v>
      </c>
      <c r="AQ966" t="s">
        <v>74</v>
      </c>
      <c r="AR966" t="s">
        <v>375</v>
      </c>
      <c r="AS966" t="s">
        <v>376</v>
      </c>
      <c r="AT966" t="s">
        <v>15707</v>
      </c>
      <c r="AU966">
        <v>2012</v>
      </c>
      <c r="AV966">
        <v>48</v>
      </c>
      <c r="AW966">
        <v>6</v>
      </c>
      <c r="AX966" t="s">
        <v>74</v>
      </c>
      <c r="AY966" t="s">
        <v>74</v>
      </c>
      <c r="AZ966" t="s">
        <v>74</v>
      </c>
      <c r="BA966" t="s">
        <v>74</v>
      </c>
      <c r="BB966">
        <v>1494</v>
      </c>
      <c r="BC966">
        <v>1509</v>
      </c>
      <c r="BD966" t="s">
        <v>74</v>
      </c>
      <c r="BE966" t="s">
        <v>17631</v>
      </c>
      <c r="BF966" t="str">
        <f>HYPERLINK("http://dx.doi.org/10.1111/jpy.12004","http://dx.doi.org/10.1111/jpy.12004")</f>
        <v>http://dx.doi.org/10.1111/jpy.12004</v>
      </c>
      <c r="BG966" t="s">
        <v>74</v>
      </c>
      <c r="BH966" t="s">
        <v>74</v>
      </c>
      <c r="BI966">
        <v>16</v>
      </c>
      <c r="BJ966" t="s">
        <v>378</v>
      </c>
      <c r="BK966" t="s">
        <v>102</v>
      </c>
      <c r="BL966" t="s">
        <v>378</v>
      </c>
      <c r="BM966" t="s">
        <v>16425</v>
      </c>
      <c r="BN966">
        <v>27009999</v>
      </c>
      <c r="BO966" t="s">
        <v>128</v>
      </c>
      <c r="BP966" t="s">
        <v>74</v>
      </c>
      <c r="BQ966" t="s">
        <v>74</v>
      </c>
      <c r="BR966" t="s">
        <v>105</v>
      </c>
      <c r="BS966" t="s">
        <v>17632</v>
      </c>
      <c r="BT966" t="str">
        <f>HYPERLINK("https%3A%2F%2Fwww.webofscience.com%2Fwos%2Fwoscc%2Ffull-record%2FWOS:000312459900020","View Full Record in Web of Science")</f>
        <v>View Full Record in Web of Science</v>
      </c>
    </row>
    <row r="967" spans="1:72" x14ac:dyDescent="0.15">
      <c r="A967" t="s">
        <v>72</v>
      </c>
      <c r="B967" t="s">
        <v>17633</v>
      </c>
      <c r="C967" t="s">
        <v>74</v>
      </c>
      <c r="D967" t="s">
        <v>74</v>
      </c>
      <c r="E967" t="s">
        <v>74</v>
      </c>
      <c r="F967" t="s">
        <v>17634</v>
      </c>
      <c r="G967" t="s">
        <v>74</v>
      </c>
      <c r="H967" t="s">
        <v>74</v>
      </c>
      <c r="I967" t="s">
        <v>17635</v>
      </c>
      <c r="J967" t="s">
        <v>1970</v>
      </c>
      <c r="K967" t="s">
        <v>74</v>
      </c>
      <c r="L967" t="s">
        <v>74</v>
      </c>
      <c r="M967" t="s">
        <v>78</v>
      </c>
      <c r="N967" t="s">
        <v>79</v>
      </c>
      <c r="O967" t="s">
        <v>74</v>
      </c>
      <c r="P967" t="s">
        <v>74</v>
      </c>
      <c r="Q967" t="s">
        <v>74</v>
      </c>
      <c r="R967" t="s">
        <v>74</v>
      </c>
      <c r="S967" t="s">
        <v>74</v>
      </c>
      <c r="T967" t="s">
        <v>74</v>
      </c>
      <c r="U967" t="s">
        <v>17636</v>
      </c>
      <c r="V967" t="s">
        <v>17637</v>
      </c>
      <c r="W967" t="s">
        <v>17638</v>
      </c>
      <c r="X967" t="s">
        <v>17639</v>
      </c>
      <c r="Y967" t="s">
        <v>17640</v>
      </c>
      <c r="Z967" t="s">
        <v>17641</v>
      </c>
      <c r="AA967" t="s">
        <v>17642</v>
      </c>
      <c r="AB967" t="s">
        <v>17643</v>
      </c>
      <c r="AC967" t="s">
        <v>17644</v>
      </c>
      <c r="AD967" t="s">
        <v>17645</v>
      </c>
      <c r="AE967" t="s">
        <v>17646</v>
      </c>
      <c r="AF967" t="s">
        <v>74</v>
      </c>
      <c r="AG967">
        <v>29</v>
      </c>
      <c r="AH967">
        <v>95</v>
      </c>
      <c r="AI967">
        <v>104</v>
      </c>
      <c r="AJ967">
        <v>0</v>
      </c>
      <c r="AK967">
        <v>35</v>
      </c>
      <c r="AL967" t="s">
        <v>91</v>
      </c>
      <c r="AM967" t="s">
        <v>92</v>
      </c>
      <c r="AN967" t="s">
        <v>93</v>
      </c>
      <c r="AO967" t="s">
        <v>1981</v>
      </c>
      <c r="AP967" t="s">
        <v>1982</v>
      </c>
      <c r="AQ967" t="s">
        <v>74</v>
      </c>
      <c r="AR967" t="s">
        <v>1983</v>
      </c>
      <c r="AS967" t="s">
        <v>1984</v>
      </c>
      <c r="AT967" t="s">
        <v>15707</v>
      </c>
      <c r="AU967">
        <v>2012</v>
      </c>
      <c r="AV967">
        <v>42</v>
      </c>
      <c r="AW967">
        <v>12</v>
      </c>
      <c r="AX967" t="s">
        <v>74</v>
      </c>
      <c r="AY967" t="s">
        <v>74</v>
      </c>
      <c r="AZ967" t="s">
        <v>74</v>
      </c>
      <c r="BA967" t="s">
        <v>74</v>
      </c>
      <c r="BB967">
        <v>2143</v>
      </c>
      <c r="BC967">
        <v>2152</v>
      </c>
      <c r="BD967" t="s">
        <v>74</v>
      </c>
      <c r="BE967" t="s">
        <v>17647</v>
      </c>
      <c r="BF967" t="str">
        <f>HYPERLINK("http://dx.doi.org/10.1175/JPO-D-12-027.1","http://dx.doi.org/10.1175/JPO-D-12-027.1")</f>
        <v>http://dx.doi.org/10.1175/JPO-D-12-027.1</v>
      </c>
      <c r="BG967" t="s">
        <v>74</v>
      </c>
      <c r="BH967" t="s">
        <v>74</v>
      </c>
      <c r="BI967">
        <v>10</v>
      </c>
      <c r="BJ967" t="s">
        <v>303</v>
      </c>
      <c r="BK967" t="s">
        <v>102</v>
      </c>
      <c r="BL967" t="s">
        <v>303</v>
      </c>
      <c r="BM967" t="s">
        <v>16284</v>
      </c>
      <c r="BN967" t="s">
        <v>74</v>
      </c>
      <c r="BO967" t="s">
        <v>155</v>
      </c>
      <c r="BP967" t="s">
        <v>74</v>
      </c>
      <c r="BQ967" t="s">
        <v>74</v>
      </c>
      <c r="BR967" t="s">
        <v>105</v>
      </c>
      <c r="BS967" t="s">
        <v>17648</v>
      </c>
      <c r="BT967" t="str">
        <f>HYPERLINK("https%3A%2F%2Fwww.webofscience.com%2Fwos%2Fwoscc%2Ffull-record%2FWOS:000313054800004","View Full Record in Web of Science")</f>
        <v>View Full Record in Web of Science</v>
      </c>
    </row>
    <row r="968" spans="1:72" x14ac:dyDescent="0.15">
      <c r="A968" t="s">
        <v>72</v>
      </c>
      <c r="B968" t="s">
        <v>17649</v>
      </c>
      <c r="C968" t="s">
        <v>74</v>
      </c>
      <c r="D968" t="s">
        <v>74</v>
      </c>
      <c r="E968" t="s">
        <v>74</v>
      </c>
      <c r="F968" t="s">
        <v>17650</v>
      </c>
      <c r="G968" t="s">
        <v>74</v>
      </c>
      <c r="H968" t="s">
        <v>74</v>
      </c>
      <c r="I968" t="s">
        <v>17651</v>
      </c>
      <c r="J968" t="s">
        <v>15969</v>
      </c>
      <c r="K968" t="s">
        <v>74</v>
      </c>
      <c r="L968" t="s">
        <v>74</v>
      </c>
      <c r="M968" t="s">
        <v>78</v>
      </c>
      <c r="N968" t="s">
        <v>79</v>
      </c>
      <c r="O968" t="s">
        <v>74</v>
      </c>
      <c r="P968" t="s">
        <v>74</v>
      </c>
      <c r="Q968" t="s">
        <v>74</v>
      </c>
      <c r="R968" t="s">
        <v>74</v>
      </c>
      <c r="S968" t="s">
        <v>74</v>
      </c>
      <c r="T968" t="s">
        <v>17652</v>
      </c>
      <c r="U968" t="s">
        <v>17653</v>
      </c>
      <c r="V968" t="s">
        <v>17654</v>
      </c>
      <c r="W968" t="s">
        <v>17655</v>
      </c>
      <c r="X968" t="s">
        <v>17656</v>
      </c>
      <c r="Y968" t="s">
        <v>17657</v>
      </c>
      <c r="Z968" t="s">
        <v>17658</v>
      </c>
      <c r="AA968" t="s">
        <v>17659</v>
      </c>
      <c r="AB968" t="s">
        <v>17660</v>
      </c>
      <c r="AC968" t="s">
        <v>17661</v>
      </c>
      <c r="AD968" t="s">
        <v>17662</v>
      </c>
      <c r="AE968" t="s">
        <v>17663</v>
      </c>
      <c r="AF968" t="s">
        <v>74</v>
      </c>
      <c r="AG968">
        <v>38</v>
      </c>
      <c r="AH968">
        <v>3</v>
      </c>
      <c r="AI968">
        <v>4</v>
      </c>
      <c r="AJ968">
        <v>1</v>
      </c>
      <c r="AK968">
        <v>49</v>
      </c>
      <c r="AL968" t="s">
        <v>541</v>
      </c>
      <c r="AM968" t="s">
        <v>542</v>
      </c>
      <c r="AN968" t="s">
        <v>543</v>
      </c>
      <c r="AO968" t="s">
        <v>15982</v>
      </c>
      <c r="AP968" t="s">
        <v>74</v>
      </c>
      <c r="AQ968" t="s">
        <v>74</v>
      </c>
      <c r="AR968" t="s">
        <v>15983</v>
      </c>
      <c r="AS968" t="s">
        <v>15984</v>
      </c>
      <c r="AT968" t="s">
        <v>15707</v>
      </c>
      <c r="AU968">
        <v>2012</v>
      </c>
      <c r="AV968">
        <v>8</v>
      </c>
      <c r="AW968" t="s">
        <v>74</v>
      </c>
      <c r="AX968" t="s">
        <v>74</v>
      </c>
      <c r="AY968" t="s">
        <v>74</v>
      </c>
      <c r="AZ968" t="s">
        <v>74</v>
      </c>
      <c r="BA968" t="s">
        <v>74</v>
      </c>
      <c r="BB968">
        <v>3</v>
      </c>
      <c r="BC968">
        <v>8</v>
      </c>
      <c r="BD968" t="s">
        <v>74</v>
      </c>
      <c r="BE968" t="s">
        <v>17664</v>
      </c>
      <c r="BF968" t="str">
        <f>HYPERLINK("http://dx.doi.org/10.1016/j.margen.2012.04.001","http://dx.doi.org/10.1016/j.margen.2012.04.001")</f>
        <v>http://dx.doi.org/10.1016/j.margen.2012.04.001</v>
      </c>
      <c r="BG968" t="s">
        <v>74</v>
      </c>
      <c r="BH968" t="s">
        <v>74</v>
      </c>
      <c r="BI968">
        <v>6</v>
      </c>
      <c r="BJ968" t="s">
        <v>15986</v>
      </c>
      <c r="BK968" t="s">
        <v>102</v>
      </c>
      <c r="BL968" t="s">
        <v>15986</v>
      </c>
      <c r="BM968" t="s">
        <v>15987</v>
      </c>
      <c r="BN968">
        <v>23199874</v>
      </c>
      <c r="BO968" t="s">
        <v>74</v>
      </c>
      <c r="BP968" t="s">
        <v>74</v>
      </c>
      <c r="BQ968" t="s">
        <v>74</v>
      </c>
      <c r="BR968" t="s">
        <v>105</v>
      </c>
      <c r="BS968" t="s">
        <v>17665</v>
      </c>
      <c r="BT968" t="str">
        <f>HYPERLINK("https%3A%2F%2Fwww.webofscience.com%2Fwos%2Fwoscc%2Ffull-record%2FWOS:000313381000002","View Full Record in Web of Science")</f>
        <v>View Full Record in Web of Science</v>
      </c>
    </row>
    <row r="969" spans="1:72" x14ac:dyDescent="0.15">
      <c r="A969" t="s">
        <v>72</v>
      </c>
      <c r="B969" t="s">
        <v>17666</v>
      </c>
      <c r="C969" t="s">
        <v>74</v>
      </c>
      <c r="D969" t="s">
        <v>74</v>
      </c>
      <c r="E969" t="s">
        <v>74</v>
      </c>
      <c r="F969" t="s">
        <v>17667</v>
      </c>
      <c r="G969" t="s">
        <v>74</v>
      </c>
      <c r="H969" t="s">
        <v>74</v>
      </c>
      <c r="I969" t="s">
        <v>17668</v>
      </c>
      <c r="J969" t="s">
        <v>17669</v>
      </c>
      <c r="K969" t="s">
        <v>74</v>
      </c>
      <c r="L969" t="s">
        <v>74</v>
      </c>
      <c r="M969" t="s">
        <v>78</v>
      </c>
      <c r="N969" t="s">
        <v>79</v>
      </c>
      <c r="O969" t="s">
        <v>74</v>
      </c>
      <c r="P969" t="s">
        <v>74</v>
      </c>
      <c r="Q969" t="s">
        <v>74</v>
      </c>
      <c r="R969" t="s">
        <v>74</v>
      </c>
      <c r="S969" t="s">
        <v>74</v>
      </c>
      <c r="T969" t="s">
        <v>17670</v>
      </c>
      <c r="U969" t="s">
        <v>17671</v>
      </c>
      <c r="V969" t="s">
        <v>17672</v>
      </c>
      <c r="W969" t="s">
        <v>17673</v>
      </c>
      <c r="X969" t="s">
        <v>17674</v>
      </c>
      <c r="Y969" t="s">
        <v>17675</v>
      </c>
      <c r="Z969" t="s">
        <v>17676</v>
      </c>
      <c r="AA969" t="s">
        <v>17677</v>
      </c>
      <c r="AB969" t="s">
        <v>17678</v>
      </c>
      <c r="AC969" t="s">
        <v>17679</v>
      </c>
      <c r="AD969" t="s">
        <v>17680</v>
      </c>
      <c r="AE969" t="s">
        <v>17681</v>
      </c>
      <c r="AF969" t="s">
        <v>74</v>
      </c>
      <c r="AG969">
        <v>22</v>
      </c>
      <c r="AH969">
        <v>3</v>
      </c>
      <c r="AI969">
        <v>3</v>
      </c>
      <c r="AJ969">
        <v>0</v>
      </c>
      <c r="AK969">
        <v>3</v>
      </c>
      <c r="AL969" t="s">
        <v>7020</v>
      </c>
      <c r="AM969" t="s">
        <v>7021</v>
      </c>
      <c r="AN969" t="s">
        <v>7022</v>
      </c>
      <c r="AO969" t="s">
        <v>17682</v>
      </c>
      <c r="AP969" t="s">
        <v>17683</v>
      </c>
      <c r="AQ969" t="s">
        <v>74</v>
      </c>
      <c r="AR969" t="s">
        <v>17684</v>
      </c>
      <c r="AS969" t="s">
        <v>17685</v>
      </c>
      <c r="AT969" t="s">
        <v>15925</v>
      </c>
      <c r="AU969">
        <v>2012</v>
      </c>
      <c r="AV969">
        <v>35</v>
      </c>
      <c r="AW969" t="s">
        <v>74</v>
      </c>
      <c r="AX969" t="s">
        <v>74</v>
      </c>
      <c r="AY969">
        <v>1</v>
      </c>
      <c r="AZ969" t="s">
        <v>221</v>
      </c>
      <c r="BA969" t="s">
        <v>74</v>
      </c>
      <c r="BB969">
        <v>299</v>
      </c>
      <c r="BC969">
        <v>313</v>
      </c>
      <c r="BD969" t="s">
        <v>74</v>
      </c>
      <c r="BE969" t="s">
        <v>17686</v>
      </c>
      <c r="BF969" t="str">
        <f>HYPERLINK("http://dx.doi.org/10.1080/01490419.2012.718642","http://dx.doi.org/10.1080/01490419.2012.718642")</f>
        <v>http://dx.doi.org/10.1080/01490419.2012.718642</v>
      </c>
      <c r="BG969" t="s">
        <v>74</v>
      </c>
      <c r="BH969" t="s">
        <v>74</v>
      </c>
      <c r="BI969">
        <v>15</v>
      </c>
      <c r="BJ969" t="s">
        <v>17687</v>
      </c>
      <c r="BK969" t="s">
        <v>102</v>
      </c>
      <c r="BL969" t="s">
        <v>17687</v>
      </c>
      <c r="BM969" t="s">
        <v>17688</v>
      </c>
      <c r="BN969" t="s">
        <v>74</v>
      </c>
      <c r="BO969" t="s">
        <v>74</v>
      </c>
      <c r="BP969" t="s">
        <v>74</v>
      </c>
      <c r="BQ969" t="s">
        <v>74</v>
      </c>
      <c r="BR969" t="s">
        <v>105</v>
      </c>
      <c r="BS969" t="s">
        <v>17689</v>
      </c>
      <c r="BT969" t="str">
        <f>HYPERLINK("https%3A%2F%2Fwww.webofscience.com%2Fwos%2Fwoscc%2Ffull-record%2FWOS:000313238600017","View Full Record in Web of Science")</f>
        <v>View Full Record in Web of Science</v>
      </c>
    </row>
    <row r="970" spans="1:72" x14ac:dyDescent="0.15">
      <c r="A970" t="s">
        <v>72</v>
      </c>
      <c r="B970" t="s">
        <v>17690</v>
      </c>
      <c r="C970" t="s">
        <v>74</v>
      </c>
      <c r="D970" t="s">
        <v>74</v>
      </c>
      <c r="E970" t="s">
        <v>74</v>
      </c>
      <c r="F970" t="s">
        <v>17691</v>
      </c>
      <c r="G970" t="s">
        <v>74</v>
      </c>
      <c r="H970" t="s">
        <v>74</v>
      </c>
      <c r="I970" t="s">
        <v>17692</v>
      </c>
      <c r="J970" t="s">
        <v>2967</v>
      </c>
      <c r="K970" t="s">
        <v>74</v>
      </c>
      <c r="L970" t="s">
        <v>74</v>
      </c>
      <c r="M970" t="s">
        <v>78</v>
      </c>
      <c r="N970" t="s">
        <v>79</v>
      </c>
      <c r="O970" t="s">
        <v>74</v>
      </c>
      <c r="P970" t="s">
        <v>74</v>
      </c>
      <c r="Q970" t="s">
        <v>74</v>
      </c>
      <c r="R970" t="s">
        <v>74</v>
      </c>
      <c r="S970" t="s">
        <v>74</v>
      </c>
      <c r="T970" t="s">
        <v>17693</v>
      </c>
      <c r="U970" t="s">
        <v>17694</v>
      </c>
      <c r="V970" t="s">
        <v>17695</v>
      </c>
      <c r="W970" t="s">
        <v>17696</v>
      </c>
      <c r="X970" t="s">
        <v>10531</v>
      </c>
      <c r="Y970" t="s">
        <v>17697</v>
      </c>
      <c r="Z970" t="s">
        <v>17698</v>
      </c>
      <c r="AA970" t="s">
        <v>74</v>
      </c>
      <c r="AB970" t="s">
        <v>17699</v>
      </c>
      <c r="AC970" t="s">
        <v>17700</v>
      </c>
      <c r="AD970" t="s">
        <v>17700</v>
      </c>
      <c r="AE970" t="s">
        <v>17701</v>
      </c>
      <c r="AF970" t="s">
        <v>74</v>
      </c>
      <c r="AG970">
        <v>33</v>
      </c>
      <c r="AH970">
        <v>61</v>
      </c>
      <c r="AI970">
        <v>66</v>
      </c>
      <c r="AJ970">
        <v>4</v>
      </c>
      <c r="AK970">
        <v>80</v>
      </c>
      <c r="AL970" t="s">
        <v>146</v>
      </c>
      <c r="AM970" t="s">
        <v>147</v>
      </c>
      <c r="AN970" t="s">
        <v>148</v>
      </c>
      <c r="AO970" t="s">
        <v>2979</v>
      </c>
      <c r="AP970" t="s">
        <v>2980</v>
      </c>
      <c r="AQ970" t="s">
        <v>74</v>
      </c>
      <c r="AR970" t="s">
        <v>2981</v>
      </c>
      <c r="AS970" t="s">
        <v>2982</v>
      </c>
      <c r="AT970" t="s">
        <v>15707</v>
      </c>
      <c r="AU970">
        <v>2012</v>
      </c>
      <c r="AV970">
        <v>64</v>
      </c>
      <c r="AW970">
        <v>12</v>
      </c>
      <c r="AX970" t="s">
        <v>74</v>
      </c>
      <c r="AY970" t="s">
        <v>74</v>
      </c>
      <c r="AZ970" t="s">
        <v>74</v>
      </c>
      <c r="BA970" t="s">
        <v>74</v>
      </c>
      <c r="BB970">
        <v>2815</v>
      </c>
      <c r="BC970">
        <v>2819</v>
      </c>
      <c r="BD970" t="s">
        <v>74</v>
      </c>
      <c r="BE970" t="s">
        <v>17702</v>
      </c>
      <c r="BF970" t="str">
        <f>HYPERLINK("http://dx.doi.org/10.1016/j.marpolbul.2012.09.005","http://dx.doi.org/10.1016/j.marpolbul.2012.09.005")</f>
        <v>http://dx.doi.org/10.1016/j.marpolbul.2012.09.005</v>
      </c>
      <c r="BG970" t="s">
        <v>74</v>
      </c>
      <c r="BH970" t="s">
        <v>74</v>
      </c>
      <c r="BI970">
        <v>5</v>
      </c>
      <c r="BJ970" t="s">
        <v>2984</v>
      </c>
      <c r="BK970" t="s">
        <v>102</v>
      </c>
      <c r="BL970" t="s">
        <v>2985</v>
      </c>
      <c r="BM970" t="s">
        <v>15930</v>
      </c>
      <c r="BN970">
        <v>23117201</v>
      </c>
      <c r="BO970" t="s">
        <v>74</v>
      </c>
      <c r="BP970" t="s">
        <v>74</v>
      </c>
      <c r="BQ970" t="s">
        <v>74</v>
      </c>
      <c r="BR970" t="s">
        <v>105</v>
      </c>
      <c r="BS970" t="s">
        <v>17703</v>
      </c>
      <c r="BT970" t="str">
        <f>HYPERLINK("https%3A%2F%2Fwww.webofscience.com%2Fwos%2Fwoscc%2Ffull-record%2FWOS:000313380800038","View Full Record in Web of Science")</f>
        <v>View Full Record in Web of Science</v>
      </c>
    </row>
    <row r="971" spans="1:72" x14ac:dyDescent="0.15">
      <c r="A971" t="s">
        <v>72</v>
      </c>
      <c r="B971" t="s">
        <v>17704</v>
      </c>
      <c r="C971" t="s">
        <v>74</v>
      </c>
      <c r="D971" t="s">
        <v>74</v>
      </c>
      <c r="E971" t="s">
        <v>74</v>
      </c>
      <c r="F971" t="s">
        <v>17705</v>
      </c>
      <c r="G971" t="s">
        <v>74</v>
      </c>
      <c r="H971" t="s">
        <v>74</v>
      </c>
      <c r="I971" t="s">
        <v>17706</v>
      </c>
      <c r="J971" t="s">
        <v>17707</v>
      </c>
      <c r="K971" t="s">
        <v>74</v>
      </c>
      <c r="L971" t="s">
        <v>74</v>
      </c>
      <c r="M971" t="s">
        <v>78</v>
      </c>
      <c r="N971" t="s">
        <v>79</v>
      </c>
      <c r="O971" t="s">
        <v>74</v>
      </c>
      <c r="P971" t="s">
        <v>74</v>
      </c>
      <c r="Q971" t="s">
        <v>74</v>
      </c>
      <c r="R971" t="s">
        <v>74</v>
      </c>
      <c r="S971" t="s">
        <v>74</v>
      </c>
      <c r="T971" t="s">
        <v>17708</v>
      </c>
      <c r="U971" t="s">
        <v>17709</v>
      </c>
      <c r="V971" t="s">
        <v>17710</v>
      </c>
      <c r="W971" t="s">
        <v>17711</v>
      </c>
      <c r="X971" t="s">
        <v>17712</v>
      </c>
      <c r="Y971" t="s">
        <v>17713</v>
      </c>
      <c r="Z971" t="s">
        <v>17714</v>
      </c>
      <c r="AA971" t="s">
        <v>17715</v>
      </c>
      <c r="AB971" t="s">
        <v>17716</v>
      </c>
      <c r="AC971" t="s">
        <v>74</v>
      </c>
      <c r="AD971" t="s">
        <v>74</v>
      </c>
      <c r="AE971" t="s">
        <v>74</v>
      </c>
      <c r="AF971" t="s">
        <v>74</v>
      </c>
      <c r="AG971">
        <v>24</v>
      </c>
      <c r="AH971">
        <v>16</v>
      </c>
      <c r="AI971">
        <v>18</v>
      </c>
      <c r="AJ971">
        <v>1</v>
      </c>
      <c r="AK971">
        <v>53</v>
      </c>
      <c r="AL971" t="s">
        <v>257</v>
      </c>
      <c r="AM971" t="s">
        <v>215</v>
      </c>
      <c r="AN971" t="s">
        <v>216</v>
      </c>
      <c r="AO971" t="s">
        <v>17717</v>
      </c>
      <c r="AP971" t="s">
        <v>17718</v>
      </c>
      <c r="AQ971" t="s">
        <v>74</v>
      </c>
      <c r="AR971" t="s">
        <v>17719</v>
      </c>
      <c r="AS971" t="s">
        <v>17720</v>
      </c>
      <c r="AT971" t="s">
        <v>15707</v>
      </c>
      <c r="AU971">
        <v>2012</v>
      </c>
      <c r="AV971">
        <v>3</v>
      </c>
      <c r="AW971">
        <v>6</v>
      </c>
      <c r="AX971" t="s">
        <v>74</v>
      </c>
      <c r="AY971" t="s">
        <v>74</v>
      </c>
      <c r="AZ971" t="s">
        <v>74</v>
      </c>
      <c r="BA971" t="s">
        <v>74</v>
      </c>
      <c r="BB971">
        <v>1047</v>
      </c>
      <c r="BC971">
        <v>1054</v>
      </c>
      <c r="BD971" t="s">
        <v>74</v>
      </c>
      <c r="BE971" t="s">
        <v>17721</v>
      </c>
      <c r="BF971" t="str">
        <f>HYPERLINK("http://dx.doi.org/10.1111/j.2041-210X.2012.00243.x","http://dx.doi.org/10.1111/j.2041-210X.2012.00243.x")</f>
        <v>http://dx.doi.org/10.1111/j.2041-210X.2012.00243.x</v>
      </c>
      <c r="BG971" t="s">
        <v>74</v>
      </c>
      <c r="BH971" t="s">
        <v>74</v>
      </c>
      <c r="BI971">
        <v>8</v>
      </c>
      <c r="BJ971" t="s">
        <v>5172</v>
      </c>
      <c r="BK971" t="s">
        <v>102</v>
      </c>
      <c r="BL971" t="s">
        <v>455</v>
      </c>
      <c r="BM971" t="s">
        <v>17722</v>
      </c>
      <c r="BN971" t="s">
        <v>74</v>
      </c>
      <c r="BO971" t="s">
        <v>128</v>
      </c>
      <c r="BP971" t="s">
        <v>74</v>
      </c>
      <c r="BQ971" t="s">
        <v>74</v>
      </c>
      <c r="BR971" t="s">
        <v>105</v>
      </c>
      <c r="BS971" t="s">
        <v>17723</v>
      </c>
      <c r="BT971" t="str">
        <f>HYPERLINK("https%3A%2F%2Fwww.webofscience.com%2Fwos%2Fwoscc%2Ffull-record%2FWOS:000312462000011","View Full Record in Web of Science")</f>
        <v>View Full Record in Web of Science</v>
      </c>
    </row>
    <row r="972" spans="1:72" x14ac:dyDescent="0.15">
      <c r="A972" t="s">
        <v>72</v>
      </c>
      <c r="B972" t="s">
        <v>17724</v>
      </c>
      <c r="C972" t="s">
        <v>74</v>
      </c>
      <c r="D972" t="s">
        <v>74</v>
      </c>
      <c r="E972" t="s">
        <v>74</v>
      </c>
      <c r="F972" t="s">
        <v>17725</v>
      </c>
      <c r="G972" t="s">
        <v>74</v>
      </c>
      <c r="H972" t="s">
        <v>74</v>
      </c>
      <c r="I972" t="s">
        <v>17726</v>
      </c>
      <c r="J972" t="s">
        <v>16625</v>
      </c>
      <c r="K972" t="s">
        <v>74</v>
      </c>
      <c r="L972" t="s">
        <v>74</v>
      </c>
      <c r="M972" t="s">
        <v>78</v>
      </c>
      <c r="N972" t="s">
        <v>79</v>
      </c>
      <c r="O972" t="s">
        <v>74</v>
      </c>
      <c r="P972" t="s">
        <v>74</v>
      </c>
      <c r="Q972" t="s">
        <v>74</v>
      </c>
      <c r="R972" t="s">
        <v>74</v>
      </c>
      <c r="S972" t="s">
        <v>74</v>
      </c>
      <c r="T972" t="s">
        <v>74</v>
      </c>
      <c r="U972" t="s">
        <v>17727</v>
      </c>
      <c r="V972" t="s">
        <v>17728</v>
      </c>
      <c r="W972" t="s">
        <v>17729</v>
      </c>
      <c r="X972" t="s">
        <v>10720</v>
      </c>
      <c r="Y972" t="s">
        <v>17730</v>
      </c>
      <c r="Z972" t="s">
        <v>17731</v>
      </c>
      <c r="AA972" t="s">
        <v>17732</v>
      </c>
      <c r="AB972" t="s">
        <v>17733</v>
      </c>
      <c r="AC972" t="s">
        <v>17734</v>
      </c>
      <c r="AD972" t="s">
        <v>17735</v>
      </c>
      <c r="AE972" t="s">
        <v>17736</v>
      </c>
      <c r="AF972" t="s">
        <v>74</v>
      </c>
      <c r="AG972">
        <v>55</v>
      </c>
      <c r="AH972">
        <v>11</v>
      </c>
      <c r="AI972">
        <v>15</v>
      </c>
      <c r="AJ972">
        <v>0</v>
      </c>
      <c r="AK972">
        <v>20</v>
      </c>
      <c r="AL972" t="s">
        <v>91</v>
      </c>
      <c r="AM972" t="s">
        <v>92</v>
      </c>
      <c r="AN972" t="s">
        <v>9184</v>
      </c>
      <c r="AO972" t="s">
        <v>16636</v>
      </c>
      <c r="AP972" t="s">
        <v>16637</v>
      </c>
      <c r="AQ972" t="s">
        <v>74</v>
      </c>
      <c r="AR972" t="s">
        <v>16638</v>
      </c>
      <c r="AS972" t="s">
        <v>16639</v>
      </c>
      <c r="AT972" t="s">
        <v>15707</v>
      </c>
      <c r="AU972">
        <v>2012</v>
      </c>
      <c r="AV972">
        <v>140</v>
      </c>
      <c r="AW972">
        <v>12</v>
      </c>
      <c r="AX972" t="s">
        <v>74</v>
      </c>
      <c r="AY972" t="s">
        <v>74</v>
      </c>
      <c r="AZ972" t="s">
        <v>74</v>
      </c>
      <c r="BA972" t="s">
        <v>74</v>
      </c>
      <c r="BB972">
        <v>3844</v>
      </c>
      <c r="BC972">
        <v>3856</v>
      </c>
      <c r="BD972" t="s">
        <v>74</v>
      </c>
      <c r="BE972" t="s">
        <v>17737</v>
      </c>
      <c r="BF972" t="str">
        <f>HYPERLINK("http://dx.doi.org/10.1175/MWR-D-12-00019.1","http://dx.doi.org/10.1175/MWR-D-12-00019.1")</f>
        <v>http://dx.doi.org/10.1175/MWR-D-12-00019.1</v>
      </c>
      <c r="BG972" t="s">
        <v>74</v>
      </c>
      <c r="BH972" t="s">
        <v>74</v>
      </c>
      <c r="BI972">
        <v>13</v>
      </c>
      <c r="BJ972" t="s">
        <v>101</v>
      </c>
      <c r="BK972" t="s">
        <v>102</v>
      </c>
      <c r="BL972" t="s">
        <v>101</v>
      </c>
      <c r="BM972" t="s">
        <v>16641</v>
      </c>
      <c r="BN972" t="s">
        <v>74</v>
      </c>
      <c r="BO972" t="s">
        <v>128</v>
      </c>
      <c r="BP972" t="s">
        <v>74</v>
      </c>
      <c r="BQ972" t="s">
        <v>74</v>
      </c>
      <c r="BR972" t="s">
        <v>105</v>
      </c>
      <c r="BS972" t="s">
        <v>17738</v>
      </c>
      <c r="BT972" t="str">
        <f>HYPERLINK("https%3A%2F%2Fwww.webofscience.com%2Fwos%2Fwoscc%2Ffull-record%2FWOS:000311945300003","View Full Record in Web of Science")</f>
        <v>View Full Record in Web of Science</v>
      </c>
    </row>
    <row r="973" spans="1:72" x14ac:dyDescent="0.15">
      <c r="A973" t="s">
        <v>72</v>
      </c>
      <c r="B973" t="s">
        <v>17739</v>
      </c>
      <c r="C973" t="s">
        <v>74</v>
      </c>
      <c r="D973" t="s">
        <v>74</v>
      </c>
      <c r="E973" t="s">
        <v>74</v>
      </c>
      <c r="F973" t="s">
        <v>17740</v>
      </c>
      <c r="G973" t="s">
        <v>74</v>
      </c>
      <c r="H973" t="s">
        <v>74</v>
      </c>
      <c r="I973" t="s">
        <v>17741</v>
      </c>
      <c r="J973" t="s">
        <v>2188</v>
      </c>
      <c r="K973" t="s">
        <v>74</v>
      </c>
      <c r="L973" t="s">
        <v>74</v>
      </c>
      <c r="M973" t="s">
        <v>78</v>
      </c>
      <c r="N973" t="s">
        <v>79</v>
      </c>
      <c r="O973" t="s">
        <v>74</v>
      </c>
      <c r="P973" t="s">
        <v>74</v>
      </c>
      <c r="Q973" t="s">
        <v>74</v>
      </c>
      <c r="R973" t="s">
        <v>74</v>
      </c>
      <c r="S973" t="s">
        <v>74</v>
      </c>
      <c r="T973" t="s">
        <v>74</v>
      </c>
      <c r="U973" t="s">
        <v>17742</v>
      </c>
      <c r="V973" t="s">
        <v>17743</v>
      </c>
      <c r="W973" t="s">
        <v>17744</v>
      </c>
      <c r="X973" t="s">
        <v>17745</v>
      </c>
      <c r="Y973" t="s">
        <v>17746</v>
      </c>
      <c r="Z973" t="s">
        <v>17747</v>
      </c>
      <c r="AA973" t="s">
        <v>17748</v>
      </c>
      <c r="AB973" t="s">
        <v>17749</v>
      </c>
      <c r="AC973" t="s">
        <v>17750</v>
      </c>
      <c r="AD973" t="s">
        <v>10537</v>
      </c>
      <c r="AE973" t="s">
        <v>74</v>
      </c>
      <c r="AF973" t="s">
        <v>74</v>
      </c>
      <c r="AG973">
        <v>30</v>
      </c>
      <c r="AH973">
        <v>420</v>
      </c>
      <c r="AI973">
        <v>454</v>
      </c>
      <c r="AJ973">
        <v>6</v>
      </c>
      <c r="AK973">
        <v>192</v>
      </c>
      <c r="AL973" t="s">
        <v>2670</v>
      </c>
      <c r="AM973" t="s">
        <v>296</v>
      </c>
      <c r="AN973" t="s">
        <v>13811</v>
      </c>
      <c r="AO973" t="s">
        <v>2200</v>
      </c>
      <c r="AP973" t="s">
        <v>2201</v>
      </c>
      <c r="AQ973" t="s">
        <v>74</v>
      </c>
      <c r="AR973" t="s">
        <v>2202</v>
      </c>
      <c r="AS973" t="s">
        <v>2203</v>
      </c>
      <c r="AT973" t="s">
        <v>15707</v>
      </c>
      <c r="AU973">
        <v>2012</v>
      </c>
      <c r="AV973">
        <v>5</v>
      </c>
      <c r="AW973">
        <v>12</v>
      </c>
      <c r="AX973" t="s">
        <v>74</v>
      </c>
      <c r="AY973" t="s">
        <v>74</v>
      </c>
      <c r="AZ973" t="s">
        <v>74</v>
      </c>
      <c r="BA973" t="s">
        <v>74</v>
      </c>
      <c r="BB973">
        <v>872</v>
      </c>
      <c r="BC973">
        <v>875</v>
      </c>
      <c r="BD973" t="s">
        <v>74</v>
      </c>
      <c r="BE973" t="s">
        <v>17751</v>
      </c>
      <c r="BF973" t="str">
        <f>HYPERLINK("http://dx.doi.org/10.1038/NGEO1627","http://dx.doi.org/10.1038/NGEO1627")</f>
        <v>http://dx.doi.org/10.1038/NGEO1627</v>
      </c>
      <c r="BG973" t="s">
        <v>74</v>
      </c>
      <c r="BH973" t="s">
        <v>74</v>
      </c>
      <c r="BI973">
        <v>4</v>
      </c>
      <c r="BJ973" t="s">
        <v>1604</v>
      </c>
      <c r="BK973" t="s">
        <v>102</v>
      </c>
      <c r="BL973" t="s">
        <v>1605</v>
      </c>
      <c r="BM973" t="s">
        <v>17752</v>
      </c>
      <c r="BN973" t="s">
        <v>74</v>
      </c>
      <c r="BO973" t="s">
        <v>74</v>
      </c>
      <c r="BP973" t="s">
        <v>74</v>
      </c>
      <c r="BQ973" t="s">
        <v>74</v>
      </c>
      <c r="BR973" t="s">
        <v>105</v>
      </c>
      <c r="BS973" t="s">
        <v>17753</v>
      </c>
      <c r="BT973" t="str">
        <f>HYPERLINK("https%3A%2F%2Fwww.webofscience.com%2Fwos%2Fwoscc%2Ffull-record%2FWOS:000311835800018","View Full Record in Web of Science")</f>
        <v>View Full Record in Web of Science</v>
      </c>
    </row>
    <row r="974" spans="1:72" x14ac:dyDescent="0.15">
      <c r="A974" t="s">
        <v>72</v>
      </c>
      <c r="B974" t="s">
        <v>17754</v>
      </c>
      <c r="C974" t="s">
        <v>74</v>
      </c>
      <c r="D974" t="s">
        <v>74</v>
      </c>
      <c r="E974" t="s">
        <v>74</v>
      </c>
      <c r="F974" t="s">
        <v>17755</v>
      </c>
      <c r="G974" t="s">
        <v>74</v>
      </c>
      <c r="H974" t="s">
        <v>74</v>
      </c>
      <c r="I974" t="s">
        <v>17756</v>
      </c>
      <c r="J974" t="s">
        <v>2188</v>
      </c>
      <c r="K974" t="s">
        <v>74</v>
      </c>
      <c r="L974" t="s">
        <v>74</v>
      </c>
      <c r="M974" t="s">
        <v>78</v>
      </c>
      <c r="N974" t="s">
        <v>79</v>
      </c>
      <c r="O974" t="s">
        <v>74</v>
      </c>
      <c r="P974" t="s">
        <v>74</v>
      </c>
      <c r="Q974" t="s">
        <v>74</v>
      </c>
      <c r="R974" t="s">
        <v>74</v>
      </c>
      <c r="S974" t="s">
        <v>74</v>
      </c>
      <c r="T974" t="s">
        <v>74</v>
      </c>
      <c r="U974" t="s">
        <v>17757</v>
      </c>
      <c r="V974" t="s">
        <v>17758</v>
      </c>
      <c r="W974" t="s">
        <v>17759</v>
      </c>
      <c r="X974" t="s">
        <v>17760</v>
      </c>
      <c r="Y974" t="s">
        <v>17761</v>
      </c>
      <c r="Z974" t="s">
        <v>17762</v>
      </c>
      <c r="AA974" t="s">
        <v>17763</v>
      </c>
      <c r="AB974" t="s">
        <v>17764</v>
      </c>
      <c r="AC974" t="s">
        <v>17765</v>
      </c>
      <c r="AD974" t="s">
        <v>17766</v>
      </c>
      <c r="AE974" t="s">
        <v>17767</v>
      </c>
      <c r="AF974" t="s">
        <v>74</v>
      </c>
      <c r="AG974">
        <v>21</v>
      </c>
      <c r="AH974">
        <v>66</v>
      </c>
      <c r="AI974">
        <v>76</v>
      </c>
      <c r="AJ974">
        <v>2</v>
      </c>
      <c r="AK974">
        <v>44</v>
      </c>
      <c r="AL974" t="s">
        <v>2670</v>
      </c>
      <c r="AM974" t="s">
        <v>296</v>
      </c>
      <c r="AN974" t="s">
        <v>13811</v>
      </c>
      <c r="AO974" t="s">
        <v>2200</v>
      </c>
      <c r="AP974" t="s">
        <v>2201</v>
      </c>
      <c r="AQ974" t="s">
        <v>74</v>
      </c>
      <c r="AR974" t="s">
        <v>2202</v>
      </c>
      <c r="AS974" t="s">
        <v>2203</v>
      </c>
      <c r="AT974" t="s">
        <v>15707</v>
      </c>
      <c r="AU974">
        <v>2012</v>
      </c>
      <c r="AV974">
        <v>5</v>
      </c>
      <c r="AW974">
        <v>12</v>
      </c>
      <c r="AX974" t="s">
        <v>74</v>
      </c>
      <c r="AY974" t="s">
        <v>74</v>
      </c>
      <c r="AZ974" t="s">
        <v>74</v>
      </c>
      <c r="BA974" t="s">
        <v>74</v>
      </c>
      <c r="BB974">
        <v>876</v>
      </c>
      <c r="BC974">
        <v>880</v>
      </c>
      <c r="BD974" t="s">
        <v>74</v>
      </c>
      <c r="BE974" t="s">
        <v>17768</v>
      </c>
      <c r="BF974" t="str">
        <f>HYPERLINK("http://dx.doi.org/10.1038/NGEO1644","http://dx.doi.org/10.1038/NGEO1644")</f>
        <v>http://dx.doi.org/10.1038/NGEO1644</v>
      </c>
      <c r="BG974" t="s">
        <v>74</v>
      </c>
      <c r="BH974" t="s">
        <v>74</v>
      </c>
      <c r="BI974">
        <v>5</v>
      </c>
      <c r="BJ974" t="s">
        <v>1604</v>
      </c>
      <c r="BK974" t="s">
        <v>102</v>
      </c>
      <c r="BL974" t="s">
        <v>1605</v>
      </c>
      <c r="BM974" t="s">
        <v>17752</v>
      </c>
      <c r="BN974" t="s">
        <v>74</v>
      </c>
      <c r="BO974" t="s">
        <v>74</v>
      </c>
      <c r="BP974" t="s">
        <v>74</v>
      </c>
      <c r="BQ974" t="s">
        <v>74</v>
      </c>
      <c r="BR974" t="s">
        <v>105</v>
      </c>
      <c r="BS974" t="s">
        <v>17769</v>
      </c>
      <c r="BT974" t="str">
        <f>HYPERLINK("https%3A%2F%2Fwww.webofscience.com%2Fwos%2Fwoscc%2Ffull-record%2FWOS:000311835800019","View Full Record in Web of Science")</f>
        <v>View Full Record in Web of Science</v>
      </c>
    </row>
    <row r="975" spans="1:72" x14ac:dyDescent="0.15">
      <c r="A975" t="s">
        <v>72</v>
      </c>
      <c r="B975" t="s">
        <v>17770</v>
      </c>
      <c r="C975" t="s">
        <v>74</v>
      </c>
      <c r="D975" t="s">
        <v>74</v>
      </c>
      <c r="E975" t="s">
        <v>74</v>
      </c>
      <c r="F975" t="s">
        <v>17771</v>
      </c>
      <c r="G975" t="s">
        <v>74</v>
      </c>
      <c r="H975" t="s">
        <v>74</v>
      </c>
      <c r="I975" t="s">
        <v>17772</v>
      </c>
      <c r="J975" t="s">
        <v>2188</v>
      </c>
      <c r="K975" t="s">
        <v>74</v>
      </c>
      <c r="L975" t="s">
        <v>74</v>
      </c>
      <c r="M975" t="s">
        <v>78</v>
      </c>
      <c r="N975" t="s">
        <v>79</v>
      </c>
      <c r="O975" t="s">
        <v>74</v>
      </c>
      <c r="P975" t="s">
        <v>74</v>
      </c>
      <c r="Q975" t="s">
        <v>74</v>
      </c>
      <c r="R975" t="s">
        <v>74</v>
      </c>
      <c r="S975" t="s">
        <v>74</v>
      </c>
      <c r="T975" t="s">
        <v>74</v>
      </c>
      <c r="U975" t="s">
        <v>17773</v>
      </c>
      <c r="V975" t="s">
        <v>17774</v>
      </c>
      <c r="W975" t="s">
        <v>17775</v>
      </c>
      <c r="X975" t="s">
        <v>17776</v>
      </c>
      <c r="Y975" t="s">
        <v>17777</v>
      </c>
      <c r="Z975" t="s">
        <v>17778</v>
      </c>
      <c r="AA975" t="s">
        <v>17779</v>
      </c>
      <c r="AB975" t="s">
        <v>17780</v>
      </c>
      <c r="AC975" t="s">
        <v>17781</v>
      </c>
      <c r="AD975" t="s">
        <v>17782</v>
      </c>
      <c r="AE975" t="s">
        <v>17783</v>
      </c>
      <c r="AF975" t="s">
        <v>74</v>
      </c>
      <c r="AG975">
        <v>30</v>
      </c>
      <c r="AH975">
        <v>230</v>
      </c>
      <c r="AI975">
        <v>265</v>
      </c>
      <c r="AJ975">
        <v>1</v>
      </c>
      <c r="AK975">
        <v>238</v>
      </c>
      <c r="AL975" t="s">
        <v>2670</v>
      </c>
      <c r="AM975" t="s">
        <v>296</v>
      </c>
      <c r="AN975" t="s">
        <v>13811</v>
      </c>
      <c r="AO975" t="s">
        <v>2200</v>
      </c>
      <c r="AP975" t="s">
        <v>2201</v>
      </c>
      <c r="AQ975" t="s">
        <v>74</v>
      </c>
      <c r="AR975" t="s">
        <v>2202</v>
      </c>
      <c r="AS975" t="s">
        <v>2203</v>
      </c>
      <c r="AT975" t="s">
        <v>15707</v>
      </c>
      <c r="AU975">
        <v>2012</v>
      </c>
      <c r="AV975">
        <v>5</v>
      </c>
      <c r="AW975">
        <v>12</v>
      </c>
      <c r="AX975" t="s">
        <v>74</v>
      </c>
      <c r="AY975" t="s">
        <v>74</v>
      </c>
      <c r="AZ975" t="s">
        <v>74</v>
      </c>
      <c r="BA975" t="s">
        <v>74</v>
      </c>
      <c r="BB975">
        <v>881</v>
      </c>
      <c r="BC975">
        <v>885</v>
      </c>
      <c r="BD975" t="s">
        <v>74</v>
      </c>
      <c r="BE975" t="s">
        <v>17784</v>
      </c>
      <c r="BF975" t="str">
        <f>HYPERLINK("http://dx.doi.org/10.1038/NGEO1635","http://dx.doi.org/10.1038/NGEO1635")</f>
        <v>http://dx.doi.org/10.1038/NGEO1635</v>
      </c>
      <c r="BG975" t="s">
        <v>74</v>
      </c>
      <c r="BH975" t="s">
        <v>74</v>
      </c>
      <c r="BI975">
        <v>5</v>
      </c>
      <c r="BJ975" t="s">
        <v>1604</v>
      </c>
      <c r="BK975" t="s">
        <v>102</v>
      </c>
      <c r="BL975" t="s">
        <v>1605</v>
      </c>
      <c r="BM975" t="s">
        <v>17752</v>
      </c>
      <c r="BN975" t="s">
        <v>74</v>
      </c>
      <c r="BO975" t="s">
        <v>1207</v>
      </c>
      <c r="BP975" t="s">
        <v>74</v>
      </c>
      <c r="BQ975" t="s">
        <v>74</v>
      </c>
      <c r="BR975" t="s">
        <v>105</v>
      </c>
      <c r="BS975" t="s">
        <v>17785</v>
      </c>
      <c r="BT975" t="str">
        <f>HYPERLINK("https%3A%2F%2Fwww.webofscience.com%2Fwos%2Fwoscc%2Ffull-record%2FWOS:000311835800020","View Full Record in Web of Science")</f>
        <v>View Full Record in Web of Science</v>
      </c>
    </row>
    <row r="976" spans="1:72" x14ac:dyDescent="0.15">
      <c r="A976" t="s">
        <v>72</v>
      </c>
      <c r="B976" t="s">
        <v>17786</v>
      </c>
      <c r="C976" t="s">
        <v>74</v>
      </c>
      <c r="D976" t="s">
        <v>74</v>
      </c>
      <c r="E976" t="s">
        <v>74</v>
      </c>
      <c r="F976" t="s">
        <v>17787</v>
      </c>
      <c r="G976" t="s">
        <v>74</v>
      </c>
      <c r="H976" t="s">
        <v>74</v>
      </c>
      <c r="I976" t="s">
        <v>17788</v>
      </c>
      <c r="J976" t="s">
        <v>17789</v>
      </c>
      <c r="K976" t="s">
        <v>74</v>
      </c>
      <c r="L976" t="s">
        <v>74</v>
      </c>
      <c r="M976" t="s">
        <v>78</v>
      </c>
      <c r="N976" t="s">
        <v>79</v>
      </c>
      <c r="O976" t="s">
        <v>74</v>
      </c>
      <c r="P976" t="s">
        <v>74</v>
      </c>
      <c r="Q976" t="s">
        <v>74</v>
      </c>
      <c r="R976" t="s">
        <v>74</v>
      </c>
      <c r="S976" t="s">
        <v>74</v>
      </c>
      <c r="T976" t="s">
        <v>74</v>
      </c>
      <c r="U976" t="s">
        <v>17790</v>
      </c>
      <c r="V976" t="s">
        <v>17791</v>
      </c>
      <c r="W976" t="s">
        <v>17792</v>
      </c>
      <c r="X976" t="s">
        <v>17793</v>
      </c>
      <c r="Y976" t="s">
        <v>17794</v>
      </c>
      <c r="Z976" t="s">
        <v>17795</v>
      </c>
      <c r="AA976" t="s">
        <v>17796</v>
      </c>
      <c r="AB976" t="s">
        <v>17797</v>
      </c>
      <c r="AC976" t="s">
        <v>17798</v>
      </c>
      <c r="AD976" t="s">
        <v>17799</v>
      </c>
      <c r="AE976" t="s">
        <v>17800</v>
      </c>
      <c r="AF976" t="s">
        <v>74</v>
      </c>
      <c r="AG976">
        <v>72</v>
      </c>
      <c r="AH976">
        <v>18</v>
      </c>
      <c r="AI976">
        <v>21</v>
      </c>
      <c r="AJ976">
        <v>0</v>
      </c>
      <c r="AK976">
        <v>54</v>
      </c>
      <c r="AL976" t="s">
        <v>257</v>
      </c>
      <c r="AM976" t="s">
        <v>215</v>
      </c>
      <c r="AN976" t="s">
        <v>216</v>
      </c>
      <c r="AO976" t="s">
        <v>17801</v>
      </c>
      <c r="AP976" t="s">
        <v>17802</v>
      </c>
      <c r="AQ976" t="s">
        <v>74</v>
      </c>
      <c r="AR976" t="s">
        <v>17789</v>
      </c>
      <c r="AS976" t="s">
        <v>17803</v>
      </c>
      <c r="AT976" t="s">
        <v>15707</v>
      </c>
      <c r="AU976">
        <v>2012</v>
      </c>
      <c r="AV976">
        <v>121</v>
      </c>
      <c r="AW976">
        <v>12</v>
      </c>
      <c r="AX976" t="s">
        <v>74</v>
      </c>
      <c r="AY976" t="s">
        <v>74</v>
      </c>
      <c r="AZ976" t="s">
        <v>74</v>
      </c>
      <c r="BA976" t="s">
        <v>74</v>
      </c>
      <c r="BB976">
        <v>2061</v>
      </c>
      <c r="BC976">
        <v>2071</v>
      </c>
      <c r="BD976" t="s">
        <v>74</v>
      </c>
      <c r="BE976" t="s">
        <v>17804</v>
      </c>
      <c r="BF976" t="str">
        <f>HYPERLINK("http://dx.doi.org/10.1111/j.1600-0706.2012.20293.x","http://dx.doi.org/10.1111/j.1600-0706.2012.20293.x")</f>
        <v>http://dx.doi.org/10.1111/j.1600-0706.2012.20293.x</v>
      </c>
      <c r="BG976" t="s">
        <v>74</v>
      </c>
      <c r="BH976" t="s">
        <v>74</v>
      </c>
      <c r="BI976">
        <v>11</v>
      </c>
      <c r="BJ976" t="s">
        <v>5172</v>
      </c>
      <c r="BK976" t="s">
        <v>102</v>
      </c>
      <c r="BL976" t="s">
        <v>455</v>
      </c>
      <c r="BM976" t="s">
        <v>17805</v>
      </c>
      <c r="BN976" t="s">
        <v>74</v>
      </c>
      <c r="BO976" t="s">
        <v>74</v>
      </c>
      <c r="BP976" t="s">
        <v>74</v>
      </c>
      <c r="BQ976" t="s">
        <v>74</v>
      </c>
      <c r="BR976" t="s">
        <v>105</v>
      </c>
      <c r="BS976" t="s">
        <v>17806</v>
      </c>
      <c r="BT976" t="str">
        <f>HYPERLINK("https%3A%2F%2Fwww.webofscience.com%2Fwos%2Fwoscc%2Ffull-record%2FWOS:000311390500016","View Full Record in Web of Science")</f>
        <v>View Full Record in Web of Science</v>
      </c>
    </row>
    <row r="977" spans="1:72" x14ac:dyDescent="0.15">
      <c r="A977" t="s">
        <v>72</v>
      </c>
      <c r="B977" t="s">
        <v>17807</v>
      </c>
      <c r="C977" t="s">
        <v>74</v>
      </c>
      <c r="D977" t="s">
        <v>74</v>
      </c>
      <c r="E977" t="s">
        <v>74</v>
      </c>
      <c r="F977" t="s">
        <v>17808</v>
      </c>
      <c r="G977" t="s">
        <v>74</v>
      </c>
      <c r="H977" t="s">
        <v>74</v>
      </c>
      <c r="I977" t="s">
        <v>17809</v>
      </c>
      <c r="J977" t="s">
        <v>17810</v>
      </c>
      <c r="K977" t="s">
        <v>74</v>
      </c>
      <c r="L977" t="s">
        <v>74</v>
      </c>
      <c r="M977" t="s">
        <v>78</v>
      </c>
      <c r="N977" t="s">
        <v>79</v>
      </c>
      <c r="O977" t="s">
        <v>74</v>
      </c>
      <c r="P977" t="s">
        <v>74</v>
      </c>
      <c r="Q977" t="s">
        <v>74</v>
      </c>
      <c r="R977" t="s">
        <v>74</v>
      </c>
      <c r="S977" t="s">
        <v>74</v>
      </c>
      <c r="T977" t="s">
        <v>17811</v>
      </c>
      <c r="U977" t="s">
        <v>17812</v>
      </c>
      <c r="V977" t="s">
        <v>17813</v>
      </c>
      <c r="W977" t="s">
        <v>17814</v>
      </c>
      <c r="X977" t="s">
        <v>17815</v>
      </c>
      <c r="Y977" t="s">
        <v>17816</v>
      </c>
      <c r="Z977" t="s">
        <v>17817</v>
      </c>
      <c r="AA977" t="s">
        <v>17818</v>
      </c>
      <c r="AB977" t="s">
        <v>17819</v>
      </c>
      <c r="AC977" t="s">
        <v>17820</v>
      </c>
      <c r="AD977" t="s">
        <v>17821</v>
      </c>
      <c r="AE977" t="s">
        <v>17822</v>
      </c>
      <c r="AF977" t="s">
        <v>74</v>
      </c>
      <c r="AG977">
        <v>77</v>
      </c>
      <c r="AH977">
        <v>86</v>
      </c>
      <c r="AI977">
        <v>91</v>
      </c>
      <c r="AJ977">
        <v>3</v>
      </c>
      <c r="AK977">
        <v>60</v>
      </c>
      <c r="AL977" t="s">
        <v>17823</v>
      </c>
      <c r="AM977" t="s">
        <v>4739</v>
      </c>
      <c r="AN977" t="s">
        <v>17824</v>
      </c>
      <c r="AO977" t="s">
        <v>17825</v>
      </c>
      <c r="AP977" t="s">
        <v>74</v>
      </c>
      <c r="AQ977" t="s">
        <v>74</v>
      </c>
      <c r="AR977" t="s">
        <v>17810</v>
      </c>
      <c r="AS977" t="s">
        <v>17826</v>
      </c>
      <c r="AT977" t="s">
        <v>15707</v>
      </c>
      <c r="AU977">
        <v>2012</v>
      </c>
      <c r="AV977">
        <v>29</v>
      </c>
      <c r="AW977" t="s">
        <v>74</v>
      </c>
      <c r="AX977" t="s">
        <v>74</v>
      </c>
      <c r="AY977" t="s">
        <v>74</v>
      </c>
      <c r="AZ977" t="s">
        <v>74</v>
      </c>
      <c r="BA977" t="s">
        <v>74</v>
      </c>
      <c r="BB977">
        <v>146</v>
      </c>
      <c r="BC977">
        <v>201</v>
      </c>
      <c r="BD977" t="s">
        <v>74</v>
      </c>
      <c r="BE977" t="s">
        <v>17827</v>
      </c>
      <c r="BF977" t="str">
        <f>HYPERLINK("http://dx.doi.org/10.3767/003158512X661589","http://dx.doi.org/10.3767/003158512X661589")</f>
        <v>http://dx.doi.org/10.3767/003158512X661589</v>
      </c>
      <c r="BG977" t="s">
        <v>74</v>
      </c>
      <c r="BH977" t="s">
        <v>74</v>
      </c>
      <c r="BI977">
        <v>56</v>
      </c>
      <c r="BJ977" t="s">
        <v>12400</v>
      </c>
      <c r="BK977" t="s">
        <v>102</v>
      </c>
      <c r="BL977" t="s">
        <v>12400</v>
      </c>
      <c r="BM977" t="s">
        <v>17828</v>
      </c>
      <c r="BN977">
        <v>23606771</v>
      </c>
      <c r="BO977" t="s">
        <v>17829</v>
      </c>
      <c r="BP977" t="s">
        <v>74</v>
      </c>
      <c r="BQ977" t="s">
        <v>74</v>
      </c>
      <c r="BR977" t="s">
        <v>105</v>
      </c>
      <c r="BS977" t="s">
        <v>17830</v>
      </c>
      <c r="BT977" t="str">
        <f>HYPERLINK("https%3A%2F%2Fwww.webofscience.com%2Fwos%2Fwoscc%2Ffull-record%2FWOS:000313744900011","View Full Record in Web of Science")</f>
        <v>View Full Record in Web of Science</v>
      </c>
    </row>
    <row r="978" spans="1:72" x14ac:dyDescent="0.15">
      <c r="A978" t="s">
        <v>72</v>
      </c>
      <c r="B978" t="s">
        <v>17831</v>
      </c>
      <c r="C978" t="s">
        <v>74</v>
      </c>
      <c r="D978" t="s">
        <v>74</v>
      </c>
      <c r="E978" t="s">
        <v>74</v>
      </c>
      <c r="F978" t="s">
        <v>17832</v>
      </c>
      <c r="G978" t="s">
        <v>74</v>
      </c>
      <c r="H978" t="s">
        <v>74</v>
      </c>
      <c r="I978" t="s">
        <v>17833</v>
      </c>
      <c r="J978" t="s">
        <v>133</v>
      </c>
      <c r="K978" t="s">
        <v>74</v>
      </c>
      <c r="L978" t="s">
        <v>74</v>
      </c>
      <c r="M978" t="s">
        <v>78</v>
      </c>
      <c r="N978" t="s">
        <v>3967</v>
      </c>
      <c r="O978" t="s">
        <v>17834</v>
      </c>
      <c r="P978" t="s">
        <v>17835</v>
      </c>
      <c r="Q978" t="s">
        <v>17836</v>
      </c>
      <c r="R978" t="s">
        <v>74</v>
      </c>
      <c r="S978" t="s">
        <v>17837</v>
      </c>
      <c r="T978" t="s">
        <v>17838</v>
      </c>
      <c r="U978" t="s">
        <v>17839</v>
      </c>
      <c r="V978" t="s">
        <v>17840</v>
      </c>
      <c r="W978" t="s">
        <v>17841</v>
      </c>
      <c r="X978" t="s">
        <v>17842</v>
      </c>
      <c r="Y978" t="s">
        <v>17843</v>
      </c>
      <c r="Z978" t="s">
        <v>17844</v>
      </c>
      <c r="AA978" t="s">
        <v>17845</v>
      </c>
      <c r="AB978" t="s">
        <v>17846</v>
      </c>
      <c r="AC978" t="s">
        <v>17847</v>
      </c>
      <c r="AD978" t="s">
        <v>17848</v>
      </c>
      <c r="AE978" t="s">
        <v>74</v>
      </c>
      <c r="AF978" t="s">
        <v>74</v>
      </c>
      <c r="AG978">
        <v>81</v>
      </c>
      <c r="AH978">
        <v>22</v>
      </c>
      <c r="AI978">
        <v>23</v>
      </c>
      <c r="AJ978">
        <v>2</v>
      </c>
      <c r="AK978">
        <v>45</v>
      </c>
      <c r="AL978" t="s">
        <v>146</v>
      </c>
      <c r="AM978" t="s">
        <v>147</v>
      </c>
      <c r="AN978" t="s">
        <v>148</v>
      </c>
      <c r="AO978" t="s">
        <v>149</v>
      </c>
      <c r="AP978" t="s">
        <v>17849</v>
      </c>
      <c r="AQ978" t="s">
        <v>74</v>
      </c>
      <c r="AR978" t="s">
        <v>150</v>
      </c>
      <c r="AS978" t="s">
        <v>151</v>
      </c>
      <c r="AT978" t="s">
        <v>15707</v>
      </c>
      <c r="AU978">
        <v>2012</v>
      </c>
      <c r="AV978">
        <v>74</v>
      </c>
      <c r="AW978">
        <v>1</v>
      </c>
      <c r="AX978" t="s">
        <v>74</v>
      </c>
      <c r="AY978" t="s">
        <v>74</v>
      </c>
      <c r="AZ978" t="s">
        <v>221</v>
      </c>
      <c r="BA978" t="s">
        <v>74</v>
      </c>
      <c r="BB978">
        <v>111</v>
      </c>
      <c r="BC978">
        <v>120</v>
      </c>
      <c r="BD978" t="s">
        <v>74</v>
      </c>
      <c r="BE978" t="s">
        <v>17850</v>
      </c>
      <c r="BF978" t="str">
        <f>HYPERLINK("http://dx.doi.org/10.1016/j.pss.2012.07.030","http://dx.doi.org/10.1016/j.pss.2012.07.030")</f>
        <v>http://dx.doi.org/10.1016/j.pss.2012.07.030</v>
      </c>
      <c r="BG978" t="s">
        <v>74</v>
      </c>
      <c r="BH978" t="s">
        <v>74</v>
      </c>
      <c r="BI978">
        <v>10</v>
      </c>
      <c r="BJ978" t="s">
        <v>153</v>
      </c>
      <c r="BK978" t="s">
        <v>3990</v>
      </c>
      <c r="BL978" t="s">
        <v>153</v>
      </c>
      <c r="BM978" t="s">
        <v>17851</v>
      </c>
      <c r="BN978" t="s">
        <v>74</v>
      </c>
      <c r="BO978" t="s">
        <v>74</v>
      </c>
      <c r="BP978" t="s">
        <v>74</v>
      </c>
      <c r="BQ978" t="s">
        <v>74</v>
      </c>
      <c r="BR978" t="s">
        <v>105</v>
      </c>
      <c r="BS978" t="s">
        <v>17852</v>
      </c>
      <c r="BT978" t="str">
        <f>HYPERLINK("https%3A%2F%2Fwww.webofscience.com%2Fwos%2Fwoscc%2Ffull-record%2FWOS:000313385600012","View Full Record in Web of Science")</f>
        <v>View Full Record in Web of Science</v>
      </c>
    </row>
    <row r="979" spans="1:72" x14ac:dyDescent="0.15">
      <c r="A979" t="s">
        <v>72</v>
      </c>
      <c r="B979" t="s">
        <v>17853</v>
      </c>
      <c r="C979" t="s">
        <v>74</v>
      </c>
      <c r="D979" t="s">
        <v>74</v>
      </c>
      <c r="E979" t="s">
        <v>74</v>
      </c>
      <c r="F979" t="s">
        <v>17854</v>
      </c>
      <c r="G979" t="s">
        <v>74</v>
      </c>
      <c r="H979" t="s">
        <v>74</v>
      </c>
      <c r="I979" t="s">
        <v>17855</v>
      </c>
      <c r="J979" t="s">
        <v>964</v>
      </c>
      <c r="K979" t="s">
        <v>74</v>
      </c>
      <c r="L979" t="s">
        <v>74</v>
      </c>
      <c r="M979" t="s">
        <v>78</v>
      </c>
      <c r="N979" t="s">
        <v>79</v>
      </c>
      <c r="O979" t="s">
        <v>74</v>
      </c>
      <c r="P979" t="s">
        <v>74</v>
      </c>
      <c r="Q979" t="s">
        <v>74</v>
      </c>
      <c r="R979" t="s">
        <v>74</v>
      </c>
      <c r="S979" t="s">
        <v>74</v>
      </c>
      <c r="T979" t="s">
        <v>17856</v>
      </c>
      <c r="U979" t="s">
        <v>17857</v>
      </c>
      <c r="V979" t="s">
        <v>17858</v>
      </c>
      <c r="W979" t="s">
        <v>17859</v>
      </c>
      <c r="X979" t="s">
        <v>17860</v>
      </c>
      <c r="Y979" t="s">
        <v>1201</v>
      </c>
      <c r="Z979" t="s">
        <v>1202</v>
      </c>
      <c r="AA979" t="s">
        <v>17861</v>
      </c>
      <c r="AB979" t="s">
        <v>17862</v>
      </c>
      <c r="AC979" t="s">
        <v>17863</v>
      </c>
      <c r="AD979" t="s">
        <v>17864</v>
      </c>
      <c r="AE979" t="s">
        <v>17865</v>
      </c>
      <c r="AF979" t="s">
        <v>74</v>
      </c>
      <c r="AG979">
        <v>34</v>
      </c>
      <c r="AH979">
        <v>45</v>
      </c>
      <c r="AI979">
        <v>55</v>
      </c>
      <c r="AJ979">
        <v>2</v>
      </c>
      <c r="AK979">
        <v>75</v>
      </c>
      <c r="AL979" t="s">
        <v>500</v>
      </c>
      <c r="AM979" t="s">
        <v>296</v>
      </c>
      <c r="AN979" t="s">
        <v>501</v>
      </c>
      <c r="AO979" t="s">
        <v>976</v>
      </c>
      <c r="AP979" t="s">
        <v>977</v>
      </c>
      <c r="AQ979" t="s">
        <v>74</v>
      </c>
      <c r="AR979" t="s">
        <v>978</v>
      </c>
      <c r="AS979" t="s">
        <v>979</v>
      </c>
      <c r="AT979" t="s">
        <v>15707</v>
      </c>
      <c r="AU979">
        <v>2012</v>
      </c>
      <c r="AV979">
        <v>35</v>
      </c>
      <c r="AW979">
        <v>12</v>
      </c>
      <c r="AX979" t="s">
        <v>74</v>
      </c>
      <c r="AY979" t="s">
        <v>74</v>
      </c>
      <c r="AZ979" t="s">
        <v>74</v>
      </c>
      <c r="BA979" t="s">
        <v>74</v>
      </c>
      <c r="BB979">
        <v>1879</v>
      </c>
      <c r="BC979">
        <v>1888</v>
      </c>
      <c r="BD979" t="s">
        <v>74</v>
      </c>
      <c r="BE979" t="s">
        <v>17866</v>
      </c>
      <c r="BF979" t="str">
        <f>HYPERLINK("http://dx.doi.org/10.1007/s00300-012-1230-3","http://dx.doi.org/10.1007/s00300-012-1230-3")</f>
        <v>http://dx.doi.org/10.1007/s00300-012-1230-3</v>
      </c>
      <c r="BG979" t="s">
        <v>74</v>
      </c>
      <c r="BH979" t="s">
        <v>74</v>
      </c>
      <c r="BI979">
        <v>10</v>
      </c>
      <c r="BJ979" t="s">
        <v>981</v>
      </c>
      <c r="BK979" t="s">
        <v>102</v>
      </c>
      <c r="BL979" t="s">
        <v>958</v>
      </c>
      <c r="BM979" t="s">
        <v>16763</v>
      </c>
      <c r="BN979" t="s">
        <v>74</v>
      </c>
      <c r="BO979" t="s">
        <v>74</v>
      </c>
      <c r="BP979" t="s">
        <v>74</v>
      </c>
      <c r="BQ979" t="s">
        <v>74</v>
      </c>
      <c r="BR979" t="s">
        <v>105</v>
      </c>
      <c r="BS979" t="s">
        <v>17867</v>
      </c>
      <c r="BT979" t="str">
        <f>HYPERLINK("https%3A%2F%2Fwww.webofscience.com%2Fwos%2Fwoscc%2Ffull-record%2FWOS:000310992200010","View Full Record in Web of Science")</f>
        <v>View Full Record in Web of Science</v>
      </c>
    </row>
    <row r="980" spans="1:72" x14ac:dyDescent="0.15">
      <c r="A980" t="s">
        <v>72</v>
      </c>
      <c r="B980" t="s">
        <v>781</v>
      </c>
      <c r="C980" t="s">
        <v>74</v>
      </c>
      <c r="D980" t="s">
        <v>74</v>
      </c>
      <c r="E980" t="s">
        <v>74</v>
      </c>
      <c r="F980" t="s">
        <v>781</v>
      </c>
      <c r="G980" t="s">
        <v>74</v>
      </c>
      <c r="H980" t="s">
        <v>74</v>
      </c>
      <c r="I980" t="s">
        <v>17868</v>
      </c>
      <c r="J980" t="s">
        <v>17869</v>
      </c>
      <c r="K980" t="s">
        <v>74</v>
      </c>
      <c r="L980" t="s">
        <v>74</v>
      </c>
      <c r="M980" t="s">
        <v>78</v>
      </c>
      <c r="N980" t="s">
        <v>1170</v>
      </c>
      <c r="O980" t="s">
        <v>74</v>
      </c>
      <c r="P980" t="s">
        <v>74</v>
      </c>
      <c r="Q980" t="s">
        <v>74</v>
      </c>
      <c r="R980" t="s">
        <v>74</v>
      </c>
      <c r="S980" t="s">
        <v>74</v>
      </c>
      <c r="T980" t="s">
        <v>74</v>
      </c>
      <c r="U980" t="s">
        <v>74</v>
      </c>
      <c r="V980" t="s">
        <v>74</v>
      </c>
      <c r="W980" t="s">
        <v>74</v>
      </c>
      <c r="X980" t="s">
        <v>74</v>
      </c>
      <c r="Y980" t="s">
        <v>74</v>
      </c>
      <c r="Z980" t="s">
        <v>74</v>
      </c>
      <c r="AA980" t="s">
        <v>74</v>
      </c>
      <c r="AB980" t="s">
        <v>74</v>
      </c>
      <c r="AC980" t="s">
        <v>74</v>
      </c>
      <c r="AD980" t="s">
        <v>74</v>
      </c>
      <c r="AE980" t="s">
        <v>74</v>
      </c>
      <c r="AF980" t="s">
        <v>74</v>
      </c>
      <c r="AG980">
        <v>0</v>
      </c>
      <c r="AH980">
        <v>0</v>
      </c>
      <c r="AI980">
        <v>0</v>
      </c>
      <c r="AJ980">
        <v>0</v>
      </c>
      <c r="AK980">
        <v>0</v>
      </c>
      <c r="AL980" t="s">
        <v>17870</v>
      </c>
      <c r="AM980" t="s">
        <v>474</v>
      </c>
      <c r="AN980" t="s">
        <v>17871</v>
      </c>
      <c r="AO980" t="s">
        <v>17872</v>
      </c>
      <c r="AP980" t="s">
        <v>74</v>
      </c>
      <c r="AQ980" t="s">
        <v>74</v>
      </c>
      <c r="AR980" t="s">
        <v>17873</v>
      </c>
      <c r="AS980" t="s">
        <v>17874</v>
      </c>
      <c r="AT980" t="s">
        <v>15707</v>
      </c>
      <c r="AU980">
        <v>2012</v>
      </c>
      <c r="AV980">
        <v>25</v>
      </c>
      <c r="AW980">
        <v>12</v>
      </c>
      <c r="AX980" t="s">
        <v>74</v>
      </c>
      <c r="AY980" t="s">
        <v>74</v>
      </c>
      <c r="AZ980" t="s">
        <v>74</v>
      </c>
      <c r="BA980" t="s">
        <v>74</v>
      </c>
      <c r="BB980">
        <v>62</v>
      </c>
      <c r="BC980">
        <v>62</v>
      </c>
      <c r="BD980" t="s">
        <v>74</v>
      </c>
      <c r="BE980" t="s">
        <v>74</v>
      </c>
      <c r="BF980" t="s">
        <v>74</v>
      </c>
      <c r="BG980" t="s">
        <v>74</v>
      </c>
      <c r="BH980" t="s">
        <v>74</v>
      </c>
      <c r="BI980">
        <v>1</v>
      </c>
      <c r="BJ980" t="s">
        <v>17875</v>
      </c>
      <c r="BK980" t="s">
        <v>102</v>
      </c>
      <c r="BL980" t="s">
        <v>3248</v>
      </c>
      <c r="BM980" t="s">
        <v>17876</v>
      </c>
      <c r="BN980" t="s">
        <v>74</v>
      </c>
      <c r="BO980" t="s">
        <v>74</v>
      </c>
      <c r="BP980" t="s">
        <v>74</v>
      </c>
      <c r="BQ980" t="s">
        <v>74</v>
      </c>
      <c r="BR980" t="s">
        <v>105</v>
      </c>
      <c r="BS980" t="s">
        <v>17877</v>
      </c>
      <c r="BT980" t="str">
        <f>HYPERLINK("https%3A%2F%2Fwww.webofscience.com%2Fwos%2Fwoscc%2Ffull-record%2FWOS:000312608800038","View Full Record in Web of Science")</f>
        <v>View Full Record in Web of Science</v>
      </c>
    </row>
    <row r="981" spans="1:72" x14ac:dyDescent="0.15">
      <c r="A981" t="s">
        <v>72</v>
      </c>
      <c r="B981" t="s">
        <v>17878</v>
      </c>
      <c r="C981" t="s">
        <v>74</v>
      </c>
      <c r="D981" t="s">
        <v>74</v>
      </c>
      <c r="E981" t="s">
        <v>74</v>
      </c>
      <c r="F981" t="s">
        <v>17879</v>
      </c>
      <c r="G981" t="s">
        <v>74</v>
      </c>
      <c r="H981" t="s">
        <v>74</v>
      </c>
      <c r="I981" t="s">
        <v>17880</v>
      </c>
      <c r="J981" t="s">
        <v>17881</v>
      </c>
      <c r="K981" t="s">
        <v>74</v>
      </c>
      <c r="L981" t="s">
        <v>74</v>
      </c>
      <c r="M981" t="s">
        <v>78</v>
      </c>
      <c r="N981" t="s">
        <v>79</v>
      </c>
      <c r="O981" t="s">
        <v>74</v>
      </c>
      <c r="P981" t="s">
        <v>74</v>
      </c>
      <c r="Q981" t="s">
        <v>74</v>
      </c>
      <c r="R981" t="s">
        <v>74</v>
      </c>
      <c r="S981" t="s">
        <v>74</v>
      </c>
      <c r="T981" t="s">
        <v>17882</v>
      </c>
      <c r="U981" t="s">
        <v>17883</v>
      </c>
      <c r="V981" t="s">
        <v>17884</v>
      </c>
      <c r="W981" t="s">
        <v>17885</v>
      </c>
      <c r="X981" t="s">
        <v>17886</v>
      </c>
      <c r="Y981" t="s">
        <v>17887</v>
      </c>
      <c r="Z981" t="s">
        <v>17888</v>
      </c>
      <c r="AA981" t="s">
        <v>74</v>
      </c>
      <c r="AB981" t="s">
        <v>17889</v>
      </c>
      <c r="AC981" t="s">
        <v>17890</v>
      </c>
      <c r="AD981" t="s">
        <v>10537</v>
      </c>
      <c r="AE981" t="s">
        <v>74</v>
      </c>
      <c r="AF981" t="s">
        <v>74</v>
      </c>
      <c r="AG981">
        <v>149</v>
      </c>
      <c r="AH981">
        <v>1</v>
      </c>
      <c r="AI981">
        <v>2</v>
      </c>
      <c r="AJ981">
        <v>1</v>
      </c>
      <c r="AK981">
        <v>47</v>
      </c>
      <c r="AL981" t="s">
        <v>17891</v>
      </c>
      <c r="AM981" t="s">
        <v>474</v>
      </c>
      <c r="AN981" t="s">
        <v>17892</v>
      </c>
      <c r="AO981" t="s">
        <v>17893</v>
      </c>
      <c r="AP981" t="s">
        <v>17894</v>
      </c>
      <c r="AQ981" t="s">
        <v>74</v>
      </c>
      <c r="AR981" t="s">
        <v>17895</v>
      </c>
      <c r="AS981" t="s">
        <v>17896</v>
      </c>
      <c r="AT981" t="s">
        <v>15707</v>
      </c>
      <c r="AU981">
        <v>2012</v>
      </c>
      <c r="AV981">
        <v>36</v>
      </c>
      <c r="AW981">
        <v>6</v>
      </c>
      <c r="AX981" t="s">
        <v>74</v>
      </c>
      <c r="AY981" t="s">
        <v>74</v>
      </c>
      <c r="AZ981" t="s">
        <v>74</v>
      </c>
      <c r="BA981" t="s">
        <v>74</v>
      </c>
      <c r="BB981">
        <v>813</v>
      </c>
      <c r="BC981">
        <v>832</v>
      </c>
      <c r="BD981" t="s">
        <v>74</v>
      </c>
      <c r="BE981" t="s">
        <v>17897</v>
      </c>
      <c r="BF981" t="str">
        <f>HYPERLINK("http://dx.doi.org/10.1177/0309133312460265","http://dx.doi.org/10.1177/0309133312460265")</f>
        <v>http://dx.doi.org/10.1177/0309133312460265</v>
      </c>
      <c r="BG981" t="s">
        <v>74</v>
      </c>
      <c r="BH981" t="s">
        <v>74</v>
      </c>
      <c r="BI981">
        <v>20</v>
      </c>
      <c r="BJ981" t="s">
        <v>2261</v>
      </c>
      <c r="BK981" t="s">
        <v>102</v>
      </c>
      <c r="BL981" t="s">
        <v>2262</v>
      </c>
      <c r="BM981" t="s">
        <v>17898</v>
      </c>
      <c r="BN981" t="s">
        <v>74</v>
      </c>
      <c r="BO981" t="s">
        <v>74</v>
      </c>
      <c r="BP981" t="s">
        <v>74</v>
      </c>
      <c r="BQ981" t="s">
        <v>74</v>
      </c>
      <c r="BR981" t="s">
        <v>105</v>
      </c>
      <c r="BS981" t="s">
        <v>17899</v>
      </c>
      <c r="BT981" t="str">
        <f>HYPERLINK("https%3A%2F%2Fwww.webofscience.com%2Fwos%2Fwoscc%2Ffull-record%2FWOS:000310803200005","View Full Record in Web of Science")</f>
        <v>View Full Record in Web of Science</v>
      </c>
    </row>
    <row r="982" spans="1:72" x14ac:dyDescent="0.15">
      <c r="A982" t="s">
        <v>72</v>
      </c>
      <c r="B982" t="s">
        <v>17900</v>
      </c>
      <c r="C982" t="s">
        <v>74</v>
      </c>
      <c r="D982" t="s">
        <v>74</v>
      </c>
      <c r="E982" t="s">
        <v>74</v>
      </c>
      <c r="F982" t="s">
        <v>17901</v>
      </c>
      <c r="G982" t="s">
        <v>74</v>
      </c>
      <c r="H982" t="s">
        <v>74</v>
      </c>
      <c r="I982" t="s">
        <v>17902</v>
      </c>
      <c r="J982" t="s">
        <v>17903</v>
      </c>
      <c r="K982" t="s">
        <v>74</v>
      </c>
      <c r="L982" t="s">
        <v>74</v>
      </c>
      <c r="M982" t="s">
        <v>78</v>
      </c>
      <c r="N982" t="s">
        <v>79</v>
      </c>
      <c r="O982" t="s">
        <v>74</v>
      </c>
      <c r="P982" t="s">
        <v>74</v>
      </c>
      <c r="Q982" t="s">
        <v>74</v>
      </c>
      <c r="R982" t="s">
        <v>74</v>
      </c>
      <c r="S982" t="s">
        <v>74</v>
      </c>
      <c r="T982" t="s">
        <v>17904</v>
      </c>
      <c r="U982" t="s">
        <v>17905</v>
      </c>
      <c r="V982" t="s">
        <v>17906</v>
      </c>
      <c r="W982" t="s">
        <v>17907</v>
      </c>
      <c r="X982" t="s">
        <v>653</v>
      </c>
      <c r="Y982" t="s">
        <v>17908</v>
      </c>
      <c r="Z982" t="s">
        <v>17909</v>
      </c>
      <c r="AA982" t="s">
        <v>74</v>
      </c>
      <c r="AB982" t="s">
        <v>74</v>
      </c>
      <c r="AC982" t="s">
        <v>74</v>
      </c>
      <c r="AD982" t="s">
        <v>74</v>
      </c>
      <c r="AE982" t="s">
        <v>74</v>
      </c>
      <c r="AF982" t="s">
        <v>74</v>
      </c>
      <c r="AG982">
        <v>43</v>
      </c>
      <c r="AH982">
        <v>1</v>
      </c>
      <c r="AI982">
        <v>1</v>
      </c>
      <c r="AJ982">
        <v>0</v>
      </c>
      <c r="AK982">
        <v>3</v>
      </c>
      <c r="AL982" t="s">
        <v>257</v>
      </c>
      <c r="AM982" t="s">
        <v>215</v>
      </c>
      <c r="AN982" t="s">
        <v>216</v>
      </c>
      <c r="AO982" t="s">
        <v>17910</v>
      </c>
      <c r="AP982" t="s">
        <v>74</v>
      </c>
      <c r="AQ982" t="s">
        <v>74</v>
      </c>
      <c r="AR982" t="s">
        <v>17911</v>
      </c>
      <c r="AS982" t="s">
        <v>17912</v>
      </c>
      <c r="AT982" t="s">
        <v>15707</v>
      </c>
      <c r="AU982">
        <v>2012</v>
      </c>
      <c r="AV982">
        <v>36</v>
      </c>
      <c r="AW982">
        <v>4</v>
      </c>
      <c r="AX982" t="s">
        <v>74</v>
      </c>
      <c r="AY982" t="s">
        <v>74</v>
      </c>
      <c r="AZ982" t="s">
        <v>74</v>
      </c>
      <c r="BA982" t="s">
        <v>74</v>
      </c>
      <c r="BB982">
        <v>784</v>
      </c>
      <c r="BC982">
        <v>795</v>
      </c>
      <c r="BD982" t="s">
        <v>74</v>
      </c>
      <c r="BE982" t="s">
        <v>17913</v>
      </c>
      <c r="BF982" t="str">
        <f>HYPERLINK("http://dx.doi.org/10.1002/wsb.189","http://dx.doi.org/10.1002/wsb.189")</f>
        <v>http://dx.doi.org/10.1002/wsb.189</v>
      </c>
      <c r="BG982" t="s">
        <v>74</v>
      </c>
      <c r="BH982" t="s">
        <v>74</v>
      </c>
      <c r="BI982">
        <v>12</v>
      </c>
      <c r="BJ982" t="s">
        <v>12335</v>
      </c>
      <c r="BK982" t="s">
        <v>102</v>
      </c>
      <c r="BL982" t="s">
        <v>12336</v>
      </c>
      <c r="BM982" t="s">
        <v>17914</v>
      </c>
      <c r="BN982" t="s">
        <v>74</v>
      </c>
      <c r="BO982" t="s">
        <v>74</v>
      </c>
      <c r="BP982" t="s">
        <v>74</v>
      </c>
      <c r="BQ982" t="s">
        <v>74</v>
      </c>
      <c r="BR982" t="s">
        <v>105</v>
      </c>
      <c r="BS982" t="s">
        <v>17915</v>
      </c>
      <c r="BT982" t="str">
        <f>HYPERLINK("https%3A%2F%2Fwww.webofscience.com%2Fwos%2Fwoscc%2Ffull-record%2FWOS:000209333300020","View Full Record in Web of Science")</f>
        <v>View Full Record in Web of Science</v>
      </c>
    </row>
    <row r="983" spans="1:72" x14ac:dyDescent="0.15">
      <c r="A983" t="s">
        <v>72</v>
      </c>
      <c r="B983" t="s">
        <v>17916</v>
      </c>
      <c r="C983" t="s">
        <v>74</v>
      </c>
      <c r="D983" t="s">
        <v>74</v>
      </c>
      <c r="E983" t="s">
        <v>74</v>
      </c>
      <c r="F983" t="s">
        <v>17917</v>
      </c>
      <c r="G983" t="s">
        <v>74</v>
      </c>
      <c r="H983" t="s">
        <v>74</v>
      </c>
      <c r="I983" t="s">
        <v>17918</v>
      </c>
      <c r="J983" t="s">
        <v>17919</v>
      </c>
      <c r="K983" t="s">
        <v>74</v>
      </c>
      <c r="L983" t="s">
        <v>74</v>
      </c>
      <c r="M983" t="s">
        <v>78</v>
      </c>
      <c r="N983" t="s">
        <v>79</v>
      </c>
      <c r="O983" t="s">
        <v>74</v>
      </c>
      <c r="P983" t="s">
        <v>74</v>
      </c>
      <c r="Q983" t="s">
        <v>74</v>
      </c>
      <c r="R983" t="s">
        <v>74</v>
      </c>
      <c r="S983" t="s">
        <v>74</v>
      </c>
      <c r="T983" t="s">
        <v>74</v>
      </c>
      <c r="U983" t="s">
        <v>17920</v>
      </c>
      <c r="V983" t="s">
        <v>17921</v>
      </c>
      <c r="W983" t="s">
        <v>17922</v>
      </c>
      <c r="X983" t="s">
        <v>17923</v>
      </c>
      <c r="Y983" t="s">
        <v>17924</v>
      </c>
      <c r="Z983" t="s">
        <v>17925</v>
      </c>
      <c r="AA983" t="s">
        <v>74</v>
      </c>
      <c r="AB983" t="s">
        <v>17926</v>
      </c>
      <c r="AC983" t="s">
        <v>17927</v>
      </c>
      <c r="AD983" t="s">
        <v>17928</v>
      </c>
      <c r="AE983" t="s">
        <v>17929</v>
      </c>
      <c r="AF983" t="s">
        <v>74</v>
      </c>
      <c r="AG983">
        <v>29</v>
      </c>
      <c r="AH983">
        <v>9</v>
      </c>
      <c r="AI983">
        <v>11</v>
      </c>
      <c r="AJ983">
        <v>0</v>
      </c>
      <c r="AK983">
        <v>73</v>
      </c>
      <c r="AL983" t="s">
        <v>17930</v>
      </c>
      <c r="AM983" t="s">
        <v>2088</v>
      </c>
      <c r="AN983" t="s">
        <v>17931</v>
      </c>
      <c r="AO983" t="s">
        <v>17932</v>
      </c>
      <c r="AP983" t="s">
        <v>17933</v>
      </c>
      <c r="AQ983" t="s">
        <v>74</v>
      </c>
      <c r="AR983" t="s">
        <v>17934</v>
      </c>
      <c r="AS983" t="s">
        <v>17935</v>
      </c>
      <c r="AT983" t="s">
        <v>15707</v>
      </c>
      <c r="AU983">
        <v>2012</v>
      </c>
      <c r="AV983">
        <v>124</v>
      </c>
      <c r="AW983">
        <v>4</v>
      </c>
      <c r="AX983" t="s">
        <v>74</v>
      </c>
      <c r="AY983" t="s">
        <v>74</v>
      </c>
      <c r="AZ983" t="s">
        <v>74</v>
      </c>
      <c r="BA983" t="s">
        <v>74</v>
      </c>
      <c r="BB983">
        <v>698</v>
      </c>
      <c r="BC983">
        <v>703</v>
      </c>
      <c r="BD983" t="s">
        <v>74</v>
      </c>
      <c r="BE983" t="s">
        <v>17936</v>
      </c>
      <c r="BF983" t="str">
        <f>HYPERLINK("http://dx.doi.org/10.1676/1559-4491-124.4.698","http://dx.doi.org/10.1676/1559-4491-124.4.698")</f>
        <v>http://dx.doi.org/10.1676/1559-4491-124.4.698</v>
      </c>
      <c r="BG983" t="s">
        <v>74</v>
      </c>
      <c r="BH983" t="s">
        <v>74</v>
      </c>
      <c r="BI983">
        <v>6</v>
      </c>
      <c r="BJ983" t="s">
        <v>7130</v>
      </c>
      <c r="BK983" t="s">
        <v>102</v>
      </c>
      <c r="BL983" t="s">
        <v>3023</v>
      </c>
      <c r="BM983" t="s">
        <v>17937</v>
      </c>
      <c r="BN983" t="s">
        <v>74</v>
      </c>
      <c r="BO983" t="s">
        <v>74</v>
      </c>
      <c r="BP983" t="s">
        <v>74</v>
      </c>
      <c r="BQ983" t="s">
        <v>74</v>
      </c>
      <c r="BR983" t="s">
        <v>105</v>
      </c>
      <c r="BS983" t="s">
        <v>17938</v>
      </c>
      <c r="BT983" t="str">
        <f>HYPERLINK("https%3A%2F%2Fwww.webofscience.com%2Fwos%2Fwoscc%2Ffull-record%2FWOS:000312285900005","View Full Record in Web of Science")</f>
        <v>View Full Record in Web of Science</v>
      </c>
    </row>
    <row r="984" spans="1:72" x14ac:dyDescent="0.15">
      <c r="A984" t="s">
        <v>72</v>
      </c>
      <c r="B984" t="s">
        <v>17939</v>
      </c>
      <c r="C984" t="s">
        <v>74</v>
      </c>
      <c r="D984" t="s">
        <v>74</v>
      </c>
      <c r="E984" t="s">
        <v>74</v>
      </c>
      <c r="F984" t="s">
        <v>17940</v>
      </c>
      <c r="G984" t="s">
        <v>74</v>
      </c>
      <c r="H984" t="s">
        <v>74</v>
      </c>
      <c r="I984" t="s">
        <v>17941</v>
      </c>
      <c r="J984" t="s">
        <v>2903</v>
      </c>
      <c r="K984" t="s">
        <v>74</v>
      </c>
      <c r="L984" t="s">
        <v>74</v>
      </c>
      <c r="M984" t="s">
        <v>78</v>
      </c>
      <c r="N984" t="s">
        <v>79</v>
      </c>
      <c r="O984" t="s">
        <v>74</v>
      </c>
      <c r="P984" t="s">
        <v>74</v>
      </c>
      <c r="Q984" t="s">
        <v>74</v>
      </c>
      <c r="R984" t="s">
        <v>74</v>
      </c>
      <c r="S984" t="s">
        <v>74</v>
      </c>
      <c r="T984" t="s">
        <v>17942</v>
      </c>
      <c r="U984" t="s">
        <v>17943</v>
      </c>
      <c r="V984" t="s">
        <v>17944</v>
      </c>
      <c r="W984" t="s">
        <v>17945</v>
      </c>
      <c r="X984" t="s">
        <v>17946</v>
      </c>
      <c r="Y984" t="s">
        <v>17947</v>
      </c>
      <c r="Z984" t="s">
        <v>17948</v>
      </c>
      <c r="AA984" t="s">
        <v>17949</v>
      </c>
      <c r="AB984" t="s">
        <v>17950</v>
      </c>
      <c r="AC984" t="s">
        <v>74</v>
      </c>
      <c r="AD984" t="s">
        <v>74</v>
      </c>
      <c r="AE984" t="s">
        <v>74</v>
      </c>
      <c r="AF984" t="s">
        <v>74</v>
      </c>
      <c r="AG984">
        <v>43</v>
      </c>
      <c r="AH984">
        <v>15</v>
      </c>
      <c r="AI984">
        <v>15</v>
      </c>
      <c r="AJ984">
        <v>0</v>
      </c>
      <c r="AK984">
        <v>5</v>
      </c>
      <c r="AL984" t="s">
        <v>447</v>
      </c>
      <c r="AM984" t="s">
        <v>147</v>
      </c>
      <c r="AN984" t="s">
        <v>448</v>
      </c>
      <c r="AO984" t="s">
        <v>2916</v>
      </c>
      <c r="AP984" t="s">
        <v>74</v>
      </c>
      <c r="AQ984" t="s">
        <v>74</v>
      </c>
      <c r="AR984" t="s">
        <v>2918</v>
      </c>
      <c r="AS984" t="s">
        <v>2919</v>
      </c>
      <c r="AT984" t="s">
        <v>15925</v>
      </c>
      <c r="AU984">
        <v>2012</v>
      </c>
      <c r="AV984">
        <v>50</v>
      </c>
      <c r="AW984">
        <v>11</v>
      </c>
      <c r="AX984" t="s">
        <v>74</v>
      </c>
      <c r="AY984" t="s">
        <v>74</v>
      </c>
      <c r="AZ984" t="s">
        <v>74</v>
      </c>
      <c r="BA984" t="s">
        <v>74</v>
      </c>
      <c r="BB984">
        <v>1512</v>
      </c>
      <c r="BC984">
        <v>1523</v>
      </c>
      <c r="BD984" t="s">
        <v>74</v>
      </c>
      <c r="BE984" t="s">
        <v>17951</v>
      </c>
      <c r="BF984" t="str">
        <f>HYPERLINK("http://dx.doi.org/10.1016/j.asr.2012.07.034","http://dx.doi.org/10.1016/j.asr.2012.07.034")</f>
        <v>http://dx.doi.org/10.1016/j.asr.2012.07.034</v>
      </c>
      <c r="BG984" t="s">
        <v>74</v>
      </c>
      <c r="BH984" t="s">
        <v>74</v>
      </c>
      <c r="BI984">
        <v>12</v>
      </c>
      <c r="BJ984" t="s">
        <v>2921</v>
      </c>
      <c r="BK984" t="s">
        <v>102</v>
      </c>
      <c r="BL984" t="s">
        <v>2922</v>
      </c>
      <c r="BM984" t="s">
        <v>17952</v>
      </c>
      <c r="BN984" t="s">
        <v>74</v>
      </c>
      <c r="BO984" t="s">
        <v>74</v>
      </c>
      <c r="BP984" t="s">
        <v>74</v>
      </c>
      <c r="BQ984" t="s">
        <v>74</v>
      </c>
      <c r="BR984" t="s">
        <v>105</v>
      </c>
      <c r="BS984" t="s">
        <v>17953</v>
      </c>
      <c r="BT984" t="str">
        <f>HYPERLINK("https%3A%2F%2Fwww.webofscience.com%2Fwos%2Fwoscc%2Ffull-record%2FWOS:000310389600008","View Full Record in Web of Science")</f>
        <v>View Full Record in Web of Science</v>
      </c>
    </row>
    <row r="985" spans="1:72" x14ac:dyDescent="0.15">
      <c r="A985" t="s">
        <v>72</v>
      </c>
      <c r="B985" t="s">
        <v>17954</v>
      </c>
      <c r="C985" t="s">
        <v>74</v>
      </c>
      <c r="D985" t="s">
        <v>74</v>
      </c>
      <c r="E985" t="s">
        <v>74</v>
      </c>
      <c r="F985" t="s">
        <v>17955</v>
      </c>
      <c r="G985" t="s">
        <v>74</v>
      </c>
      <c r="H985" t="s">
        <v>74</v>
      </c>
      <c r="I985" t="s">
        <v>17956</v>
      </c>
      <c r="J985" t="s">
        <v>17957</v>
      </c>
      <c r="K985" t="s">
        <v>74</v>
      </c>
      <c r="L985" t="s">
        <v>74</v>
      </c>
      <c r="M985" t="s">
        <v>78</v>
      </c>
      <c r="N985" t="s">
        <v>79</v>
      </c>
      <c r="O985" t="s">
        <v>74</v>
      </c>
      <c r="P985" t="s">
        <v>74</v>
      </c>
      <c r="Q985" t="s">
        <v>74</v>
      </c>
      <c r="R985" t="s">
        <v>74</v>
      </c>
      <c r="S985" t="s">
        <v>74</v>
      </c>
      <c r="T985" t="s">
        <v>17958</v>
      </c>
      <c r="U985" t="s">
        <v>17959</v>
      </c>
      <c r="V985" t="s">
        <v>17960</v>
      </c>
      <c r="W985" t="s">
        <v>17961</v>
      </c>
      <c r="X985" t="s">
        <v>17962</v>
      </c>
      <c r="Y985" t="s">
        <v>17963</v>
      </c>
      <c r="Z985" t="s">
        <v>16016</v>
      </c>
      <c r="AA985" t="s">
        <v>17964</v>
      </c>
      <c r="AB985" t="s">
        <v>17965</v>
      </c>
      <c r="AC985" t="s">
        <v>17966</v>
      </c>
      <c r="AD985" t="s">
        <v>17967</v>
      </c>
      <c r="AE985" t="s">
        <v>17968</v>
      </c>
      <c r="AF985" t="s">
        <v>74</v>
      </c>
      <c r="AG985">
        <v>35</v>
      </c>
      <c r="AH985">
        <v>13</v>
      </c>
      <c r="AI985">
        <v>14</v>
      </c>
      <c r="AJ985">
        <v>0</v>
      </c>
      <c r="AK985">
        <v>17</v>
      </c>
      <c r="AL985" t="s">
        <v>257</v>
      </c>
      <c r="AM985" t="s">
        <v>215</v>
      </c>
      <c r="AN985" t="s">
        <v>216</v>
      </c>
      <c r="AO985" t="s">
        <v>17969</v>
      </c>
      <c r="AP985" t="s">
        <v>17970</v>
      </c>
      <c r="AQ985" t="s">
        <v>74</v>
      </c>
      <c r="AR985" t="s">
        <v>17971</v>
      </c>
      <c r="AS985" t="s">
        <v>17972</v>
      </c>
      <c r="AT985" t="s">
        <v>15707</v>
      </c>
      <c r="AU985">
        <v>2012</v>
      </c>
      <c r="AV985">
        <v>43</v>
      </c>
      <c r="AW985">
        <v>6</v>
      </c>
      <c r="AX985" t="s">
        <v>74</v>
      </c>
      <c r="AY985" t="s">
        <v>74</v>
      </c>
      <c r="AZ985" t="s">
        <v>74</v>
      </c>
      <c r="BA985" t="s">
        <v>74</v>
      </c>
      <c r="BB985">
        <v>746</v>
      </c>
      <c r="BC985">
        <v>752</v>
      </c>
      <c r="BD985" t="s">
        <v>74</v>
      </c>
      <c r="BE985" t="s">
        <v>17973</v>
      </c>
      <c r="BF985" t="str">
        <f>HYPERLINK("http://dx.doi.org/10.1111/j.1365-2052.2012.02343.x","http://dx.doi.org/10.1111/j.1365-2052.2012.02343.x")</f>
        <v>http://dx.doi.org/10.1111/j.1365-2052.2012.02343.x</v>
      </c>
      <c r="BG985" t="s">
        <v>74</v>
      </c>
      <c r="BH985" t="s">
        <v>74</v>
      </c>
      <c r="BI985">
        <v>7</v>
      </c>
      <c r="BJ985" t="s">
        <v>17974</v>
      </c>
      <c r="BK985" t="s">
        <v>102</v>
      </c>
      <c r="BL985" t="s">
        <v>17975</v>
      </c>
      <c r="BM985" t="s">
        <v>17976</v>
      </c>
      <c r="BN985">
        <v>22497346</v>
      </c>
      <c r="BO985" t="s">
        <v>74</v>
      </c>
      <c r="BP985" t="s">
        <v>74</v>
      </c>
      <c r="BQ985" t="s">
        <v>74</v>
      </c>
      <c r="BR985" t="s">
        <v>105</v>
      </c>
      <c r="BS985" t="s">
        <v>17977</v>
      </c>
      <c r="BT985" t="str">
        <f>HYPERLINK("https%3A%2F%2Fwww.webofscience.com%2Fwos%2Fwoscc%2Ffull-record%2FWOS:000310064000012","View Full Record in Web of Science")</f>
        <v>View Full Record in Web of Science</v>
      </c>
    </row>
    <row r="986" spans="1:72" x14ac:dyDescent="0.15">
      <c r="A986" t="s">
        <v>72</v>
      </c>
      <c r="B986" t="s">
        <v>17978</v>
      </c>
      <c r="C986" t="s">
        <v>74</v>
      </c>
      <c r="D986" t="s">
        <v>74</v>
      </c>
      <c r="E986" t="s">
        <v>74</v>
      </c>
      <c r="F986" t="s">
        <v>17979</v>
      </c>
      <c r="G986" t="s">
        <v>74</v>
      </c>
      <c r="H986" t="s">
        <v>74</v>
      </c>
      <c r="I986" t="s">
        <v>17980</v>
      </c>
      <c r="J986" t="s">
        <v>531</v>
      </c>
      <c r="K986" t="s">
        <v>74</v>
      </c>
      <c r="L986" t="s">
        <v>74</v>
      </c>
      <c r="M986" t="s">
        <v>78</v>
      </c>
      <c r="N986" t="s">
        <v>79</v>
      </c>
      <c r="O986" t="s">
        <v>74</v>
      </c>
      <c r="P986" t="s">
        <v>74</v>
      </c>
      <c r="Q986" t="s">
        <v>74</v>
      </c>
      <c r="R986" t="s">
        <v>74</v>
      </c>
      <c r="S986" t="s">
        <v>74</v>
      </c>
      <c r="T986" t="s">
        <v>17981</v>
      </c>
      <c r="U986" t="s">
        <v>17982</v>
      </c>
      <c r="V986" t="s">
        <v>17983</v>
      </c>
      <c r="W986" t="s">
        <v>17984</v>
      </c>
      <c r="X986" t="s">
        <v>17985</v>
      </c>
      <c r="Y986" t="s">
        <v>17986</v>
      </c>
      <c r="Z986" t="s">
        <v>17987</v>
      </c>
      <c r="AA986" t="s">
        <v>17988</v>
      </c>
      <c r="AB986" t="s">
        <v>17989</v>
      </c>
      <c r="AC986" t="s">
        <v>17990</v>
      </c>
      <c r="AD986" t="s">
        <v>17990</v>
      </c>
      <c r="AE986" t="s">
        <v>17991</v>
      </c>
      <c r="AF986" t="s">
        <v>74</v>
      </c>
      <c r="AG986">
        <v>80</v>
      </c>
      <c r="AH986">
        <v>39</v>
      </c>
      <c r="AI986">
        <v>39</v>
      </c>
      <c r="AJ986">
        <v>3</v>
      </c>
      <c r="AK986">
        <v>32</v>
      </c>
      <c r="AL986" t="s">
        <v>541</v>
      </c>
      <c r="AM986" t="s">
        <v>542</v>
      </c>
      <c r="AN986" t="s">
        <v>543</v>
      </c>
      <c r="AO986" t="s">
        <v>544</v>
      </c>
      <c r="AP986" t="s">
        <v>74</v>
      </c>
      <c r="AQ986" t="s">
        <v>74</v>
      </c>
      <c r="AR986" t="s">
        <v>546</v>
      </c>
      <c r="AS986" t="s">
        <v>547</v>
      </c>
      <c r="AT986" t="s">
        <v>15707</v>
      </c>
      <c r="AU986">
        <v>2012</v>
      </c>
      <c r="AV986" t="s">
        <v>17302</v>
      </c>
      <c r="AW986" t="s">
        <v>74</v>
      </c>
      <c r="AX986" t="s">
        <v>74</v>
      </c>
      <c r="AY986" t="s">
        <v>74</v>
      </c>
      <c r="AZ986" t="s">
        <v>74</v>
      </c>
      <c r="BA986" t="s">
        <v>74</v>
      </c>
      <c r="BB986">
        <v>57</v>
      </c>
      <c r="BC986">
        <v>70</v>
      </c>
      <c r="BD986" t="s">
        <v>74</v>
      </c>
      <c r="BE986" t="s">
        <v>17992</v>
      </c>
      <c r="BF986" t="str">
        <f>HYPERLINK("http://dx.doi.org/10.1016/j.coldregions.2012.06.005","http://dx.doi.org/10.1016/j.coldregions.2012.06.005")</f>
        <v>http://dx.doi.org/10.1016/j.coldregions.2012.06.005</v>
      </c>
      <c r="BG986" t="s">
        <v>74</v>
      </c>
      <c r="BH986" t="s">
        <v>74</v>
      </c>
      <c r="BI986">
        <v>14</v>
      </c>
      <c r="BJ986" t="s">
        <v>549</v>
      </c>
      <c r="BK986" t="s">
        <v>102</v>
      </c>
      <c r="BL986" t="s">
        <v>550</v>
      </c>
      <c r="BM986" t="s">
        <v>17304</v>
      </c>
      <c r="BN986" t="s">
        <v>74</v>
      </c>
      <c r="BO986" t="s">
        <v>74</v>
      </c>
      <c r="BP986" t="s">
        <v>74</v>
      </c>
      <c r="BQ986" t="s">
        <v>74</v>
      </c>
      <c r="BR986" t="s">
        <v>105</v>
      </c>
      <c r="BS986" t="s">
        <v>17993</v>
      </c>
      <c r="BT986" t="str">
        <f>HYPERLINK("https%3A%2F%2Fwww.webofscience.com%2Fwos%2Fwoscc%2Ffull-record%2FWOS:000309308600008","View Full Record in Web of Science")</f>
        <v>View Full Record in Web of Science</v>
      </c>
    </row>
    <row r="987" spans="1:72" x14ac:dyDescent="0.15">
      <c r="A987" t="s">
        <v>72</v>
      </c>
      <c r="B987" t="s">
        <v>17994</v>
      </c>
      <c r="C987" t="s">
        <v>74</v>
      </c>
      <c r="D987" t="s">
        <v>74</v>
      </c>
      <c r="E987" t="s">
        <v>74</v>
      </c>
      <c r="F987" t="s">
        <v>17995</v>
      </c>
      <c r="G987" t="s">
        <v>74</v>
      </c>
      <c r="H987" t="s">
        <v>74</v>
      </c>
      <c r="I987" t="s">
        <v>17996</v>
      </c>
      <c r="J987" t="s">
        <v>531</v>
      </c>
      <c r="K987" t="s">
        <v>74</v>
      </c>
      <c r="L987" t="s">
        <v>74</v>
      </c>
      <c r="M987" t="s">
        <v>78</v>
      </c>
      <c r="N987" t="s">
        <v>79</v>
      </c>
      <c r="O987" t="s">
        <v>74</v>
      </c>
      <c r="P987" t="s">
        <v>74</v>
      </c>
      <c r="Q987" t="s">
        <v>74</v>
      </c>
      <c r="R987" t="s">
        <v>74</v>
      </c>
      <c r="S987" t="s">
        <v>74</v>
      </c>
      <c r="T987" t="s">
        <v>17997</v>
      </c>
      <c r="U987" t="s">
        <v>17998</v>
      </c>
      <c r="V987" t="s">
        <v>17999</v>
      </c>
      <c r="W987" t="s">
        <v>18000</v>
      </c>
      <c r="X987" t="s">
        <v>18001</v>
      </c>
      <c r="Y987" t="s">
        <v>18002</v>
      </c>
      <c r="Z987" t="s">
        <v>18003</v>
      </c>
      <c r="AA987" t="s">
        <v>74</v>
      </c>
      <c r="AB987" t="s">
        <v>18004</v>
      </c>
      <c r="AC987" t="s">
        <v>18005</v>
      </c>
      <c r="AD987" t="s">
        <v>18006</v>
      </c>
      <c r="AE987" t="s">
        <v>18007</v>
      </c>
      <c r="AF987" t="s">
        <v>74</v>
      </c>
      <c r="AG987">
        <v>50</v>
      </c>
      <c r="AH987">
        <v>5</v>
      </c>
      <c r="AI987">
        <v>6</v>
      </c>
      <c r="AJ987">
        <v>1</v>
      </c>
      <c r="AK987">
        <v>17</v>
      </c>
      <c r="AL987" t="s">
        <v>541</v>
      </c>
      <c r="AM987" t="s">
        <v>542</v>
      </c>
      <c r="AN987" t="s">
        <v>543</v>
      </c>
      <c r="AO987" t="s">
        <v>544</v>
      </c>
      <c r="AP987" t="s">
        <v>74</v>
      </c>
      <c r="AQ987" t="s">
        <v>74</v>
      </c>
      <c r="AR987" t="s">
        <v>546</v>
      </c>
      <c r="AS987" t="s">
        <v>547</v>
      </c>
      <c r="AT987" t="s">
        <v>15707</v>
      </c>
      <c r="AU987">
        <v>2012</v>
      </c>
      <c r="AV987" t="s">
        <v>17302</v>
      </c>
      <c r="AW987" t="s">
        <v>74</v>
      </c>
      <c r="AX987" t="s">
        <v>74</v>
      </c>
      <c r="AY987" t="s">
        <v>74</v>
      </c>
      <c r="AZ987" t="s">
        <v>74</v>
      </c>
      <c r="BA987" t="s">
        <v>74</v>
      </c>
      <c r="BB987">
        <v>139</v>
      </c>
      <c r="BC987">
        <v>146</v>
      </c>
      <c r="BD987" t="s">
        <v>74</v>
      </c>
      <c r="BE987" t="s">
        <v>18008</v>
      </c>
      <c r="BF987" t="str">
        <f>HYPERLINK("http://dx.doi.org/10.1016/j.coldregions.2012.07.008","http://dx.doi.org/10.1016/j.coldregions.2012.07.008")</f>
        <v>http://dx.doi.org/10.1016/j.coldregions.2012.07.008</v>
      </c>
      <c r="BG987" t="s">
        <v>74</v>
      </c>
      <c r="BH987" t="s">
        <v>74</v>
      </c>
      <c r="BI987">
        <v>8</v>
      </c>
      <c r="BJ987" t="s">
        <v>549</v>
      </c>
      <c r="BK987" t="s">
        <v>102</v>
      </c>
      <c r="BL987" t="s">
        <v>550</v>
      </c>
      <c r="BM987" t="s">
        <v>17304</v>
      </c>
      <c r="BN987" t="s">
        <v>74</v>
      </c>
      <c r="BO987" t="s">
        <v>74</v>
      </c>
      <c r="BP987" t="s">
        <v>74</v>
      </c>
      <c r="BQ987" t="s">
        <v>74</v>
      </c>
      <c r="BR987" t="s">
        <v>105</v>
      </c>
      <c r="BS987" t="s">
        <v>18009</v>
      </c>
      <c r="BT987" t="str">
        <f>HYPERLINK("https%3A%2F%2Fwww.webofscience.com%2Fwos%2Fwoscc%2Ffull-record%2FWOS:000309308600018","View Full Record in Web of Science")</f>
        <v>View Full Record in Web of Science</v>
      </c>
    </row>
    <row r="988" spans="1:72" x14ac:dyDescent="0.15">
      <c r="A988" t="s">
        <v>72</v>
      </c>
      <c r="B988" t="s">
        <v>18010</v>
      </c>
      <c r="C988" t="s">
        <v>74</v>
      </c>
      <c r="D988" t="s">
        <v>74</v>
      </c>
      <c r="E988" t="s">
        <v>74</v>
      </c>
      <c r="F988" t="s">
        <v>18011</v>
      </c>
      <c r="G988" t="s">
        <v>74</v>
      </c>
      <c r="H988" t="s">
        <v>74</v>
      </c>
      <c r="I988" t="s">
        <v>18012</v>
      </c>
      <c r="J988" t="s">
        <v>783</v>
      </c>
      <c r="K988" t="s">
        <v>74</v>
      </c>
      <c r="L988" t="s">
        <v>74</v>
      </c>
      <c r="M988" t="s">
        <v>78</v>
      </c>
      <c r="N988" t="s">
        <v>79</v>
      </c>
      <c r="O988" t="s">
        <v>74</v>
      </c>
      <c r="P988" t="s">
        <v>74</v>
      </c>
      <c r="Q988" t="s">
        <v>74</v>
      </c>
      <c r="R988" t="s">
        <v>74</v>
      </c>
      <c r="S988" t="s">
        <v>74</v>
      </c>
      <c r="T988" t="s">
        <v>74</v>
      </c>
      <c r="U988" t="s">
        <v>18013</v>
      </c>
      <c r="V988" t="s">
        <v>18014</v>
      </c>
      <c r="W988" t="s">
        <v>18015</v>
      </c>
      <c r="X988" t="s">
        <v>18016</v>
      </c>
      <c r="Y988" t="s">
        <v>18017</v>
      </c>
      <c r="Z988" t="s">
        <v>18018</v>
      </c>
      <c r="AA988" t="s">
        <v>18019</v>
      </c>
      <c r="AB988" t="s">
        <v>18020</v>
      </c>
      <c r="AC988" t="s">
        <v>18021</v>
      </c>
      <c r="AD988" t="s">
        <v>18022</v>
      </c>
      <c r="AE988" t="s">
        <v>18023</v>
      </c>
      <c r="AF988" t="s">
        <v>74</v>
      </c>
      <c r="AG988">
        <v>93</v>
      </c>
      <c r="AH988">
        <v>1061</v>
      </c>
      <c r="AI988">
        <v>1184</v>
      </c>
      <c r="AJ988">
        <v>9</v>
      </c>
      <c r="AK988">
        <v>618</v>
      </c>
      <c r="AL988" t="s">
        <v>785</v>
      </c>
      <c r="AM988" t="s">
        <v>786</v>
      </c>
      <c r="AN988" t="s">
        <v>787</v>
      </c>
      <c r="AO988" t="s">
        <v>788</v>
      </c>
      <c r="AP988" t="s">
        <v>789</v>
      </c>
      <c r="AQ988" t="s">
        <v>74</v>
      </c>
      <c r="AR988" t="s">
        <v>783</v>
      </c>
      <c r="AS988" t="s">
        <v>790</v>
      </c>
      <c r="AT988" t="s">
        <v>18024</v>
      </c>
      <c r="AU988">
        <v>2012</v>
      </c>
      <c r="AV988">
        <v>338</v>
      </c>
      <c r="AW988">
        <v>6111</v>
      </c>
      <c r="AX988" t="s">
        <v>74</v>
      </c>
      <c r="AY988" t="s">
        <v>74</v>
      </c>
      <c r="AZ988" t="s">
        <v>74</v>
      </c>
      <c r="BA988" t="s">
        <v>74</v>
      </c>
      <c r="BB988">
        <v>1183</v>
      </c>
      <c r="BC988">
        <v>1189</v>
      </c>
      <c r="BD988" t="s">
        <v>74</v>
      </c>
      <c r="BE988" t="s">
        <v>18025</v>
      </c>
      <c r="BF988" t="str">
        <f>HYPERLINK("http://dx.doi.org/10.1126/science.1228102","http://dx.doi.org/10.1126/science.1228102")</f>
        <v>http://dx.doi.org/10.1126/science.1228102</v>
      </c>
      <c r="BG988" t="s">
        <v>74</v>
      </c>
      <c r="BH988" t="s">
        <v>74</v>
      </c>
      <c r="BI988">
        <v>7</v>
      </c>
      <c r="BJ988" t="s">
        <v>328</v>
      </c>
      <c r="BK988" t="s">
        <v>102</v>
      </c>
      <c r="BL988" t="s">
        <v>329</v>
      </c>
      <c r="BM988" t="s">
        <v>18026</v>
      </c>
      <c r="BN988">
        <v>23197528</v>
      </c>
      <c r="BO988" t="s">
        <v>155</v>
      </c>
      <c r="BP988" t="s">
        <v>74</v>
      </c>
      <c r="BQ988" t="s">
        <v>74</v>
      </c>
      <c r="BR988" t="s">
        <v>105</v>
      </c>
      <c r="BS988" t="s">
        <v>18027</v>
      </c>
      <c r="BT988" t="str">
        <f>HYPERLINK("https%3A%2F%2Fwww.webofscience.com%2Fwos%2Fwoscc%2Ffull-record%2FWOS:000311666200039","View Full Record in Web of Science")</f>
        <v>View Full Record in Web of Science</v>
      </c>
    </row>
    <row r="989" spans="1:72" x14ac:dyDescent="0.15">
      <c r="A989" t="s">
        <v>72</v>
      </c>
      <c r="B989" t="s">
        <v>18028</v>
      </c>
      <c r="C989" t="s">
        <v>74</v>
      </c>
      <c r="D989" t="s">
        <v>74</v>
      </c>
      <c r="E989" t="s">
        <v>74</v>
      </c>
      <c r="F989" t="s">
        <v>18029</v>
      </c>
      <c r="G989" t="s">
        <v>74</v>
      </c>
      <c r="H989" t="s">
        <v>74</v>
      </c>
      <c r="I989" t="s">
        <v>18030</v>
      </c>
      <c r="J989" t="s">
        <v>18031</v>
      </c>
      <c r="K989" t="s">
        <v>74</v>
      </c>
      <c r="L989" t="s">
        <v>74</v>
      </c>
      <c r="M989" t="s">
        <v>78</v>
      </c>
      <c r="N989" t="s">
        <v>79</v>
      </c>
      <c r="O989" t="s">
        <v>74</v>
      </c>
      <c r="P989" t="s">
        <v>74</v>
      </c>
      <c r="Q989" t="s">
        <v>74</v>
      </c>
      <c r="R989" t="s">
        <v>74</v>
      </c>
      <c r="S989" t="s">
        <v>74</v>
      </c>
      <c r="T989" t="s">
        <v>18032</v>
      </c>
      <c r="U989" t="s">
        <v>18033</v>
      </c>
      <c r="V989" t="s">
        <v>18034</v>
      </c>
      <c r="W989" t="s">
        <v>18035</v>
      </c>
      <c r="X989" t="s">
        <v>18036</v>
      </c>
      <c r="Y989" t="s">
        <v>18037</v>
      </c>
      <c r="Z989" t="s">
        <v>18038</v>
      </c>
      <c r="AA989" t="s">
        <v>18039</v>
      </c>
      <c r="AB989" t="s">
        <v>18040</v>
      </c>
      <c r="AC989" t="s">
        <v>18041</v>
      </c>
      <c r="AD989" t="s">
        <v>18042</v>
      </c>
      <c r="AE989" t="s">
        <v>18043</v>
      </c>
      <c r="AF989" t="s">
        <v>74</v>
      </c>
      <c r="AG989">
        <v>93</v>
      </c>
      <c r="AH989">
        <v>30</v>
      </c>
      <c r="AI989">
        <v>35</v>
      </c>
      <c r="AJ989">
        <v>0</v>
      </c>
      <c r="AK989">
        <v>36</v>
      </c>
      <c r="AL989" t="s">
        <v>2494</v>
      </c>
      <c r="AM989" t="s">
        <v>786</v>
      </c>
      <c r="AN989" t="s">
        <v>2495</v>
      </c>
      <c r="AO989" t="s">
        <v>74</v>
      </c>
      <c r="AP989" t="s">
        <v>18044</v>
      </c>
      <c r="AQ989" t="s">
        <v>74</v>
      </c>
      <c r="AR989" t="s">
        <v>18045</v>
      </c>
      <c r="AS989" t="s">
        <v>18046</v>
      </c>
      <c r="AT989" t="s">
        <v>18047</v>
      </c>
      <c r="AU989">
        <v>2012</v>
      </c>
      <c r="AV989">
        <v>13</v>
      </c>
      <c r="AW989" t="s">
        <v>74</v>
      </c>
      <c r="AX989" t="s">
        <v>74</v>
      </c>
      <c r="AY989" t="s">
        <v>74</v>
      </c>
      <c r="AZ989" t="s">
        <v>74</v>
      </c>
      <c r="BA989" t="s">
        <v>74</v>
      </c>
      <c r="BB989" t="s">
        <v>74</v>
      </c>
      <c r="BC989" t="s">
        <v>74</v>
      </c>
      <c r="BD989" t="s">
        <v>18048</v>
      </c>
      <c r="BE989" t="s">
        <v>18049</v>
      </c>
      <c r="BF989" t="str">
        <f>HYPERLINK("http://dx.doi.org/10.1029/2012GC004364","http://dx.doi.org/10.1029/2012GC004364")</f>
        <v>http://dx.doi.org/10.1029/2012GC004364</v>
      </c>
      <c r="BG989" t="s">
        <v>74</v>
      </c>
      <c r="BH989" t="s">
        <v>74</v>
      </c>
      <c r="BI989">
        <v>21</v>
      </c>
      <c r="BJ989" t="s">
        <v>263</v>
      </c>
      <c r="BK989" t="s">
        <v>102</v>
      </c>
      <c r="BL989" t="s">
        <v>263</v>
      </c>
      <c r="BM989" t="s">
        <v>18050</v>
      </c>
      <c r="BN989" t="s">
        <v>74</v>
      </c>
      <c r="BO989" t="s">
        <v>128</v>
      </c>
      <c r="BP989" t="s">
        <v>74</v>
      </c>
      <c r="BQ989" t="s">
        <v>74</v>
      </c>
      <c r="BR989" t="s">
        <v>105</v>
      </c>
      <c r="BS989" t="s">
        <v>18051</v>
      </c>
      <c r="BT989" t="str">
        <f>HYPERLINK("https%3A%2F%2Fwww.webofscience.com%2Fwos%2Fwoscc%2Ffull-record%2FWOS:000311842900003","View Full Record in Web of Science")</f>
        <v>View Full Record in Web of Science</v>
      </c>
    </row>
    <row r="990" spans="1:72" x14ac:dyDescent="0.15">
      <c r="A990" t="s">
        <v>72</v>
      </c>
      <c r="B990" t="s">
        <v>18052</v>
      </c>
      <c r="C990" t="s">
        <v>74</v>
      </c>
      <c r="D990" t="s">
        <v>74</v>
      </c>
      <c r="E990" t="s">
        <v>74</v>
      </c>
      <c r="F990" t="s">
        <v>18053</v>
      </c>
      <c r="G990" t="s">
        <v>74</v>
      </c>
      <c r="H990" t="s">
        <v>74</v>
      </c>
      <c r="I990" t="s">
        <v>18054</v>
      </c>
      <c r="J990" t="s">
        <v>2658</v>
      </c>
      <c r="K990" t="s">
        <v>74</v>
      </c>
      <c r="L990" t="s">
        <v>74</v>
      </c>
      <c r="M990" t="s">
        <v>78</v>
      </c>
      <c r="N990" t="s">
        <v>12117</v>
      </c>
      <c r="O990" t="s">
        <v>74</v>
      </c>
      <c r="P990" t="s">
        <v>74</v>
      </c>
      <c r="Q990" t="s">
        <v>74</v>
      </c>
      <c r="R990" t="s">
        <v>74</v>
      </c>
      <c r="S990" t="s">
        <v>74</v>
      </c>
      <c r="T990" t="s">
        <v>74</v>
      </c>
      <c r="U990" t="s">
        <v>74</v>
      </c>
      <c r="V990" t="s">
        <v>74</v>
      </c>
      <c r="W990" t="s">
        <v>18055</v>
      </c>
      <c r="X990" t="s">
        <v>18056</v>
      </c>
      <c r="Y990" t="s">
        <v>74</v>
      </c>
      <c r="Z990" t="s">
        <v>74</v>
      </c>
      <c r="AA990" t="s">
        <v>17117</v>
      </c>
      <c r="AB990" t="s">
        <v>17118</v>
      </c>
      <c r="AC990" t="s">
        <v>74</v>
      </c>
      <c r="AD990" t="s">
        <v>74</v>
      </c>
      <c r="AE990" t="s">
        <v>74</v>
      </c>
      <c r="AF990" t="s">
        <v>74</v>
      </c>
      <c r="AG990">
        <v>1</v>
      </c>
      <c r="AH990">
        <v>0</v>
      </c>
      <c r="AI990">
        <v>0</v>
      </c>
      <c r="AJ990">
        <v>0</v>
      </c>
      <c r="AK990">
        <v>4</v>
      </c>
      <c r="AL990" t="s">
        <v>2670</v>
      </c>
      <c r="AM990" t="s">
        <v>474</v>
      </c>
      <c r="AN990" t="s">
        <v>2671</v>
      </c>
      <c r="AO990" t="s">
        <v>2672</v>
      </c>
      <c r="AP990" t="s">
        <v>2673</v>
      </c>
      <c r="AQ990" t="s">
        <v>74</v>
      </c>
      <c r="AR990" t="s">
        <v>2658</v>
      </c>
      <c r="AS990" t="s">
        <v>2674</v>
      </c>
      <c r="AT990" t="s">
        <v>18047</v>
      </c>
      <c r="AU990">
        <v>2012</v>
      </c>
      <c r="AV990">
        <v>491</v>
      </c>
      <c r="AW990">
        <v>7426</v>
      </c>
      <c r="AX990" t="s">
        <v>74</v>
      </c>
      <c r="AY990" t="s">
        <v>74</v>
      </c>
      <c r="AZ990" t="s">
        <v>74</v>
      </c>
      <c r="BA990" t="s">
        <v>74</v>
      </c>
      <c r="BB990">
        <v>651</v>
      </c>
      <c r="BC990">
        <v>651</v>
      </c>
      <c r="BD990" t="s">
        <v>74</v>
      </c>
      <c r="BE990" t="s">
        <v>74</v>
      </c>
      <c r="BF990" t="s">
        <v>74</v>
      </c>
      <c r="BG990" t="s">
        <v>74</v>
      </c>
      <c r="BH990" t="s">
        <v>74</v>
      </c>
      <c r="BI990">
        <v>1</v>
      </c>
      <c r="BJ990" t="s">
        <v>328</v>
      </c>
      <c r="BK990" t="s">
        <v>102</v>
      </c>
      <c r="BL990" t="s">
        <v>329</v>
      </c>
      <c r="BM990" t="s">
        <v>18057</v>
      </c>
      <c r="BN990" t="s">
        <v>74</v>
      </c>
      <c r="BO990" t="s">
        <v>74</v>
      </c>
      <c r="BP990" t="s">
        <v>74</v>
      </c>
      <c r="BQ990" t="s">
        <v>74</v>
      </c>
      <c r="BR990" t="s">
        <v>105</v>
      </c>
      <c r="BS990" t="s">
        <v>18058</v>
      </c>
      <c r="BT990" t="str">
        <f>HYPERLINK("https%3A%2F%2Fwww.webofscience.com%2Fwos%2Fwoscc%2Ffull-record%2FWOS:000311606000011","View Full Record in Web of Science")</f>
        <v>View Full Record in Web of Science</v>
      </c>
    </row>
    <row r="991" spans="1:72" x14ac:dyDescent="0.15">
      <c r="A991" t="s">
        <v>72</v>
      </c>
      <c r="B991" t="s">
        <v>18059</v>
      </c>
      <c r="C991" t="s">
        <v>74</v>
      </c>
      <c r="D991" t="s">
        <v>74</v>
      </c>
      <c r="E991" t="s">
        <v>74</v>
      </c>
      <c r="F991" t="s">
        <v>18060</v>
      </c>
      <c r="G991" t="s">
        <v>74</v>
      </c>
      <c r="H991" t="s">
        <v>18061</v>
      </c>
      <c r="I991" t="s">
        <v>18062</v>
      </c>
      <c r="J991" t="s">
        <v>2658</v>
      </c>
      <c r="K991" t="s">
        <v>74</v>
      </c>
      <c r="L991" t="s">
        <v>74</v>
      </c>
      <c r="M991" t="s">
        <v>78</v>
      </c>
      <c r="N991" t="s">
        <v>79</v>
      </c>
      <c r="O991" t="s">
        <v>74</v>
      </c>
      <c r="P991" t="s">
        <v>74</v>
      </c>
      <c r="Q991" t="s">
        <v>74</v>
      </c>
      <c r="R991" t="s">
        <v>74</v>
      </c>
      <c r="S991" t="s">
        <v>74</v>
      </c>
      <c r="T991" t="s">
        <v>74</v>
      </c>
      <c r="U991" t="s">
        <v>18063</v>
      </c>
      <c r="V991" t="s">
        <v>18064</v>
      </c>
      <c r="W991" t="s">
        <v>18065</v>
      </c>
      <c r="X991" t="s">
        <v>18066</v>
      </c>
      <c r="Y991" t="s">
        <v>18067</v>
      </c>
      <c r="Z991" t="s">
        <v>18068</v>
      </c>
      <c r="AA991" t="s">
        <v>18069</v>
      </c>
      <c r="AB991" t="s">
        <v>18070</v>
      </c>
      <c r="AC991" t="s">
        <v>18071</v>
      </c>
      <c r="AD991" t="s">
        <v>18072</v>
      </c>
      <c r="AE991" t="s">
        <v>18073</v>
      </c>
      <c r="AF991" t="s">
        <v>74</v>
      </c>
      <c r="AG991">
        <v>99</v>
      </c>
      <c r="AH991">
        <v>217</v>
      </c>
      <c r="AI991">
        <v>236</v>
      </c>
      <c r="AJ991">
        <v>4</v>
      </c>
      <c r="AK991">
        <v>46</v>
      </c>
      <c r="AL991" t="s">
        <v>2670</v>
      </c>
      <c r="AM991" t="s">
        <v>474</v>
      </c>
      <c r="AN991" t="s">
        <v>2671</v>
      </c>
      <c r="AO991" t="s">
        <v>2672</v>
      </c>
      <c r="AP991" t="s">
        <v>2673</v>
      </c>
      <c r="AQ991" t="s">
        <v>74</v>
      </c>
      <c r="AR991" t="s">
        <v>2658</v>
      </c>
      <c r="AS991" t="s">
        <v>2674</v>
      </c>
      <c r="AT991" t="s">
        <v>18047</v>
      </c>
      <c r="AU991">
        <v>2012</v>
      </c>
      <c r="AV991">
        <v>491</v>
      </c>
      <c r="AW991">
        <v>7426</v>
      </c>
      <c r="AX991" t="s">
        <v>74</v>
      </c>
      <c r="AY991" t="s">
        <v>74</v>
      </c>
      <c r="AZ991" t="s">
        <v>74</v>
      </c>
      <c r="BA991" t="s">
        <v>74</v>
      </c>
      <c r="BB991">
        <v>683</v>
      </c>
      <c r="BC991">
        <v>691</v>
      </c>
      <c r="BD991" t="s">
        <v>74</v>
      </c>
      <c r="BE991" t="s">
        <v>18074</v>
      </c>
      <c r="BF991" t="str">
        <f>HYPERLINK("http://dx.doi.org/10.1038/nature11574","http://dx.doi.org/10.1038/nature11574")</f>
        <v>http://dx.doi.org/10.1038/nature11574</v>
      </c>
      <c r="BG991" t="s">
        <v>74</v>
      </c>
      <c r="BH991" t="s">
        <v>74</v>
      </c>
      <c r="BI991">
        <v>9</v>
      </c>
      <c r="BJ991" t="s">
        <v>328</v>
      </c>
      <c r="BK991" t="s">
        <v>102</v>
      </c>
      <c r="BL991" t="s">
        <v>329</v>
      </c>
      <c r="BM991" t="s">
        <v>18057</v>
      </c>
      <c r="BN991">
        <v>23192145</v>
      </c>
      <c r="BO991" t="s">
        <v>429</v>
      </c>
      <c r="BP991" t="s">
        <v>74</v>
      </c>
      <c r="BQ991" t="s">
        <v>74</v>
      </c>
      <c r="BR991" t="s">
        <v>105</v>
      </c>
      <c r="BS991" t="s">
        <v>18075</v>
      </c>
      <c r="BT991" t="str">
        <f>HYPERLINK("https%3A%2F%2Fwww.webofscience.com%2Fwos%2Fwoscc%2Ffull-record%2FWOS:000311606000031","View Full Record in Web of Science")</f>
        <v>View Full Record in Web of Science</v>
      </c>
    </row>
    <row r="992" spans="1:72" x14ac:dyDescent="0.15">
      <c r="A992" t="s">
        <v>72</v>
      </c>
      <c r="B992" t="s">
        <v>18076</v>
      </c>
      <c r="C992" t="s">
        <v>74</v>
      </c>
      <c r="D992" t="s">
        <v>74</v>
      </c>
      <c r="E992" t="s">
        <v>74</v>
      </c>
      <c r="F992" t="s">
        <v>18077</v>
      </c>
      <c r="G992" t="s">
        <v>74</v>
      </c>
      <c r="H992" t="s">
        <v>74</v>
      </c>
      <c r="I992" t="s">
        <v>18078</v>
      </c>
      <c r="J992" t="s">
        <v>2658</v>
      </c>
      <c r="K992" t="s">
        <v>74</v>
      </c>
      <c r="L992" t="s">
        <v>74</v>
      </c>
      <c r="M992" t="s">
        <v>78</v>
      </c>
      <c r="N992" t="s">
        <v>79</v>
      </c>
      <c r="O992" t="s">
        <v>74</v>
      </c>
      <c r="P992" t="s">
        <v>74</v>
      </c>
      <c r="Q992" t="s">
        <v>74</v>
      </c>
      <c r="R992" t="s">
        <v>74</v>
      </c>
      <c r="S992" t="s">
        <v>74</v>
      </c>
      <c r="T992" t="s">
        <v>74</v>
      </c>
      <c r="U992" t="s">
        <v>18079</v>
      </c>
      <c r="V992" t="s">
        <v>18080</v>
      </c>
      <c r="W992" t="s">
        <v>18081</v>
      </c>
      <c r="X992" t="s">
        <v>18082</v>
      </c>
      <c r="Y992" t="s">
        <v>18083</v>
      </c>
      <c r="Z992" t="s">
        <v>18084</v>
      </c>
      <c r="AA992" t="s">
        <v>18085</v>
      </c>
      <c r="AB992" t="s">
        <v>18086</v>
      </c>
      <c r="AC992" t="s">
        <v>18087</v>
      </c>
      <c r="AD992" t="s">
        <v>18088</v>
      </c>
      <c r="AE992" t="s">
        <v>18089</v>
      </c>
      <c r="AF992" t="s">
        <v>74</v>
      </c>
      <c r="AG992">
        <v>32</v>
      </c>
      <c r="AH992">
        <v>428</v>
      </c>
      <c r="AI992">
        <v>451</v>
      </c>
      <c r="AJ992">
        <v>4</v>
      </c>
      <c r="AK992">
        <v>237</v>
      </c>
      <c r="AL992" t="s">
        <v>2670</v>
      </c>
      <c r="AM992" t="s">
        <v>474</v>
      </c>
      <c r="AN992" t="s">
        <v>2671</v>
      </c>
      <c r="AO992" t="s">
        <v>2672</v>
      </c>
      <c r="AP992" t="s">
        <v>2673</v>
      </c>
      <c r="AQ992" t="s">
        <v>74</v>
      </c>
      <c r="AR992" t="s">
        <v>2658</v>
      </c>
      <c r="AS992" t="s">
        <v>2674</v>
      </c>
      <c r="AT992" t="s">
        <v>18047</v>
      </c>
      <c r="AU992">
        <v>2012</v>
      </c>
      <c r="AV992">
        <v>491</v>
      </c>
      <c r="AW992">
        <v>7426</v>
      </c>
      <c r="AX992" t="s">
        <v>74</v>
      </c>
      <c r="AY992" t="s">
        <v>74</v>
      </c>
      <c r="AZ992" t="s">
        <v>74</v>
      </c>
      <c r="BA992" t="s">
        <v>74</v>
      </c>
      <c r="BB992">
        <v>744</v>
      </c>
      <c r="BC992">
        <v>747</v>
      </c>
      <c r="BD992" t="s">
        <v>74</v>
      </c>
      <c r="BE992" t="s">
        <v>18090</v>
      </c>
      <c r="BF992" t="str">
        <f>HYPERLINK("http://dx.doi.org/10.1038/nature11593","http://dx.doi.org/10.1038/nature11593")</f>
        <v>http://dx.doi.org/10.1038/nature11593</v>
      </c>
      <c r="BG992" t="s">
        <v>74</v>
      </c>
      <c r="BH992" t="s">
        <v>74</v>
      </c>
      <c r="BI992">
        <v>4</v>
      </c>
      <c r="BJ992" t="s">
        <v>328</v>
      </c>
      <c r="BK992" t="s">
        <v>102</v>
      </c>
      <c r="BL992" t="s">
        <v>329</v>
      </c>
      <c r="BM992" t="s">
        <v>18057</v>
      </c>
      <c r="BN992">
        <v>23151478</v>
      </c>
      <c r="BO992" t="s">
        <v>74</v>
      </c>
      <c r="BP992" t="s">
        <v>74</v>
      </c>
      <c r="BQ992" t="s">
        <v>74</v>
      </c>
      <c r="BR992" t="s">
        <v>105</v>
      </c>
      <c r="BS992" t="s">
        <v>18091</v>
      </c>
      <c r="BT992" t="str">
        <f>HYPERLINK("https%3A%2F%2Fwww.webofscience.com%2Fwos%2Fwoscc%2Ffull-record%2FWOS:000311606000042","View Full Record in Web of Science")</f>
        <v>View Full Record in Web of Science</v>
      </c>
    </row>
    <row r="993" spans="1:72" x14ac:dyDescent="0.15">
      <c r="A993" t="s">
        <v>72</v>
      </c>
      <c r="B993" t="s">
        <v>18092</v>
      </c>
      <c r="C993" t="s">
        <v>74</v>
      </c>
      <c r="D993" t="s">
        <v>74</v>
      </c>
      <c r="E993" t="s">
        <v>74</v>
      </c>
      <c r="F993" t="s">
        <v>18093</v>
      </c>
      <c r="G993" t="s">
        <v>74</v>
      </c>
      <c r="H993" t="s">
        <v>74</v>
      </c>
      <c r="I993" t="s">
        <v>18094</v>
      </c>
      <c r="J993" t="s">
        <v>2341</v>
      </c>
      <c r="K993" t="s">
        <v>74</v>
      </c>
      <c r="L993" t="s">
        <v>74</v>
      </c>
      <c r="M993" t="s">
        <v>78</v>
      </c>
      <c r="N993" t="s">
        <v>79</v>
      </c>
      <c r="O993" t="s">
        <v>74</v>
      </c>
      <c r="P993" t="s">
        <v>74</v>
      </c>
      <c r="Q993" t="s">
        <v>74</v>
      </c>
      <c r="R993" t="s">
        <v>74</v>
      </c>
      <c r="S993" t="s">
        <v>74</v>
      </c>
      <c r="T993" t="s">
        <v>74</v>
      </c>
      <c r="U993" t="s">
        <v>18095</v>
      </c>
      <c r="V993" t="s">
        <v>18096</v>
      </c>
      <c r="W993" t="s">
        <v>18097</v>
      </c>
      <c r="X993" t="s">
        <v>18098</v>
      </c>
      <c r="Y993" t="s">
        <v>18099</v>
      </c>
      <c r="Z993" t="s">
        <v>18100</v>
      </c>
      <c r="AA993" t="s">
        <v>18101</v>
      </c>
      <c r="AB993" t="s">
        <v>18102</v>
      </c>
      <c r="AC993" t="s">
        <v>18103</v>
      </c>
      <c r="AD993" t="s">
        <v>18104</v>
      </c>
      <c r="AE993" t="s">
        <v>18105</v>
      </c>
      <c r="AF993" t="s">
        <v>74</v>
      </c>
      <c r="AG993">
        <v>82</v>
      </c>
      <c r="AH993">
        <v>20</v>
      </c>
      <c r="AI993">
        <v>20</v>
      </c>
      <c r="AJ993">
        <v>3</v>
      </c>
      <c r="AK993">
        <v>55</v>
      </c>
      <c r="AL993" t="s">
        <v>2350</v>
      </c>
      <c r="AM993" t="s">
        <v>2351</v>
      </c>
      <c r="AN993" t="s">
        <v>2352</v>
      </c>
      <c r="AO993" t="s">
        <v>2353</v>
      </c>
      <c r="AP993" t="s">
        <v>74</v>
      </c>
      <c r="AQ993" t="s">
        <v>74</v>
      </c>
      <c r="AR993" t="s">
        <v>2341</v>
      </c>
      <c r="AS993" t="s">
        <v>2354</v>
      </c>
      <c r="AT993" t="s">
        <v>18106</v>
      </c>
      <c r="AU993">
        <v>2012</v>
      </c>
      <c r="AV993">
        <v>7</v>
      </c>
      <c r="AW993">
        <v>11</v>
      </c>
      <c r="AX993" t="s">
        <v>74</v>
      </c>
      <c r="AY993" t="s">
        <v>74</v>
      </c>
      <c r="AZ993" t="s">
        <v>74</v>
      </c>
      <c r="BA993" t="s">
        <v>74</v>
      </c>
      <c r="BB993" t="s">
        <v>74</v>
      </c>
      <c r="BC993" t="s">
        <v>74</v>
      </c>
      <c r="BD993" t="s">
        <v>18107</v>
      </c>
      <c r="BE993" t="s">
        <v>18108</v>
      </c>
      <c r="BF993" t="str">
        <f>HYPERLINK("http://dx.doi.org/10.1371/journal.pone.0049788","http://dx.doi.org/10.1371/journal.pone.0049788")</f>
        <v>http://dx.doi.org/10.1371/journal.pone.0049788</v>
      </c>
      <c r="BG993" t="s">
        <v>74</v>
      </c>
      <c r="BH993" t="s">
        <v>74</v>
      </c>
      <c r="BI993">
        <v>16</v>
      </c>
      <c r="BJ993" t="s">
        <v>328</v>
      </c>
      <c r="BK993" t="s">
        <v>102</v>
      </c>
      <c r="BL993" t="s">
        <v>329</v>
      </c>
      <c r="BM993" t="s">
        <v>18109</v>
      </c>
      <c r="BN993">
        <v>23209600</v>
      </c>
      <c r="BO993" t="s">
        <v>5316</v>
      </c>
      <c r="BP993" t="s">
        <v>74</v>
      </c>
      <c r="BQ993" t="s">
        <v>74</v>
      </c>
      <c r="BR993" t="s">
        <v>105</v>
      </c>
      <c r="BS993" t="s">
        <v>18110</v>
      </c>
      <c r="BT993" t="str">
        <f>HYPERLINK("https%3A%2F%2Fwww.webofscience.com%2Fwos%2Fwoscc%2Ffull-record%2FWOS:000317185400003","View Full Record in Web of Science")</f>
        <v>View Full Record in Web of Science</v>
      </c>
    </row>
    <row r="994" spans="1:72" x14ac:dyDescent="0.15">
      <c r="A994" t="s">
        <v>72</v>
      </c>
      <c r="B994" t="s">
        <v>18111</v>
      </c>
      <c r="C994" t="s">
        <v>74</v>
      </c>
      <c r="D994" t="s">
        <v>74</v>
      </c>
      <c r="E994" t="s">
        <v>74</v>
      </c>
      <c r="F994" t="s">
        <v>18112</v>
      </c>
      <c r="G994" t="s">
        <v>74</v>
      </c>
      <c r="H994" t="s">
        <v>74</v>
      </c>
      <c r="I994" t="s">
        <v>18113</v>
      </c>
      <c r="J994" t="s">
        <v>18114</v>
      </c>
      <c r="K994" t="s">
        <v>74</v>
      </c>
      <c r="L994" t="s">
        <v>74</v>
      </c>
      <c r="M994" t="s">
        <v>78</v>
      </c>
      <c r="N994" t="s">
        <v>79</v>
      </c>
      <c r="O994" t="s">
        <v>74</v>
      </c>
      <c r="P994" t="s">
        <v>74</v>
      </c>
      <c r="Q994" t="s">
        <v>74</v>
      </c>
      <c r="R994" t="s">
        <v>74</v>
      </c>
      <c r="S994" t="s">
        <v>74</v>
      </c>
      <c r="T994" t="s">
        <v>18115</v>
      </c>
      <c r="U994" t="s">
        <v>18116</v>
      </c>
      <c r="V994" t="s">
        <v>18117</v>
      </c>
      <c r="W994" t="s">
        <v>18118</v>
      </c>
      <c r="X994" t="s">
        <v>2437</v>
      </c>
      <c r="Y994" t="s">
        <v>18119</v>
      </c>
      <c r="Z994" t="s">
        <v>18120</v>
      </c>
      <c r="AA994" t="s">
        <v>18121</v>
      </c>
      <c r="AB994" t="s">
        <v>18122</v>
      </c>
      <c r="AC994" t="s">
        <v>18123</v>
      </c>
      <c r="AD994" t="s">
        <v>18124</v>
      </c>
      <c r="AE994" t="s">
        <v>18125</v>
      </c>
      <c r="AF994" t="s">
        <v>74</v>
      </c>
      <c r="AG994">
        <v>26</v>
      </c>
      <c r="AH994">
        <v>56</v>
      </c>
      <c r="AI994">
        <v>67</v>
      </c>
      <c r="AJ994">
        <v>2</v>
      </c>
      <c r="AK994">
        <v>84</v>
      </c>
      <c r="AL994" t="s">
        <v>146</v>
      </c>
      <c r="AM994" t="s">
        <v>147</v>
      </c>
      <c r="AN994" t="s">
        <v>148</v>
      </c>
      <c r="AO994" t="s">
        <v>18126</v>
      </c>
      <c r="AP994" t="s">
        <v>74</v>
      </c>
      <c r="AQ994" t="s">
        <v>74</v>
      </c>
      <c r="AR994" t="s">
        <v>18114</v>
      </c>
      <c r="AS994" t="s">
        <v>18127</v>
      </c>
      <c r="AT994" t="s">
        <v>18128</v>
      </c>
      <c r="AU994">
        <v>2012</v>
      </c>
      <c r="AV994">
        <v>68</v>
      </c>
      <c r="AW994">
        <v>47</v>
      </c>
      <c r="AX994" t="s">
        <v>74</v>
      </c>
      <c r="AY994" t="s">
        <v>74</v>
      </c>
      <c r="AZ994" t="s">
        <v>74</v>
      </c>
      <c r="BA994" t="s">
        <v>74</v>
      </c>
      <c r="BB994">
        <v>9745</v>
      </c>
      <c r="BC994">
        <v>9749</v>
      </c>
      <c r="BD994" t="s">
        <v>74</v>
      </c>
      <c r="BE994" t="s">
        <v>18129</v>
      </c>
      <c r="BF994" t="str">
        <f>HYPERLINK("http://dx.doi.org/10.1016/j.tet.2012.09.038","http://dx.doi.org/10.1016/j.tet.2012.09.038")</f>
        <v>http://dx.doi.org/10.1016/j.tet.2012.09.038</v>
      </c>
      <c r="BG994" t="s">
        <v>74</v>
      </c>
      <c r="BH994" t="s">
        <v>74</v>
      </c>
      <c r="BI994">
        <v>5</v>
      </c>
      <c r="BJ994" t="s">
        <v>18130</v>
      </c>
      <c r="BK994" t="s">
        <v>15124</v>
      </c>
      <c r="BL994" t="s">
        <v>4420</v>
      </c>
      <c r="BM994" t="s">
        <v>18131</v>
      </c>
      <c r="BN994" t="s">
        <v>74</v>
      </c>
      <c r="BO994" t="s">
        <v>74</v>
      </c>
      <c r="BP994" t="s">
        <v>74</v>
      </c>
      <c r="BQ994" t="s">
        <v>74</v>
      </c>
      <c r="BR994" t="s">
        <v>105</v>
      </c>
      <c r="BS994" t="s">
        <v>18132</v>
      </c>
      <c r="BT994" t="str">
        <f>HYPERLINK("https%3A%2F%2Fwww.webofscience.com%2Fwos%2Fwoscc%2Ffull-record%2FWOS:000310402400029","View Full Record in Web of Science")</f>
        <v>View Full Record in Web of Science</v>
      </c>
    </row>
    <row r="995" spans="1:72" x14ac:dyDescent="0.15">
      <c r="A995" t="s">
        <v>72</v>
      </c>
      <c r="B995" t="s">
        <v>18133</v>
      </c>
      <c r="C995" t="s">
        <v>74</v>
      </c>
      <c r="D995" t="s">
        <v>74</v>
      </c>
      <c r="E995" t="s">
        <v>74</v>
      </c>
      <c r="F995" t="s">
        <v>18134</v>
      </c>
      <c r="G995" t="s">
        <v>74</v>
      </c>
      <c r="H995" t="s">
        <v>74</v>
      </c>
      <c r="I995" t="s">
        <v>18135</v>
      </c>
      <c r="J995" t="s">
        <v>2771</v>
      </c>
      <c r="K995" t="s">
        <v>74</v>
      </c>
      <c r="L995" t="s">
        <v>74</v>
      </c>
      <c r="M995" t="s">
        <v>78</v>
      </c>
      <c r="N995" t="s">
        <v>79</v>
      </c>
      <c r="O995" t="s">
        <v>74</v>
      </c>
      <c r="P995" t="s">
        <v>74</v>
      </c>
      <c r="Q995" t="s">
        <v>74</v>
      </c>
      <c r="R995" t="s">
        <v>74</v>
      </c>
      <c r="S995" t="s">
        <v>74</v>
      </c>
      <c r="T995" t="s">
        <v>18136</v>
      </c>
      <c r="U995" t="s">
        <v>18137</v>
      </c>
      <c r="V995" t="s">
        <v>18138</v>
      </c>
      <c r="W995" t="s">
        <v>18139</v>
      </c>
      <c r="X995" t="s">
        <v>2776</v>
      </c>
      <c r="Y995" t="s">
        <v>2777</v>
      </c>
      <c r="Z995" t="s">
        <v>2778</v>
      </c>
      <c r="AA995" t="s">
        <v>18140</v>
      </c>
      <c r="AB995" t="s">
        <v>18141</v>
      </c>
      <c r="AC995" t="s">
        <v>18142</v>
      </c>
      <c r="AD995" t="s">
        <v>18143</v>
      </c>
      <c r="AE995" t="s">
        <v>18144</v>
      </c>
      <c r="AF995" t="s">
        <v>74</v>
      </c>
      <c r="AG995">
        <v>37</v>
      </c>
      <c r="AH995">
        <v>19</v>
      </c>
      <c r="AI995">
        <v>23</v>
      </c>
      <c r="AJ995">
        <v>1</v>
      </c>
      <c r="AK995">
        <v>46</v>
      </c>
      <c r="AL995" t="s">
        <v>586</v>
      </c>
      <c r="AM995" t="s">
        <v>542</v>
      </c>
      <c r="AN995" t="s">
        <v>587</v>
      </c>
      <c r="AO995" t="s">
        <v>2784</v>
      </c>
      <c r="AP995" t="s">
        <v>2785</v>
      </c>
      <c r="AQ995" t="s">
        <v>74</v>
      </c>
      <c r="AR995" t="s">
        <v>2786</v>
      </c>
      <c r="AS995" t="s">
        <v>2787</v>
      </c>
      <c r="AT995" t="s">
        <v>18145</v>
      </c>
      <c r="AU995">
        <v>2012</v>
      </c>
      <c r="AV995">
        <v>190</v>
      </c>
      <c r="AW995" t="s">
        <v>2789</v>
      </c>
      <c r="AX995" t="s">
        <v>74</v>
      </c>
      <c r="AY995" t="s">
        <v>74</v>
      </c>
      <c r="AZ995" t="s">
        <v>74</v>
      </c>
      <c r="BA995" t="s">
        <v>74</v>
      </c>
      <c r="BB995">
        <v>259</v>
      </c>
      <c r="BC995">
        <v>262</v>
      </c>
      <c r="BD995" t="s">
        <v>74</v>
      </c>
      <c r="BE995" t="s">
        <v>18146</v>
      </c>
      <c r="BF995" t="str">
        <f>HYPERLINK("http://dx.doi.org/10.1016/j.vetpar.2012.05.020","http://dx.doi.org/10.1016/j.vetpar.2012.05.020")</f>
        <v>http://dx.doi.org/10.1016/j.vetpar.2012.05.020</v>
      </c>
      <c r="BG995" t="s">
        <v>74</v>
      </c>
      <c r="BH995" t="s">
        <v>74</v>
      </c>
      <c r="BI995">
        <v>4</v>
      </c>
      <c r="BJ995" t="s">
        <v>2791</v>
      </c>
      <c r="BK995" t="s">
        <v>102</v>
      </c>
      <c r="BL995" t="s">
        <v>2791</v>
      </c>
      <c r="BM995" t="s">
        <v>18147</v>
      </c>
      <c r="BN995">
        <v>22726387</v>
      </c>
      <c r="BO995" t="s">
        <v>74</v>
      </c>
      <c r="BP995" t="s">
        <v>74</v>
      </c>
      <c r="BQ995" t="s">
        <v>74</v>
      </c>
      <c r="BR995" t="s">
        <v>105</v>
      </c>
      <c r="BS995" t="s">
        <v>18148</v>
      </c>
      <c r="BT995" t="str">
        <f>HYPERLINK("https%3A%2F%2Fwww.webofscience.com%2Fwos%2Fwoscc%2Ffull-record%2FWOS:000310418700036","View Full Record in Web of Science")</f>
        <v>View Full Record in Web of Science</v>
      </c>
    </row>
    <row r="996" spans="1:72" x14ac:dyDescent="0.15">
      <c r="A996" t="s">
        <v>72</v>
      </c>
      <c r="B996" t="s">
        <v>18149</v>
      </c>
      <c r="C996" t="s">
        <v>74</v>
      </c>
      <c r="D996" t="s">
        <v>74</v>
      </c>
      <c r="E996" t="s">
        <v>74</v>
      </c>
      <c r="F996" t="s">
        <v>18150</v>
      </c>
      <c r="G996" t="s">
        <v>74</v>
      </c>
      <c r="H996" t="s">
        <v>74</v>
      </c>
      <c r="I996" t="s">
        <v>18151</v>
      </c>
      <c r="J996" t="s">
        <v>2658</v>
      </c>
      <c r="K996" t="s">
        <v>74</v>
      </c>
      <c r="L996" t="s">
        <v>74</v>
      </c>
      <c r="M996" t="s">
        <v>78</v>
      </c>
      <c r="N996" t="s">
        <v>784</v>
      </c>
      <c r="O996" t="s">
        <v>74</v>
      </c>
      <c r="P996" t="s">
        <v>74</v>
      </c>
      <c r="Q996" t="s">
        <v>74</v>
      </c>
      <c r="R996" t="s">
        <v>74</v>
      </c>
      <c r="S996" t="s">
        <v>74</v>
      </c>
      <c r="T996" t="s">
        <v>74</v>
      </c>
      <c r="U996" t="s">
        <v>74</v>
      </c>
      <c r="V996" t="s">
        <v>74</v>
      </c>
      <c r="W996" t="s">
        <v>74</v>
      </c>
      <c r="X996" t="s">
        <v>74</v>
      </c>
      <c r="Y996" t="s">
        <v>74</v>
      </c>
      <c r="Z996" t="s">
        <v>74</v>
      </c>
      <c r="AA996" t="s">
        <v>74</v>
      </c>
      <c r="AB996" t="s">
        <v>74</v>
      </c>
      <c r="AC996" t="s">
        <v>74</v>
      </c>
      <c r="AD996" t="s">
        <v>74</v>
      </c>
      <c r="AE996" t="s">
        <v>74</v>
      </c>
      <c r="AF996" t="s">
        <v>74</v>
      </c>
      <c r="AG996">
        <v>1</v>
      </c>
      <c r="AH996">
        <v>2</v>
      </c>
      <c r="AI996">
        <v>2</v>
      </c>
      <c r="AJ996">
        <v>0</v>
      </c>
      <c r="AK996">
        <v>3</v>
      </c>
      <c r="AL996" t="s">
        <v>2670</v>
      </c>
      <c r="AM996" t="s">
        <v>474</v>
      </c>
      <c r="AN996" t="s">
        <v>2671</v>
      </c>
      <c r="AO996" t="s">
        <v>2672</v>
      </c>
      <c r="AP996" t="s">
        <v>74</v>
      </c>
      <c r="AQ996" t="s">
        <v>74</v>
      </c>
      <c r="AR996" t="s">
        <v>2658</v>
      </c>
      <c r="AS996" t="s">
        <v>2674</v>
      </c>
      <c r="AT996" t="s">
        <v>18152</v>
      </c>
      <c r="AU996">
        <v>2012</v>
      </c>
      <c r="AV996">
        <v>491</v>
      </c>
      <c r="AW996">
        <v>7425</v>
      </c>
      <c r="AX996" t="s">
        <v>74</v>
      </c>
      <c r="AY996" t="s">
        <v>74</v>
      </c>
      <c r="AZ996" t="s">
        <v>74</v>
      </c>
      <c r="BA996" t="s">
        <v>74</v>
      </c>
      <c r="BB996">
        <v>506</v>
      </c>
      <c r="BC996">
        <v>507</v>
      </c>
      <c r="BD996" t="s">
        <v>74</v>
      </c>
      <c r="BE996" t="s">
        <v>18153</v>
      </c>
      <c r="BF996" t="str">
        <f>HYPERLINK("http://dx.doi.org/10.1038/491506a","http://dx.doi.org/10.1038/491506a")</f>
        <v>http://dx.doi.org/10.1038/491506a</v>
      </c>
      <c r="BG996" t="s">
        <v>74</v>
      </c>
      <c r="BH996" t="s">
        <v>74</v>
      </c>
      <c r="BI996">
        <v>3</v>
      </c>
      <c r="BJ996" t="s">
        <v>328</v>
      </c>
      <c r="BK996" t="s">
        <v>102</v>
      </c>
      <c r="BL996" t="s">
        <v>329</v>
      </c>
      <c r="BM996" t="s">
        <v>18154</v>
      </c>
      <c r="BN996">
        <v>23172191</v>
      </c>
      <c r="BO996" t="s">
        <v>128</v>
      </c>
      <c r="BP996" t="s">
        <v>74</v>
      </c>
      <c r="BQ996" t="s">
        <v>74</v>
      </c>
      <c r="BR996" t="s">
        <v>105</v>
      </c>
      <c r="BS996" t="s">
        <v>18155</v>
      </c>
      <c r="BT996" t="str">
        <f>HYPERLINK("https%3A%2F%2Fwww.webofscience.com%2Fwos%2Fwoscc%2Ffull-record%2FWOS:000311339800017","View Full Record in Web of Science")</f>
        <v>View Full Record in Web of Science</v>
      </c>
    </row>
    <row r="997" spans="1:72" x14ac:dyDescent="0.15">
      <c r="A997" t="s">
        <v>72</v>
      </c>
      <c r="B997" t="s">
        <v>18156</v>
      </c>
      <c r="C997" t="s">
        <v>74</v>
      </c>
      <c r="D997" t="s">
        <v>74</v>
      </c>
      <c r="E997" t="s">
        <v>74</v>
      </c>
      <c r="F997" t="s">
        <v>18157</v>
      </c>
      <c r="G997" t="s">
        <v>74</v>
      </c>
      <c r="H997" t="s">
        <v>74</v>
      </c>
      <c r="I997" t="s">
        <v>18158</v>
      </c>
      <c r="J997" t="s">
        <v>3103</v>
      </c>
      <c r="K997" t="s">
        <v>74</v>
      </c>
      <c r="L997" t="s">
        <v>74</v>
      </c>
      <c r="M997" t="s">
        <v>78</v>
      </c>
      <c r="N997" t="s">
        <v>79</v>
      </c>
      <c r="O997" t="s">
        <v>74</v>
      </c>
      <c r="P997" t="s">
        <v>74</v>
      </c>
      <c r="Q997" t="s">
        <v>74</v>
      </c>
      <c r="R997" t="s">
        <v>74</v>
      </c>
      <c r="S997" t="s">
        <v>74</v>
      </c>
      <c r="T997" t="s">
        <v>18159</v>
      </c>
      <c r="U997" t="s">
        <v>18160</v>
      </c>
      <c r="V997" t="s">
        <v>18161</v>
      </c>
      <c r="W997" t="s">
        <v>18162</v>
      </c>
      <c r="X997" t="s">
        <v>18163</v>
      </c>
      <c r="Y997" t="s">
        <v>18164</v>
      </c>
      <c r="Z997" t="s">
        <v>18165</v>
      </c>
      <c r="AA997" t="s">
        <v>74</v>
      </c>
      <c r="AB997" t="s">
        <v>18166</v>
      </c>
      <c r="AC997" t="s">
        <v>18167</v>
      </c>
      <c r="AD997" t="s">
        <v>18168</v>
      </c>
      <c r="AE997" t="s">
        <v>18169</v>
      </c>
      <c r="AF997" t="s">
        <v>74</v>
      </c>
      <c r="AG997">
        <v>51</v>
      </c>
      <c r="AH997">
        <v>33</v>
      </c>
      <c r="AI997">
        <v>38</v>
      </c>
      <c r="AJ997">
        <v>0</v>
      </c>
      <c r="AK997">
        <v>76</v>
      </c>
      <c r="AL997" t="s">
        <v>3038</v>
      </c>
      <c r="AM997" t="s">
        <v>474</v>
      </c>
      <c r="AN997" t="s">
        <v>3039</v>
      </c>
      <c r="AO997" t="s">
        <v>3116</v>
      </c>
      <c r="AP997" t="s">
        <v>3117</v>
      </c>
      <c r="AQ997" t="s">
        <v>74</v>
      </c>
      <c r="AR997" t="s">
        <v>3118</v>
      </c>
      <c r="AS997" t="s">
        <v>3119</v>
      </c>
      <c r="AT997" t="s">
        <v>18152</v>
      </c>
      <c r="AU997">
        <v>2012</v>
      </c>
      <c r="AV997">
        <v>279</v>
      </c>
      <c r="AW997">
        <v>1747</v>
      </c>
      <c r="AX997" t="s">
        <v>74</v>
      </c>
      <c r="AY997" t="s">
        <v>74</v>
      </c>
      <c r="AZ997" t="s">
        <v>74</v>
      </c>
      <c r="BA997" t="s">
        <v>74</v>
      </c>
      <c r="BB997">
        <v>4532</v>
      </c>
      <c r="BC997">
        <v>4541</v>
      </c>
      <c r="BD997" t="s">
        <v>74</v>
      </c>
      <c r="BE997" t="s">
        <v>18170</v>
      </c>
      <c r="BF997" t="str">
        <f>HYPERLINK("http://dx.doi.org/10.1098/rspb.2012.1733","http://dx.doi.org/10.1098/rspb.2012.1733")</f>
        <v>http://dx.doi.org/10.1098/rspb.2012.1733</v>
      </c>
      <c r="BG997" t="s">
        <v>74</v>
      </c>
      <c r="BH997" t="s">
        <v>74</v>
      </c>
      <c r="BI997">
        <v>10</v>
      </c>
      <c r="BJ997" t="s">
        <v>3122</v>
      </c>
      <c r="BK997" t="s">
        <v>102</v>
      </c>
      <c r="BL997" t="s">
        <v>3123</v>
      </c>
      <c r="BM997" t="s">
        <v>18171</v>
      </c>
      <c r="BN997">
        <v>23015628</v>
      </c>
      <c r="BO997" t="s">
        <v>2097</v>
      </c>
      <c r="BP997" t="s">
        <v>74</v>
      </c>
      <c r="BQ997" t="s">
        <v>74</v>
      </c>
      <c r="BR997" t="s">
        <v>105</v>
      </c>
      <c r="BS997" t="s">
        <v>18172</v>
      </c>
      <c r="BT997" t="str">
        <f>HYPERLINK("https%3A%2F%2Fwww.webofscience.com%2Fwos%2Fwoscc%2Ffull-record%2FWOS:000310218400003","View Full Record in Web of Science")</f>
        <v>View Full Record in Web of Science</v>
      </c>
    </row>
    <row r="998" spans="1:72" x14ac:dyDescent="0.15">
      <c r="A998" t="s">
        <v>72</v>
      </c>
      <c r="B998" t="s">
        <v>18173</v>
      </c>
      <c r="C998" t="s">
        <v>74</v>
      </c>
      <c r="D998" t="s">
        <v>74</v>
      </c>
      <c r="E998" t="s">
        <v>74</v>
      </c>
      <c r="F998" t="s">
        <v>18174</v>
      </c>
      <c r="G998" t="s">
        <v>74</v>
      </c>
      <c r="H998" t="s">
        <v>74</v>
      </c>
      <c r="I998" t="s">
        <v>18175</v>
      </c>
      <c r="J998" t="s">
        <v>2658</v>
      </c>
      <c r="K998" t="s">
        <v>74</v>
      </c>
      <c r="L998" t="s">
        <v>74</v>
      </c>
      <c r="M998" t="s">
        <v>78</v>
      </c>
      <c r="N998" t="s">
        <v>79</v>
      </c>
      <c r="O998" t="s">
        <v>74</v>
      </c>
      <c r="P998" t="s">
        <v>74</v>
      </c>
      <c r="Q998" t="s">
        <v>74</v>
      </c>
      <c r="R998" t="s">
        <v>74</v>
      </c>
      <c r="S998" t="s">
        <v>74</v>
      </c>
      <c r="T998" t="s">
        <v>74</v>
      </c>
      <c r="U998" t="s">
        <v>18176</v>
      </c>
      <c r="V998" t="s">
        <v>18177</v>
      </c>
      <c r="W998" t="s">
        <v>18178</v>
      </c>
      <c r="X998" t="s">
        <v>18179</v>
      </c>
      <c r="Y998" t="s">
        <v>18180</v>
      </c>
      <c r="Z998" t="s">
        <v>18181</v>
      </c>
      <c r="AA998" t="s">
        <v>18182</v>
      </c>
      <c r="AB998" t="s">
        <v>18183</v>
      </c>
      <c r="AC998" t="s">
        <v>18184</v>
      </c>
      <c r="AD998" t="s">
        <v>18185</v>
      </c>
      <c r="AE998" t="s">
        <v>18186</v>
      </c>
      <c r="AF998" t="s">
        <v>74</v>
      </c>
      <c r="AG998">
        <v>37</v>
      </c>
      <c r="AH998">
        <v>146</v>
      </c>
      <c r="AI998">
        <v>164</v>
      </c>
      <c r="AJ998">
        <v>2</v>
      </c>
      <c r="AK998">
        <v>106</v>
      </c>
      <c r="AL998" t="s">
        <v>2175</v>
      </c>
      <c r="AM998" t="s">
        <v>2176</v>
      </c>
      <c r="AN998" t="s">
        <v>2177</v>
      </c>
      <c r="AO998" t="s">
        <v>2672</v>
      </c>
      <c r="AP998" t="s">
        <v>2673</v>
      </c>
      <c r="AQ998" t="s">
        <v>74</v>
      </c>
      <c r="AR998" t="s">
        <v>2658</v>
      </c>
      <c r="AS998" t="s">
        <v>2674</v>
      </c>
      <c r="AT998" t="s">
        <v>18152</v>
      </c>
      <c r="AU998">
        <v>2012</v>
      </c>
      <c r="AV998">
        <v>491</v>
      </c>
      <c r="AW998">
        <v>7425</v>
      </c>
      <c r="AX998" t="s">
        <v>74</v>
      </c>
      <c r="AY998" t="s">
        <v>74</v>
      </c>
      <c r="AZ998" t="s">
        <v>74</v>
      </c>
      <c r="BA998" t="s">
        <v>74</v>
      </c>
      <c r="BB998">
        <v>586</v>
      </c>
      <c r="BC998" t="s">
        <v>99</v>
      </c>
      <c r="BD998" t="s">
        <v>74</v>
      </c>
      <c r="BE998" t="s">
        <v>18187</v>
      </c>
      <c r="BF998" t="str">
        <f>HYPERLINK("http://dx.doi.org/10.1038/nature11621","http://dx.doi.org/10.1038/nature11621")</f>
        <v>http://dx.doi.org/10.1038/nature11621</v>
      </c>
      <c r="BG998" t="s">
        <v>74</v>
      </c>
      <c r="BH998" t="s">
        <v>74</v>
      </c>
      <c r="BI998">
        <v>5</v>
      </c>
      <c r="BJ998" t="s">
        <v>328</v>
      </c>
      <c r="BK998" t="s">
        <v>102</v>
      </c>
      <c r="BL998" t="s">
        <v>329</v>
      </c>
      <c r="BM998" t="s">
        <v>18154</v>
      </c>
      <c r="BN998">
        <v>23086145</v>
      </c>
      <c r="BO998" t="s">
        <v>74</v>
      </c>
      <c r="BP998" t="s">
        <v>74</v>
      </c>
      <c r="BQ998" t="s">
        <v>74</v>
      </c>
      <c r="BR998" t="s">
        <v>105</v>
      </c>
      <c r="BS998" t="s">
        <v>18188</v>
      </c>
      <c r="BT998" t="str">
        <f>HYPERLINK("https%3A%2F%2Fwww.webofscience.com%2Fwos%2Fwoscc%2Ffull-record%2FWOS:000311339800050","View Full Record in Web of Science")</f>
        <v>View Full Record in Web of Science</v>
      </c>
    </row>
    <row r="999" spans="1:72" x14ac:dyDescent="0.15">
      <c r="A999" t="s">
        <v>72</v>
      </c>
      <c r="B999" t="s">
        <v>18189</v>
      </c>
      <c r="C999" t="s">
        <v>74</v>
      </c>
      <c r="D999" t="s">
        <v>74</v>
      </c>
      <c r="E999" t="s">
        <v>74</v>
      </c>
      <c r="F999" t="s">
        <v>18190</v>
      </c>
      <c r="G999" t="s">
        <v>74</v>
      </c>
      <c r="H999" t="s">
        <v>74</v>
      </c>
      <c r="I999" t="s">
        <v>18191</v>
      </c>
      <c r="J999" t="s">
        <v>3103</v>
      </c>
      <c r="K999" t="s">
        <v>74</v>
      </c>
      <c r="L999" t="s">
        <v>74</v>
      </c>
      <c r="M999" t="s">
        <v>78</v>
      </c>
      <c r="N999" t="s">
        <v>79</v>
      </c>
      <c r="O999" t="s">
        <v>74</v>
      </c>
      <c r="P999" t="s">
        <v>74</v>
      </c>
      <c r="Q999" t="s">
        <v>74</v>
      </c>
      <c r="R999" t="s">
        <v>74</v>
      </c>
      <c r="S999" t="s">
        <v>74</v>
      </c>
      <c r="T999" t="s">
        <v>18192</v>
      </c>
      <c r="U999" t="s">
        <v>18193</v>
      </c>
      <c r="V999" t="s">
        <v>18194</v>
      </c>
      <c r="W999" t="s">
        <v>18195</v>
      </c>
      <c r="X999" t="s">
        <v>18196</v>
      </c>
      <c r="Y999" t="s">
        <v>18197</v>
      </c>
      <c r="Z999" t="s">
        <v>18198</v>
      </c>
      <c r="AA999" t="s">
        <v>18199</v>
      </c>
      <c r="AB999" t="s">
        <v>18200</v>
      </c>
      <c r="AC999" t="s">
        <v>18201</v>
      </c>
      <c r="AD999" t="s">
        <v>18202</v>
      </c>
      <c r="AE999" t="s">
        <v>18203</v>
      </c>
      <c r="AF999" t="s">
        <v>74</v>
      </c>
      <c r="AG999">
        <v>44</v>
      </c>
      <c r="AH999">
        <v>126</v>
      </c>
      <c r="AI999">
        <v>148</v>
      </c>
      <c r="AJ999">
        <v>0</v>
      </c>
      <c r="AK999">
        <v>142</v>
      </c>
      <c r="AL999" t="s">
        <v>3038</v>
      </c>
      <c r="AM999" t="s">
        <v>474</v>
      </c>
      <c r="AN999" t="s">
        <v>3039</v>
      </c>
      <c r="AO999" t="s">
        <v>3116</v>
      </c>
      <c r="AP999" t="s">
        <v>3117</v>
      </c>
      <c r="AQ999" t="s">
        <v>74</v>
      </c>
      <c r="AR999" t="s">
        <v>3118</v>
      </c>
      <c r="AS999" t="s">
        <v>3119</v>
      </c>
      <c r="AT999" t="s">
        <v>18152</v>
      </c>
      <c r="AU999">
        <v>2012</v>
      </c>
      <c r="AV999">
        <v>279</v>
      </c>
      <c r="AW999">
        <v>1747</v>
      </c>
      <c r="AX999" t="s">
        <v>74</v>
      </c>
      <c r="AY999" t="s">
        <v>74</v>
      </c>
      <c r="AZ999" t="s">
        <v>74</v>
      </c>
      <c r="BA999" t="s">
        <v>74</v>
      </c>
      <c r="BB999">
        <v>4582</v>
      </c>
      <c r="BC999">
        <v>4589</v>
      </c>
      <c r="BD999" t="s">
        <v>74</v>
      </c>
      <c r="BE999" t="s">
        <v>18204</v>
      </c>
      <c r="BF999" t="str">
        <f>HYPERLINK("http://dx.doi.org/10.1098/rspb.2012.1229","http://dx.doi.org/10.1098/rspb.2012.1229")</f>
        <v>http://dx.doi.org/10.1098/rspb.2012.1229</v>
      </c>
      <c r="BG999" t="s">
        <v>74</v>
      </c>
      <c r="BH999" t="s">
        <v>74</v>
      </c>
      <c r="BI999">
        <v>8</v>
      </c>
      <c r="BJ999" t="s">
        <v>3122</v>
      </c>
      <c r="BK999" t="s">
        <v>102</v>
      </c>
      <c r="BL999" t="s">
        <v>3123</v>
      </c>
      <c r="BM999" t="s">
        <v>18171</v>
      </c>
      <c r="BN999">
        <v>23015629</v>
      </c>
      <c r="BO999" t="s">
        <v>2097</v>
      </c>
      <c r="BP999" t="s">
        <v>74</v>
      </c>
      <c r="BQ999" t="s">
        <v>74</v>
      </c>
      <c r="BR999" t="s">
        <v>105</v>
      </c>
      <c r="BS999" t="s">
        <v>18205</v>
      </c>
      <c r="BT999" t="str">
        <f>HYPERLINK("https%3A%2F%2Fwww.webofscience.com%2Fwos%2Fwoscc%2Ffull-record%2FWOS:000310218400009","View Full Record in Web of Science")</f>
        <v>View Full Record in Web of Science</v>
      </c>
    </row>
    <row r="1000" spans="1:72" x14ac:dyDescent="0.15">
      <c r="A1000" t="s">
        <v>72</v>
      </c>
      <c r="B1000" t="s">
        <v>18206</v>
      </c>
      <c r="C1000" t="s">
        <v>74</v>
      </c>
      <c r="D1000" t="s">
        <v>74</v>
      </c>
      <c r="E1000" t="s">
        <v>74</v>
      </c>
      <c r="F1000" t="s">
        <v>18207</v>
      </c>
      <c r="G1000" t="s">
        <v>74</v>
      </c>
      <c r="H1000" t="s">
        <v>74</v>
      </c>
      <c r="I1000" t="s">
        <v>18208</v>
      </c>
      <c r="J1000" t="s">
        <v>2522</v>
      </c>
      <c r="K1000" t="s">
        <v>74</v>
      </c>
      <c r="L1000" t="s">
        <v>74</v>
      </c>
      <c r="M1000" t="s">
        <v>78</v>
      </c>
      <c r="N1000" t="s">
        <v>79</v>
      </c>
      <c r="O1000" t="s">
        <v>74</v>
      </c>
      <c r="P1000" t="s">
        <v>74</v>
      </c>
      <c r="Q1000" t="s">
        <v>74</v>
      </c>
      <c r="R1000" t="s">
        <v>74</v>
      </c>
      <c r="S1000" t="s">
        <v>74</v>
      </c>
      <c r="T1000" t="s">
        <v>74</v>
      </c>
      <c r="U1000" t="s">
        <v>18209</v>
      </c>
      <c r="V1000" t="s">
        <v>18210</v>
      </c>
      <c r="W1000" t="s">
        <v>18211</v>
      </c>
      <c r="X1000" t="s">
        <v>1765</v>
      </c>
      <c r="Y1000" t="s">
        <v>18212</v>
      </c>
      <c r="Z1000" t="s">
        <v>18213</v>
      </c>
      <c r="AA1000" t="s">
        <v>18214</v>
      </c>
      <c r="AB1000" t="s">
        <v>18215</v>
      </c>
      <c r="AC1000" t="s">
        <v>18216</v>
      </c>
      <c r="AD1000" t="s">
        <v>18217</v>
      </c>
      <c r="AE1000" t="s">
        <v>18218</v>
      </c>
      <c r="AF1000" t="s">
        <v>74</v>
      </c>
      <c r="AG1000">
        <v>47</v>
      </c>
      <c r="AH1000">
        <v>22</v>
      </c>
      <c r="AI1000">
        <v>24</v>
      </c>
      <c r="AJ1000">
        <v>0</v>
      </c>
      <c r="AK1000">
        <v>13</v>
      </c>
      <c r="AL1000" t="s">
        <v>2494</v>
      </c>
      <c r="AM1000" t="s">
        <v>786</v>
      </c>
      <c r="AN1000" t="s">
        <v>2495</v>
      </c>
      <c r="AO1000" t="s">
        <v>2534</v>
      </c>
      <c r="AP1000" t="s">
        <v>2535</v>
      </c>
      <c r="AQ1000" t="s">
        <v>74</v>
      </c>
      <c r="AR1000" t="s">
        <v>2536</v>
      </c>
      <c r="AS1000" t="s">
        <v>2537</v>
      </c>
      <c r="AT1000" t="s">
        <v>18219</v>
      </c>
      <c r="AU1000">
        <v>2012</v>
      </c>
      <c r="AV1000">
        <v>117</v>
      </c>
      <c r="AW1000" t="s">
        <v>74</v>
      </c>
      <c r="AX1000" t="s">
        <v>74</v>
      </c>
      <c r="AY1000" t="s">
        <v>74</v>
      </c>
      <c r="AZ1000" t="s">
        <v>74</v>
      </c>
      <c r="BA1000" t="s">
        <v>74</v>
      </c>
      <c r="BB1000" t="s">
        <v>74</v>
      </c>
      <c r="BC1000" t="s">
        <v>74</v>
      </c>
      <c r="BD1000" t="s">
        <v>18220</v>
      </c>
      <c r="BE1000" t="s">
        <v>18221</v>
      </c>
      <c r="BF1000" t="str">
        <f>HYPERLINK("http://dx.doi.org/10.1029/2012JD018079","http://dx.doi.org/10.1029/2012JD018079")</f>
        <v>http://dx.doi.org/10.1029/2012JD018079</v>
      </c>
      <c r="BG1000" t="s">
        <v>74</v>
      </c>
      <c r="BH1000" t="s">
        <v>74</v>
      </c>
      <c r="BI1000">
        <v>15</v>
      </c>
      <c r="BJ1000" t="s">
        <v>101</v>
      </c>
      <c r="BK1000" t="s">
        <v>102</v>
      </c>
      <c r="BL1000" t="s">
        <v>101</v>
      </c>
      <c r="BM1000" t="s">
        <v>18222</v>
      </c>
      <c r="BN1000" t="s">
        <v>74</v>
      </c>
      <c r="BO1000" t="s">
        <v>128</v>
      </c>
      <c r="BP1000" t="s">
        <v>74</v>
      </c>
      <c r="BQ1000" t="s">
        <v>74</v>
      </c>
      <c r="BR1000" t="s">
        <v>105</v>
      </c>
      <c r="BS1000" t="s">
        <v>18223</v>
      </c>
      <c r="BT1000" t="str">
        <f>HYPERLINK("https%3A%2F%2Fwww.webofscience.com%2Fwos%2Fwoscc%2Ffull-record%2FWOS:000311563400002","View Full Record in Web of Science")</f>
        <v>View Full Record in Web of Science</v>
      </c>
    </row>
    <row r="1001" spans="1:72" x14ac:dyDescent="0.15">
      <c r="A1001" t="s">
        <v>72</v>
      </c>
      <c r="B1001" t="s">
        <v>18224</v>
      </c>
      <c r="C1001" t="s">
        <v>74</v>
      </c>
      <c r="D1001" t="s">
        <v>74</v>
      </c>
      <c r="E1001" t="s">
        <v>74</v>
      </c>
      <c r="F1001" t="s">
        <v>18225</v>
      </c>
      <c r="G1001" t="s">
        <v>74</v>
      </c>
      <c r="H1001" t="s">
        <v>74</v>
      </c>
      <c r="I1001" t="s">
        <v>18226</v>
      </c>
      <c r="J1001" t="s">
        <v>2244</v>
      </c>
      <c r="K1001" t="s">
        <v>74</v>
      </c>
      <c r="L1001" t="s">
        <v>74</v>
      </c>
      <c r="M1001" t="s">
        <v>78</v>
      </c>
      <c r="N1001" t="s">
        <v>1120</v>
      </c>
      <c r="O1001" t="s">
        <v>74</v>
      </c>
      <c r="P1001" t="s">
        <v>74</v>
      </c>
      <c r="Q1001" t="s">
        <v>74</v>
      </c>
      <c r="R1001" t="s">
        <v>74</v>
      </c>
      <c r="S1001" t="s">
        <v>74</v>
      </c>
      <c r="T1001" t="s">
        <v>18227</v>
      </c>
      <c r="U1001" t="s">
        <v>18228</v>
      </c>
      <c r="V1001" t="s">
        <v>18229</v>
      </c>
      <c r="W1001" t="s">
        <v>18230</v>
      </c>
      <c r="X1001" t="s">
        <v>18231</v>
      </c>
      <c r="Y1001" t="s">
        <v>18232</v>
      </c>
      <c r="Z1001" t="s">
        <v>18233</v>
      </c>
      <c r="AA1001" t="s">
        <v>74</v>
      </c>
      <c r="AB1001" t="s">
        <v>74</v>
      </c>
      <c r="AC1001" t="s">
        <v>74</v>
      </c>
      <c r="AD1001" t="s">
        <v>74</v>
      </c>
      <c r="AE1001" t="s">
        <v>74</v>
      </c>
      <c r="AF1001" t="s">
        <v>74</v>
      </c>
      <c r="AG1001">
        <v>264</v>
      </c>
      <c r="AH1001">
        <v>69</v>
      </c>
      <c r="AI1001">
        <v>78</v>
      </c>
      <c r="AJ1001">
        <v>20</v>
      </c>
      <c r="AK1001">
        <v>295</v>
      </c>
      <c r="AL1001" t="s">
        <v>146</v>
      </c>
      <c r="AM1001" t="s">
        <v>147</v>
      </c>
      <c r="AN1001" t="s">
        <v>148</v>
      </c>
      <c r="AO1001" t="s">
        <v>2257</v>
      </c>
      <c r="AP1001" t="s">
        <v>74</v>
      </c>
      <c r="AQ1001" t="s">
        <v>74</v>
      </c>
      <c r="AR1001" t="s">
        <v>2258</v>
      </c>
      <c r="AS1001" t="s">
        <v>2259</v>
      </c>
      <c r="AT1001" t="s">
        <v>18219</v>
      </c>
      <c r="AU1001">
        <v>2012</v>
      </c>
      <c r="AV1001">
        <v>56</v>
      </c>
      <c r="AW1001" t="s">
        <v>74</v>
      </c>
      <c r="AX1001" t="s">
        <v>74</v>
      </c>
      <c r="AY1001" t="s">
        <v>74</v>
      </c>
      <c r="AZ1001" t="s">
        <v>74</v>
      </c>
      <c r="BA1001" t="s">
        <v>74</v>
      </c>
      <c r="BB1001">
        <v>11</v>
      </c>
      <c r="BC1001">
        <v>30</v>
      </c>
      <c r="BD1001" t="s">
        <v>74</v>
      </c>
      <c r="BE1001" t="s">
        <v>18234</v>
      </c>
      <c r="BF1001" t="str">
        <f>HYPERLINK("http://dx.doi.org/10.1016/j.quascirev.2012.08.021","http://dx.doi.org/10.1016/j.quascirev.2012.08.021")</f>
        <v>http://dx.doi.org/10.1016/j.quascirev.2012.08.021</v>
      </c>
      <c r="BG1001" t="s">
        <v>74</v>
      </c>
      <c r="BH1001" t="s">
        <v>74</v>
      </c>
      <c r="BI1001">
        <v>20</v>
      </c>
      <c r="BJ1001" t="s">
        <v>2261</v>
      </c>
      <c r="BK1001" t="s">
        <v>102</v>
      </c>
      <c r="BL1001" t="s">
        <v>2262</v>
      </c>
      <c r="BM1001" t="s">
        <v>18235</v>
      </c>
      <c r="BN1001" t="s">
        <v>74</v>
      </c>
      <c r="BO1001" t="s">
        <v>74</v>
      </c>
      <c r="BP1001" t="s">
        <v>74</v>
      </c>
      <c r="BQ1001" t="s">
        <v>74</v>
      </c>
      <c r="BR1001" t="s">
        <v>105</v>
      </c>
      <c r="BS1001" t="s">
        <v>18236</v>
      </c>
      <c r="BT1001" t="str">
        <f>HYPERLINK("https%3A%2F%2Fwww.webofscience.com%2Fwos%2Fwoscc%2Ffull-record%2FWOS:000311665000002","View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2024-07-28T15:24:10Z</dcterms:created>
  <dcterms:modified xsi:type="dcterms:W3CDTF">2024-07-28T15:24:11Z</dcterms:modified>
</cp:coreProperties>
</file>